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495\OneDrive - csulb\Desktop\"/>
    </mc:Choice>
  </mc:AlternateContent>
  <bookViews>
    <workbookView xWindow="0" yWindow="0" windowWidth="20490" windowHeight="58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06" sheetId="67" r:id="rId52"/>
    <sheet name="330" sheetId="24" r:id="rId53"/>
    <sheet name="307" sheetId="68" r:id="rId54"/>
    <sheet name="314" sheetId="73" r:id="rId55"/>
    <sheet name="308" sheetId="27" r:id="rId56"/>
    <sheet name="311" sheetId="70" r:id="rId57"/>
    <sheet name="324" sheetId="82" r:id="rId58"/>
    <sheet name="331" sheetId="30" r:id="rId59"/>
    <sheet name="315" sheetId="74" r:id="rId60"/>
    <sheet name="326" sheetId="84" r:id="rId61"/>
    <sheet name="332" sheetId="33" r:id="rId62"/>
    <sheet name="316" sheetId="75" r:id="rId63"/>
    <sheet name="320" sheetId="78" r:id="rId64"/>
    <sheet name="Div 6" sheetId="51" r:id="rId65"/>
    <sheet name="317" sheetId="76" r:id="rId66"/>
    <sheet name="310" sheetId="21" r:id="rId67"/>
    <sheet name="309" sheetId="69" r:id="rId68"/>
    <sheet name="313" sheetId="72" r:id="rId69"/>
    <sheet name="321" sheetId="79" r:id="rId70"/>
    <sheet name="322" sheetId="80" r:id="rId71"/>
    <sheet name="323" sheetId="81" r:id="rId72"/>
    <sheet name="325" sheetId="83" r:id="rId73"/>
    <sheet name="327" sheetId="85" r:id="rId74"/>
    <sheet name="Div 4" sheetId="36" r:id="rId75"/>
    <sheet name="310 &amp; 491" sheetId="39" r:id="rId76"/>
    <sheet name="491" sheetId="42" r:id="rId77"/>
    <sheet name="405" sheetId="87" r:id="rId78"/>
    <sheet name="406" sheetId="88" r:id="rId79"/>
    <sheet name="411" sheetId="91" r:id="rId80"/>
    <sheet name="412" sheetId="92" r:id="rId81"/>
    <sheet name="413" sheetId="93" r:id="rId82"/>
    <sheet name="414" sheetId="94" r:id="rId83"/>
    <sheet name="415" sheetId="95" r:id="rId84"/>
    <sheet name="418" sheetId="97" r:id="rId85"/>
    <sheet name="420" sheetId="98" r:id="rId86"/>
    <sheet name="423" sheetId="99" r:id="rId87"/>
    <sheet name="424" sheetId="100" r:id="rId88"/>
    <sheet name="425" sheetId="101" r:id="rId89"/>
    <sheet name="455" sheetId="108" r:id="rId90"/>
    <sheet name="492" sheetId="45" r:id="rId91"/>
    <sheet name="430" sheetId="102" r:id="rId92"/>
    <sheet name="433" sheetId="103" r:id="rId93"/>
    <sheet name="435" sheetId="104" r:id="rId94"/>
    <sheet name="444" sheetId="105" r:id="rId95"/>
    <sheet name="450" sheetId="107" r:id="rId96"/>
    <sheet name="Div 5" sheetId="48" r:id="rId97"/>
    <sheet name="501" sheetId="109" r:id="rId98"/>
    <sheet name="Dept" sheetId="110" state="hidden" r:id="rId99"/>
    <sheet name="OSR_Dept_Y0WUKY" sheetId="111" state="hidden" r:id="rId100"/>
    <sheet name="OSR_Summary (...56e5d78f_5JEYZH" sheetId="112" state="hidden" r:id="rId101"/>
  </sheets>
  <definedNames>
    <definedName name="OSRRefD13x_0" localSheetId="48">'300'!$D$13:$D$105</definedName>
    <definedName name="OSRRefD13x_0" localSheetId="49">'300 &amp; 317'!$D$13:$D$123</definedName>
    <definedName name="OSRRefD13x_0" localSheetId="53">'307'!$D$13:$D$42</definedName>
    <definedName name="OSRRefD13x_0" localSheetId="55">'308'!$D$13:$D$41</definedName>
    <definedName name="OSRRefD13x_0" localSheetId="67">'309'!$D$13:$D$14</definedName>
    <definedName name="OSRRefD13x_0" localSheetId="66">'310'!$D$13:$D$20</definedName>
    <definedName name="OSRRefD13x_0" localSheetId="75">'310 &amp; 491'!$D$13:$D$27</definedName>
    <definedName name="OSRRefD13x_0" localSheetId="56">'311'!$D$13:$D$40</definedName>
    <definedName name="OSRRefD13x_0" localSheetId="68">'313'!$D$13:$D$17</definedName>
    <definedName name="OSRRefD13x_0" localSheetId="54">'314'!$D$13:$D$32</definedName>
    <definedName name="OSRRefD13x_0" localSheetId="59">'315'!$D$13:$D$50</definedName>
    <definedName name="OSRRefD13x_0" localSheetId="62">'316'!$D$13:$D$24</definedName>
    <definedName name="OSRRefD13x_0" localSheetId="65">'317'!$D$13:$D$37</definedName>
    <definedName name="OSRRefD13x_0" localSheetId="63">'320'!$D$13:$D$15</definedName>
    <definedName name="OSRRefD13x_0" localSheetId="69">'321'!$D$13:$D$14</definedName>
    <definedName name="OSRRefD13x_0" localSheetId="70">'322'!$D$13:$D$14</definedName>
    <definedName name="OSRRefD13x_0" localSheetId="57">'324'!$D$13:$D$15</definedName>
    <definedName name="OSRRefD13x_0" localSheetId="72">'325'!$D$13:$D$14</definedName>
    <definedName name="OSRRefD13x_0" localSheetId="60">'326'!$D$13:$D$37</definedName>
    <definedName name="OSRRefD13x_0" localSheetId="73">'327'!$D$13</definedName>
    <definedName name="OSRRefD13x_0" localSheetId="52">'330'!$D$13:$D$47</definedName>
    <definedName name="OSRRefD13x_0" localSheetId="58">'331'!$D$13:$D$53</definedName>
    <definedName name="OSRRefD13x_0" localSheetId="61">'332'!$D$13:$D$27</definedName>
    <definedName name="OSRRefD13x_0" localSheetId="77">'405'!$D$13:$D$14</definedName>
    <definedName name="OSRRefD13x_0" localSheetId="78">'406'!$D$13:$D$14</definedName>
    <definedName name="OSRRefD13x_0" localSheetId="80">'412'!$D$13:$D$14</definedName>
    <definedName name="OSRRefD13x_0" localSheetId="81">'413'!$D$13:$D$14</definedName>
    <definedName name="OSRRefD13x_0" localSheetId="82">'414'!$D$13:$D$14</definedName>
    <definedName name="OSRRefD13x_0" localSheetId="83">'415'!$D$13:$D$14</definedName>
    <definedName name="OSRRefD13x_0" localSheetId="84">'418'!$D$13:$D$14</definedName>
    <definedName name="OSRRefD13x_0" localSheetId="85">'420'!$D$13:$D$14</definedName>
    <definedName name="OSRRefD13x_0" localSheetId="87">'424'!$D$13</definedName>
    <definedName name="OSRRefD13x_0" localSheetId="88">'425'!$D$13:$D$14</definedName>
    <definedName name="OSRRefD13x_0" localSheetId="92">'433'!$D$13:$D$15</definedName>
    <definedName name="OSRRefD13x_0" localSheetId="93">'435'!$D$13:$D$15</definedName>
    <definedName name="OSRRefD13x_0" localSheetId="94">'444'!$D$13:$D$15</definedName>
    <definedName name="OSRRefD13x_0" localSheetId="95">'450'!$D$13:$D$15</definedName>
    <definedName name="OSRRefD13x_0" localSheetId="76">'491'!$D$13:$D$21</definedName>
    <definedName name="OSRRefD13x_0" localSheetId="90">'492'!$D$13:$D$17</definedName>
    <definedName name="OSRRefD13x_0" localSheetId="97">'501'!$D$13</definedName>
    <definedName name="OSRRefD13x_0" localSheetId="47">'Div 3'!$D$13:$D$108</definedName>
    <definedName name="OSRRefD13x_0" localSheetId="74">'Div 4'!$D$13:$D$22</definedName>
    <definedName name="OSRRefD13x_0" localSheetId="96">'Div 5'!$D$13</definedName>
    <definedName name="OSRRefD13x_0" localSheetId="64">'Div 6'!$D$13:$D$37</definedName>
    <definedName name="OSRRefD13x_0" localSheetId="2">Summary!$D$13:$D$133</definedName>
    <definedName name="OSRRefD16x_0" localSheetId="48">'300'!$D$108:$D$157</definedName>
    <definedName name="OSRRefD16x_0" localSheetId="49">'300 &amp; 317'!$D$126:$D$182</definedName>
    <definedName name="OSRRefD16x_0" localSheetId="53">'307'!$D$45:$D$64</definedName>
    <definedName name="OSRRefD16x_0" localSheetId="55">'308'!$D$44:$D$58</definedName>
    <definedName name="OSRRefD16x_0" localSheetId="67">'309'!$D$17:$D$18</definedName>
    <definedName name="OSRRefD16x_0" localSheetId="66">'310'!$D$23:$D$24</definedName>
    <definedName name="OSRRefD16x_0" localSheetId="75">'310 &amp; 491'!$D$30:$D$31</definedName>
    <definedName name="OSRRefD16x_0" localSheetId="56">'311'!$D$43:$D$57</definedName>
    <definedName name="OSRRefD16x_0" localSheetId="68">'313'!$D$20:$D$21</definedName>
    <definedName name="OSRRefD16x_0" localSheetId="54">'314'!$D$35:$D$49</definedName>
    <definedName name="OSRRefD16x_0" localSheetId="59">'315'!$D$53:$D$75</definedName>
    <definedName name="OSRRefD16x_0" localSheetId="65">'317'!$D$40:$D$52</definedName>
    <definedName name="OSRRefD16x_0" localSheetId="63">'320'!$D$18:$D$22</definedName>
    <definedName name="OSRRefD16x_0" localSheetId="69">'321'!$D$17:$D$18</definedName>
    <definedName name="OSRRefD16x_0" localSheetId="70">'322'!$D$17:$D$18</definedName>
    <definedName name="OSRRefD16x_0" localSheetId="57">'324'!$D$18:$D$19</definedName>
    <definedName name="OSRRefD16x_0" localSheetId="72">'325'!$D$17:$D$18</definedName>
    <definedName name="OSRRefD16x_0" localSheetId="60">'326'!$D$40:$D$53</definedName>
    <definedName name="OSRRefD16x_0" localSheetId="73">'327'!$D$16</definedName>
    <definedName name="OSRRefD16x_0" localSheetId="52">'330'!$D$50:$D$72</definedName>
    <definedName name="OSRRefD16x_0" localSheetId="58">'331'!$D$56:$D$82</definedName>
    <definedName name="OSRRefD16x_0" localSheetId="61">'332'!$D$30:$D$34</definedName>
    <definedName name="OSRRefD16x_0" localSheetId="77">'405'!$D$17:$D$18</definedName>
    <definedName name="OSRRefD16x_0" localSheetId="78">'406'!$D$17:$D$18</definedName>
    <definedName name="OSRRefD16x_0" localSheetId="80">'412'!$D$17</definedName>
    <definedName name="OSRRefD16x_0" localSheetId="81">'413'!$D$17:$D$18</definedName>
    <definedName name="OSRRefD16x_0" localSheetId="82">'414'!$D$17:$D$18</definedName>
    <definedName name="OSRRefD16x_0" localSheetId="83">'415'!$D$17:$D$18</definedName>
    <definedName name="OSRRefD16x_0" localSheetId="84">'418'!$D$17:$D$18</definedName>
    <definedName name="OSRRefD16x_0" localSheetId="85">'420'!$D$17</definedName>
    <definedName name="OSRRefD16x_0" localSheetId="86">'423'!$D$15</definedName>
    <definedName name="OSRRefD16x_0" localSheetId="87">'424'!$D$16:$D$17</definedName>
    <definedName name="OSRRefD16x_0" localSheetId="88">'425'!$D$17:$D$18</definedName>
    <definedName name="OSRRefD16x_0" localSheetId="92">'433'!$D$18:$D$19</definedName>
    <definedName name="OSRRefD16x_0" localSheetId="93">'435'!$D$18:$D$19</definedName>
    <definedName name="OSRRefD16x_0" localSheetId="94">'444'!$D$18:$D$19</definedName>
    <definedName name="OSRRefD16x_0" localSheetId="95">'450'!$D$18:$D$19</definedName>
    <definedName name="OSRRefD16x_0" localSheetId="76">'491'!$D$24:$D$25</definedName>
    <definedName name="OSRRefD16x_0" localSheetId="90">'492'!$D$20:$D$21</definedName>
    <definedName name="OSRRefD16x_0" localSheetId="47">'Div 3'!$D$111:$D$162</definedName>
    <definedName name="OSRRefD16x_0" localSheetId="74">'Div 4'!$D$25:$D$26</definedName>
    <definedName name="OSRRefD16x_0" localSheetId="64">'Div 6'!$D$40:$D$52</definedName>
    <definedName name="OSRRefD16x_0" localSheetId="2">Summary!$D$136:$D$194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'203'!$D$20:$D$29</definedName>
    <definedName name="OSRRefD22_0x_0" localSheetId="44">'204'!$D$20:$D$29</definedName>
    <definedName name="OSRRefD22_0x_0" localSheetId="45">'205'!$D$20:$D$27</definedName>
    <definedName name="OSRRefD22_0x_0" localSheetId="46">'206'!$D$20:$D$26</definedName>
    <definedName name="OSRRefD22_0x_0" localSheetId="48">'300'!$D$163:$D$172</definedName>
    <definedName name="OSRRefD22_0x_0" localSheetId="49">'300 &amp; 317'!$D$188:$D$197</definedName>
    <definedName name="OSRRefD22_0x_0" localSheetId="50">'301'!$D$20:$D$29</definedName>
    <definedName name="OSRRefD22_0x_0" localSheetId="51">'306'!$D$20:$D$28</definedName>
    <definedName name="OSRRefD22_0x_0" localSheetId="53">'307'!$D$70:$D$77</definedName>
    <definedName name="OSRRefD22_0x_0" localSheetId="55">'308'!$D$64:$D$72</definedName>
    <definedName name="OSRRefD22_0x_0" localSheetId="67">'309'!$D$24:$D$31</definedName>
    <definedName name="OSRRefD22_0x_0" localSheetId="66">'310'!$D$30:$D$37</definedName>
    <definedName name="OSRRefD22_0x_0" localSheetId="75">'310 &amp; 491'!$D$37:$D$45</definedName>
    <definedName name="OSRRefD22_0x_0" localSheetId="56">'311'!$D$63:$D$71</definedName>
    <definedName name="OSRRefD22_0x_0" localSheetId="68">'313'!$D$27:$D$34</definedName>
    <definedName name="OSRRefD22_0x_0" localSheetId="54">'314'!$D$55:$D$61</definedName>
    <definedName name="OSRRefD22_0x_0" localSheetId="59">'315'!$D$81:$D$88</definedName>
    <definedName name="OSRRefD22_0x_0" localSheetId="62">'316'!$D$32:$D$39</definedName>
    <definedName name="OSRRefD22_0x_0" localSheetId="65">'317'!$D$58:$D$66</definedName>
    <definedName name="OSRRefD22_0x_0" localSheetId="63">'320'!$D$28:$D$34</definedName>
    <definedName name="OSRRefD22_0x_0" localSheetId="69">'321'!$D$24:$D$31</definedName>
    <definedName name="OSRRefD22_0x_0" localSheetId="70">'322'!$D$24:$D$31</definedName>
    <definedName name="OSRRefD22_0x_0" localSheetId="72">'325'!$D$24:$D$31</definedName>
    <definedName name="OSRRefD22_0x_0" localSheetId="60">'326'!$D$59:$D$66</definedName>
    <definedName name="OSRRefD22_0x_0" localSheetId="73">'327'!$D$22</definedName>
    <definedName name="OSRRefD22_0x_0" localSheetId="52">'330'!$D$78:$D$85</definedName>
    <definedName name="OSRRefD22_0x_0" localSheetId="58">'331'!$D$88:$D$95</definedName>
    <definedName name="OSRRefD22_0x_0" localSheetId="61">'332'!$D$40:$D$47</definedName>
    <definedName name="OSRRefD22_0x_0" localSheetId="77">'405'!$D$24:$D$31</definedName>
    <definedName name="OSRRefD22_0x_0" localSheetId="78">'406'!$D$24:$D$31</definedName>
    <definedName name="OSRRefD22_0x_0" localSheetId="79">'411'!$D$20:$D$28</definedName>
    <definedName name="OSRRefD22_0x_0" localSheetId="80">'412'!$D$23:$D$30</definedName>
    <definedName name="OSRRefD22_0x_0" localSheetId="81">'413'!$D$24:$D$31</definedName>
    <definedName name="OSRRefD22_0x_0" localSheetId="82">'414'!$D$24:$D$30</definedName>
    <definedName name="OSRRefD22_0x_0" localSheetId="83">'415'!$D$24:$D$31</definedName>
    <definedName name="OSRRefD22_0x_0" localSheetId="84">'418'!$D$24:$D$31</definedName>
    <definedName name="OSRRefD22_0x_0" localSheetId="85">'420'!$D$23:$D$29</definedName>
    <definedName name="OSRRefD22_0x_0" localSheetId="86">'423'!$D$21:$D$28</definedName>
    <definedName name="OSRRefD22_0x_0" localSheetId="87">'424'!$D$23:$D$24</definedName>
    <definedName name="OSRRefD22_0x_0" localSheetId="88">'425'!$D$24:$D$31</definedName>
    <definedName name="OSRRefD22_0x_0" localSheetId="91">'430'!$D$20:$D$27</definedName>
    <definedName name="OSRRefD22_0x_0" localSheetId="92">'433'!$D$25:$D$33</definedName>
    <definedName name="OSRRefD22_0x_0" localSheetId="93">'435'!$D$25:$D$27</definedName>
    <definedName name="OSRRefD22_0x_0" localSheetId="94">'444'!$D$25:$D$33</definedName>
    <definedName name="OSRRefD22_0x_0" localSheetId="95">'450'!$D$25:$D$33</definedName>
    <definedName name="OSRRefD22_0x_0" localSheetId="89">'455'!$D$20:$D$26</definedName>
    <definedName name="OSRRefD22_0x_0" localSheetId="76">'491'!$D$31:$D$39</definedName>
    <definedName name="OSRRefD22_0x_0" localSheetId="90">'492'!$D$27:$D$35</definedName>
    <definedName name="OSRRefD22_0x_0" localSheetId="97">'501'!$D$21:$D$29</definedName>
    <definedName name="OSRRefD22_0x_0" localSheetId="39">'Div 2'!$D$20:$D$30</definedName>
    <definedName name="OSRRefD22_0x_0" localSheetId="47">'Div 3'!$D$168:$D$177</definedName>
    <definedName name="OSRRefD22_0x_0" localSheetId="74">'Div 4'!$D$32:$D$40</definedName>
    <definedName name="OSRRefD22_0x_0" localSheetId="96">'Div 5'!$D$21:$D$29</definedName>
    <definedName name="OSRRefD22_0x_0" localSheetId="64">'Div 6'!$D$58:$D$66</definedName>
    <definedName name="OSRRefD22_0x_0" localSheetId="2">Summary!$D$200:$D$209</definedName>
    <definedName name="OSRRefD22_10x_0" localSheetId="41">'201'!$D$51:$D$53</definedName>
    <definedName name="OSRRefD22_10x_0" localSheetId="42">'202'!$D$53:$D$55</definedName>
    <definedName name="OSRRefD22_10x_0" localSheetId="43">'203'!$D$53:$D$54</definedName>
    <definedName name="OSRRefD22_10x_0" localSheetId="44">'204'!$D$56:$D$57</definedName>
    <definedName name="OSRRefD22_10x_0" localSheetId="48">'300'!$D$201:$D$202</definedName>
    <definedName name="OSRRefD22_10x_0" localSheetId="49">'300 &amp; 317'!$D$226:$D$227</definedName>
    <definedName name="OSRRefD22_10x_0" localSheetId="50">'301'!$D$58</definedName>
    <definedName name="OSRRefD22_10x_0" localSheetId="53">'307'!$D$105</definedName>
    <definedName name="OSRRefD22_10x_0" localSheetId="55">'308'!$D$100</definedName>
    <definedName name="OSRRefD22_10x_0" localSheetId="67">'309'!$D$56:$D$58</definedName>
    <definedName name="OSRRefD22_10x_0" localSheetId="66">'310'!$D$63</definedName>
    <definedName name="OSRRefD22_10x_0" localSheetId="75">'310 &amp; 491'!$D$73:$D$74</definedName>
    <definedName name="OSRRefD22_10x_0" localSheetId="56">'311'!$D$99</definedName>
    <definedName name="OSRRefD22_10x_0" localSheetId="68">'313'!$D$60:$D$64</definedName>
    <definedName name="OSRRefD22_10x_0" localSheetId="59">'315'!$D$121</definedName>
    <definedName name="OSRRefD22_10x_0" localSheetId="62">'316'!$D$64:$D$69</definedName>
    <definedName name="OSRRefD22_10x_0" localSheetId="65">'317'!$D$91:$D$93</definedName>
    <definedName name="OSRRefD22_10x_0" localSheetId="69">'321'!$D$62</definedName>
    <definedName name="OSRRefD22_10x_0" localSheetId="70">'322'!$D$57:$D$61</definedName>
    <definedName name="OSRRefD22_10x_0" localSheetId="72">'325'!$D$56</definedName>
    <definedName name="OSRRefD22_10x_0" localSheetId="60">'326'!$D$90</definedName>
    <definedName name="OSRRefD22_10x_0" localSheetId="52">'330'!$D$112</definedName>
    <definedName name="OSRRefD22_10x_0" localSheetId="58">'331'!$D$122</definedName>
    <definedName name="OSRRefD22_10x_0" localSheetId="61">'332'!$D$73</definedName>
    <definedName name="OSRRefD22_10x_0" localSheetId="77">'405'!$D$55:$D$56</definedName>
    <definedName name="OSRRefD22_10x_0" localSheetId="78">'406'!$D$57</definedName>
    <definedName name="OSRRefD22_10x_0" localSheetId="79">'411'!$D$55</definedName>
    <definedName name="OSRRefD22_10x_0" localSheetId="80">'412'!$D$56:$D$57</definedName>
    <definedName name="OSRRefD22_10x_0" localSheetId="81">'413'!$D$61</definedName>
    <definedName name="OSRRefD22_10x_0" localSheetId="82">'414'!$D$54</definedName>
    <definedName name="OSRRefD22_10x_0" localSheetId="83">'415'!$D$56</definedName>
    <definedName name="OSRRefD22_10x_0" localSheetId="84">'418'!$D$58:$D$60</definedName>
    <definedName name="OSRRefD22_10x_0" localSheetId="87">'424'!$D$49</definedName>
    <definedName name="OSRRefD22_10x_0" localSheetId="88">'425'!$D$57</definedName>
    <definedName name="OSRRefD22_10x_0" localSheetId="92">'433'!$D$58</definedName>
    <definedName name="OSRRefD22_10x_0" localSheetId="94">'444'!$D$58</definedName>
    <definedName name="OSRRefD22_10x_0" localSheetId="95">'450'!$D$58</definedName>
    <definedName name="OSRRefD22_10x_0" localSheetId="76">'491'!$D$67:$D$68</definedName>
    <definedName name="OSRRefD22_10x_0" localSheetId="90">'492'!$D$61</definedName>
    <definedName name="OSRRefD22_10x_0" localSheetId="97">'501'!$D$58</definedName>
    <definedName name="OSRRefD22_10x_0" localSheetId="39">'Div 2'!$D$57</definedName>
    <definedName name="OSRRefD22_10x_0" localSheetId="47">'Div 3'!$D$206:$D$207</definedName>
    <definedName name="OSRRefD22_10x_0" localSheetId="74">'Div 4'!$D$68:$D$69</definedName>
    <definedName name="OSRRefD22_10x_0" localSheetId="96">'Div 5'!$D$58</definedName>
    <definedName name="OSRRefD22_10x_0" localSheetId="64">'Div 6'!$D$91:$D$93</definedName>
    <definedName name="OSRRefD22_10x_0" localSheetId="2">Summary!$D$239:$D$240</definedName>
    <definedName name="OSRRefD22_11x_0" localSheetId="41">'201'!$D$55</definedName>
    <definedName name="OSRRefD22_11x_0" localSheetId="42">'202'!$D$57</definedName>
    <definedName name="OSRRefD22_11x_0" localSheetId="43">'203'!$D$56</definedName>
    <definedName name="OSRRefD22_11x_0" localSheetId="48">'300'!$D$204</definedName>
    <definedName name="OSRRefD22_11x_0" localSheetId="49">'300 &amp; 317'!$D$229</definedName>
    <definedName name="OSRRefD22_11x_0" localSheetId="50">'301'!$D$60</definedName>
    <definedName name="OSRRefD22_11x_0" localSheetId="53">'307'!$D$107</definedName>
    <definedName name="OSRRefD22_11x_0" localSheetId="55">'308'!$D$102:$D$104</definedName>
    <definedName name="OSRRefD22_11x_0" localSheetId="67">'309'!$D$60:$D$62</definedName>
    <definedName name="OSRRefD22_11x_0" localSheetId="66">'310'!$D$65</definedName>
    <definedName name="OSRRefD22_11x_0" localSheetId="75">'310 &amp; 491'!$D$76:$D$77</definedName>
    <definedName name="OSRRefD22_11x_0" localSheetId="56">'311'!$D$101:$D$103</definedName>
    <definedName name="OSRRefD22_11x_0" localSheetId="68">'313'!$D$66</definedName>
    <definedName name="OSRRefD22_11x_0" localSheetId="59">'315'!$D$123</definedName>
    <definedName name="OSRRefD22_11x_0" localSheetId="62">'316'!$D$71</definedName>
    <definedName name="OSRRefD22_11x_0" localSheetId="65">'317'!$D$95</definedName>
    <definedName name="OSRRefD22_11x_0" localSheetId="69">'321'!$D$64</definedName>
    <definedName name="OSRRefD22_11x_0" localSheetId="70">'322'!$D$63</definedName>
    <definedName name="OSRRefD22_11x_0" localSheetId="72">'325'!$D$58:$D$60</definedName>
    <definedName name="OSRRefD22_11x_0" localSheetId="60">'326'!$D$92</definedName>
    <definedName name="OSRRefD22_11x_0" localSheetId="52">'330'!$D$114:$D$116</definedName>
    <definedName name="OSRRefD22_11x_0" localSheetId="58">'331'!$D$124</definedName>
    <definedName name="OSRRefD22_11x_0" localSheetId="61">'332'!$D$75:$D$80</definedName>
    <definedName name="OSRRefD22_11x_0" localSheetId="77">'405'!$D$58</definedName>
    <definedName name="OSRRefD22_11x_0" localSheetId="78">'406'!$D$59:$D$63</definedName>
    <definedName name="OSRRefD22_11x_0" localSheetId="79">'411'!$D$57</definedName>
    <definedName name="OSRRefD22_11x_0" localSheetId="80">'412'!$D$59:$D$64</definedName>
    <definedName name="OSRRefD22_11x_0" localSheetId="82">'414'!$D$56</definedName>
    <definedName name="OSRRefD22_11x_0" localSheetId="83">'415'!$D$58:$D$60</definedName>
    <definedName name="OSRRefD22_11x_0" localSheetId="84">'418'!$D$62:$D$64</definedName>
    <definedName name="OSRRefD22_11x_0" localSheetId="87">'424'!$D$51:$D$53</definedName>
    <definedName name="OSRRefD22_11x_0" localSheetId="88">'425'!$D$59:$D$60</definedName>
    <definedName name="OSRRefD22_11x_0" localSheetId="92">'433'!$D$60:$D$62</definedName>
    <definedName name="OSRRefD22_11x_0" localSheetId="94">'444'!$D$60:$D$62</definedName>
    <definedName name="OSRRefD22_11x_0" localSheetId="95">'450'!$D$60</definedName>
    <definedName name="OSRRefD22_11x_0" localSheetId="76">'491'!$D$70</definedName>
    <definedName name="OSRRefD22_11x_0" localSheetId="90">'492'!$D$63</definedName>
    <definedName name="OSRRefD22_11x_0" localSheetId="39">'Div 2'!$D$59</definedName>
    <definedName name="OSRRefD22_11x_0" localSheetId="47">'Div 3'!$D$209</definedName>
    <definedName name="OSRRefD22_11x_0" localSheetId="74">'Div 4'!$D$71</definedName>
    <definedName name="OSRRefD22_11x_0" localSheetId="64">'Div 6'!$D$95</definedName>
    <definedName name="OSRRefD22_11x_0" localSheetId="2">Summary!$D$242:$D$243</definedName>
    <definedName name="OSRRefD22_12x_0" localSheetId="41">'201'!$D$57:$D$60</definedName>
    <definedName name="OSRRefD22_12x_0" localSheetId="42">'202'!$D$59</definedName>
    <definedName name="OSRRefD22_12x_0" localSheetId="43">'203'!$D$58:$D$61</definedName>
    <definedName name="OSRRefD22_12x_0" localSheetId="48">'300'!$D$206</definedName>
    <definedName name="OSRRefD22_12x_0" localSheetId="49">'300 &amp; 317'!$D$231</definedName>
    <definedName name="OSRRefD22_12x_0" localSheetId="50">'301'!$D$62</definedName>
    <definedName name="OSRRefD22_12x_0" localSheetId="55">'308'!$D$106:$D$107</definedName>
    <definedName name="OSRRefD22_12x_0" localSheetId="67">'309'!$D$64</definedName>
    <definedName name="OSRRefD22_12x_0" localSheetId="66">'310'!$D$67</definedName>
    <definedName name="OSRRefD22_12x_0" localSheetId="75">'310 &amp; 491'!$D$79</definedName>
    <definedName name="OSRRefD22_12x_0" localSheetId="56">'311'!$D$105:$D$106</definedName>
    <definedName name="OSRRefD22_12x_0" localSheetId="68">'313'!$D$68</definedName>
    <definedName name="OSRRefD22_12x_0" localSheetId="59">'315'!$D$125:$D$126</definedName>
    <definedName name="OSRRefD22_12x_0" localSheetId="62">'316'!$D$73</definedName>
    <definedName name="OSRRefD22_12x_0" localSheetId="65">'317'!$D$97</definedName>
    <definedName name="OSRRefD22_12x_0" localSheetId="70">'322'!$D$65</definedName>
    <definedName name="OSRRefD22_12x_0" localSheetId="72">'325'!$D$62:$D$64</definedName>
    <definedName name="OSRRefD22_12x_0" localSheetId="60">'326'!$D$94:$D$95</definedName>
    <definedName name="OSRRefD22_12x_0" localSheetId="52">'330'!$D$118</definedName>
    <definedName name="OSRRefD22_12x_0" localSheetId="58">'331'!$D$126</definedName>
    <definedName name="OSRRefD22_12x_0" localSheetId="61">'332'!$D$82</definedName>
    <definedName name="OSRRefD22_12x_0" localSheetId="77">'405'!$D$60:$D$62</definedName>
    <definedName name="OSRRefD22_12x_0" localSheetId="78">'406'!$D$65</definedName>
    <definedName name="OSRRefD22_12x_0" localSheetId="79">'411'!$D$59:$D$60</definedName>
    <definedName name="OSRRefD22_12x_0" localSheetId="80">'412'!$D$66</definedName>
    <definedName name="OSRRefD22_12x_0" localSheetId="82">'414'!$D$58</definedName>
    <definedName name="OSRRefD22_12x_0" localSheetId="83">'415'!$D$62:$D$66</definedName>
    <definedName name="OSRRefD22_12x_0" localSheetId="84">'418'!$D$66:$D$67</definedName>
    <definedName name="OSRRefD22_12x_0" localSheetId="87">'424'!$D$55</definedName>
    <definedName name="OSRRefD22_12x_0" localSheetId="88">'425'!$D$62:$D$68</definedName>
    <definedName name="OSRRefD22_12x_0" localSheetId="92">'433'!$D$64:$D$66</definedName>
    <definedName name="OSRRefD22_12x_0" localSheetId="94">'444'!$D$64:$D$67</definedName>
    <definedName name="OSRRefD22_12x_0" localSheetId="95">'450'!$D$62</definedName>
    <definedName name="OSRRefD22_12x_0" localSheetId="76">'491'!$D$72</definedName>
    <definedName name="OSRRefD22_12x_0" localSheetId="90">'492'!$D$65:$D$67</definedName>
    <definedName name="OSRRefD22_12x_0" localSheetId="39">'Div 2'!$D$61:$D$64</definedName>
    <definedName name="OSRRefD22_12x_0" localSheetId="47">'Div 3'!$D$211</definedName>
    <definedName name="OSRRefD22_12x_0" localSheetId="74">'Div 4'!$D$73</definedName>
    <definedName name="OSRRefD22_12x_0" localSheetId="64">'Div 6'!$D$97</definedName>
    <definedName name="OSRRefD22_12x_0" localSheetId="2">Summary!$D$245</definedName>
    <definedName name="OSRRefD22_13x_0" localSheetId="41">'201'!$D$62</definedName>
    <definedName name="OSRRefD22_13x_0" localSheetId="42">'202'!$D$61</definedName>
    <definedName name="OSRRefD22_13x_0" localSheetId="43">'203'!$D$63</definedName>
    <definedName name="OSRRefD22_13x_0" localSheetId="48">'300'!$D$208</definedName>
    <definedName name="OSRRefD22_13x_0" localSheetId="49">'300 &amp; 317'!$D$233</definedName>
    <definedName name="OSRRefD22_13x_0" localSheetId="50">'301'!$D$64</definedName>
    <definedName name="OSRRefD22_13x_0" localSheetId="55">'308'!$D$109</definedName>
    <definedName name="OSRRefD22_13x_0" localSheetId="66">'310'!$D$69</definedName>
    <definedName name="OSRRefD22_13x_0" localSheetId="75">'310 &amp; 491'!$D$81</definedName>
    <definedName name="OSRRefD22_13x_0" localSheetId="56">'311'!$D$108</definedName>
    <definedName name="OSRRefD22_13x_0" localSheetId="62">'316'!$D$75</definedName>
    <definedName name="OSRRefD22_13x_0" localSheetId="65">'317'!$D$99</definedName>
    <definedName name="OSRRefD22_13x_0" localSheetId="72">'325'!$D$66</definedName>
    <definedName name="OSRRefD22_13x_0" localSheetId="60">'326'!$D$97:$D$99</definedName>
    <definedName name="OSRRefD22_13x_0" localSheetId="52">'330'!$D$120</definedName>
    <definedName name="OSRRefD22_13x_0" localSheetId="58">'331'!$D$128:$D$129</definedName>
    <definedName name="OSRRefD22_13x_0" localSheetId="61">'332'!$D$84</definedName>
    <definedName name="OSRRefD22_13x_0" localSheetId="77">'405'!$D$64:$D$65</definedName>
    <definedName name="OSRRefD22_13x_0" localSheetId="78">'406'!$D$67</definedName>
    <definedName name="OSRRefD22_13x_0" localSheetId="79">'411'!$D$62:$D$66</definedName>
    <definedName name="OSRRefD22_13x_0" localSheetId="80">'412'!$D$68</definedName>
    <definedName name="OSRRefD22_13x_0" localSheetId="82">'414'!$D$60:$D$66</definedName>
    <definedName name="OSRRefD22_13x_0" localSheetId="83">'415'!$D$68:$D$69</definedName>
    <definedName name="OSRRefD22_13x_0" localSheetId="84">'418'!$D$69:$D$74</definedName>
    <definedName name="OSRRefD22_13x_0" localSheetId="88">'425'!$D$70</definedName>
    <definedName name="OSRRefD22_13x_0" localSheetId="92">'433'!$D$68:$D$75</definedName>
    <definedName name="OSRRefD22_13x_0" localSheetId="94">'444'!$D$69</definedName>
    <definedName name="OSRRefD22_13x_0" localSheetId="95">'450'!$D$64:$D$66</definedName>
    <definedName name="OSRRefD22_13x_0" localSheetId="76">'491'!$D$74</definedName>
    <definedName name="OSRRefD22_13x_0" localSheetId="90">'492'!$D$69:$D$72</definedName>
    <definedName name="OSRRefD22_13x_0" localSheetId="39">'Div 2'!$D$66:$D$68</definedName>
    <definedName name="OSRRefD22_13x_0" localSheetId="47">'Div 3'!$D$213</definedName>
    <definedName name="OSRRefD22_13x_0" localSheetId="74">'Div 4'!$D$75</definedName>
    <definedName name="OSRRefD22_13x_0" localSheetId="64">'Div 6'!$D$99</definedName>
    <definedName name="OSRRefD22_13x_0" localSheetId="2">Summary!$D$247</definedName>
    <definedName name="OSRRefD22_14x_0" localSheetId="41">'201'!$D$64</definedName>
    <definedName name="OSRRefD22_14x_0" localSheetId="43">'203'!$D$65</definedName>
    <definedName name="OSRRefD22_14x_0" localSheetId="48">'300'!$D$210</definedName>
    <definedName name="OSRRefD22_14x_0" localSheetId="49">'300 &amp; 317'!$D$235</definedName>
    <definedName name="OSRRefD22_14x_0" localSheetId="50">'301'!$D$66</definedName>
    <definedName name="OSRRefD22_14x_0" localSheetId="55">'308'!$D$111</definedName>
    <definedName name="OSRRefD22_14x_0" localSheetId="66">'310'!$D$71:$D$73</definedName>
    <definedName name="OSRRefD22_14x_0" localSheetId="75">'310 &amp; 491'!$D$83</definedName>
    <definedName name="OSRRefD22_14x_0" localSheetId="56">'311'!$D$110</definedName>
    <definedName name="OSRRefD22_14x_0" localSheetId="72">'325'!$D$68:$D$72</definedName>
    <definedName name="OSRRefD22_14x_0" localSheetId="60">'326'!$D$101:$D$102</definedName>
    <definedName name="OSRRefD22_14x_0" localSheetId="52">'330'!$D$122</definedName>
    <definedName name="OSRRefD22_14x_0" localSheetId="58">'331'!$D$131:$D$132</definedName>
    <definedName name="OSRRefD22_14x_0" localSheetId="61">'332'!$D$86</definedName>
    <definedName name="OSRRefD22_14x_0" localSheetId="77">'405'!$D$67:$D$73</definedName>
    <definedName name="OSRRefD22_14x_0" localSheetId="79">'411'!$D$68</definedName>
    <definedName name="OSRRefD22_14x_0" localSheetId="82">'414'!$D$68</definedName>
    <definedName name="OSRRefD22_14x_0" localSheetId="83">'415'!$D$71:$D$78</definedName>
    <definedName name="OSRRefD22_14x_0" localSheetId="84">'418'!$D$76</definedName>
    <definedName name="OSRRefD22_14x_0" localSheetId="88">'425'!$D$72</definedName>
    <definedName name="OSRRefD22_14x_0" localSheetId="92">'433'!$D$77</definedName>
    <definedName name="OSRRefD22_14x_0" localSheetId="94">'444'!$D$71:$D$79</definedName>
    <definedName name="OSRRefD22_14x_0" localSheetId="95">'450'!$D$68:$D$73</definedName>
    <definedName name="OSRRefD22_14x_0" localSheetId="76">'491'!$D$76</definedName>
    <definedName name="OSRRefD22_14x_0" localSheetId="90">'492'!$D$74</definedName>
    <definedName name="OSRRefD22_14x_0" localSheetId="39">'Div 2'!$D$70:$D$71</definedName>
    <definedName name="OSRRefD22_14x_0" localSheetId="47">'Div 3'!$D$215</definedName>
    <definedName name="OSRRefD22_14x_0" localSheetId="74">'Div 4'!$D$77</definedName>
    <definedName name="OSRRefD22_14x_0" localSheetId="2">Summary!$D$249</definedName>
    <definedName name="OSRRefD22_15x_0" localSheetId="41">'201'!$D$66</definedName>
    <definedName name="OSRRefD22_15x_0" localSheetId="43">'203'!$D$67</definedName>
    <definedName name="OSRRefD22_15x_0" localSheetId="48">'300'!$D$212</definedName>
    <definedName name="OSRRefD22_15x_0" localSheetId="49">'300 &amp; 317'!$D$237</definedName>
    <definedName name="OSRRefD22_15x_0" localSheetId="50">'301'!$D$68:$D$71</definedName>
    <definedName name="OSRRefD22_15x_0" localSheetId="66">'310'!$D$75</definedName>
    <definedName name="OSRRefD22_15x_0" localSheetId="75">'310 &amp; 491'!$D$85</definedName>
    <definedName name="OSRRefD22_15x_0" localSheetId="72">'325'!$D$74</definedName>
    <definedName name="OSRRefD22_15x_0" localSheetId="60">'326'!$D$104:$D$107</definedName>
    <definedName name="OSRRefD22_15x_0" localSheetId="58">'331'!$D$134:$D$136</definedName>
    <definedName name="OSRRefD22_15x_0" localSheetId="77">'405'!$D$75</definedName>
    <definedName name="OSRRefD22_15x_0" localSheetId="79">'411'!$D$70:$D$75</definedName>
    <definedName name="OSRRefD22_15x_0" localSheetId="82">'414'!$D$70</definedName>
    <definedName name="OSRRefD22_15x_0" localSheetId="83">'415'!$D$80</definedName>
    <definedName name="OSRRefD22_15x_0" localSheetId="84">'418'!$D$78</definedName>
    <definedName name="OSRRefD22_15x_0" localSheetId="92">'433'!$D$79</definedName>
    <definedName name="OSRRefD22_15x_0" localSheetId="94">'444'!$D$81</definedName>
    <definedName name="OSRRefD22_15x_0" localSheetId="95">'450'!$D$75</definedName>
    <definedName name="OSRRefD22_15x_0" localSheetId="76">'491'!$D$78:$D$80</definedName>
    <definedName name="OSRRefD22_15x_0" localSheetId="90">'492'!$D$76:$D$84</definedName>
    <definedName name="OSRRefD22_15x_0" localSheetId="39">'Div 2'!$D$73</definedName>
    <definedName name="OSRRefD22_15x_0" localSheetId="47">'Div 3'!$D$217</definedName>
    <definedName name="OSRRefD22_15x_0" localSheetId="74">'Div 4'!$D$79</definedName>
    <definedName name="OSRRefD22_15x_0" localSheetId="2">Summary!$D$251</definedName>
    <definedName name="OSRRefD22_16x_0" localSheetId="48">'300'!$D$214:$D$217</definedName>
    <definedName name="OSRRefD22_16x_0" localSheetId="49">'300 &amp; 317'!$D$239:$D$242</definedName>
    <definedName name="OSRRefD22_16x_0" localSheetId="50">'301'!$D$73:$D$75</definedName>
    <definedName name="OSRRefD22_16x_0" localSheetId="66">'310'!$D$77:$D$80</definedName>
    <definedName name="OSRRefD22_16x_0" localSheetId="75">'310 &amp; 491'!$D$87:$D$89</definedName>
    <definedName name="OSRRefD22_16x_0" localSheetId="72">'325'!$D$76</definedName>
    <definedName name="OSRRefD22_16x_0" localSheetId="60">'326'!$D$109</definedName>
    <definedName name="OSRRefD22_16x_0" localSheetId="58">'331'!$D$138:$D$139</definedName>
    <definedName name="OSRRefD22_16x_0" localSheetId="77">'405'!$D$77</definedName>
    <definedName name="OSRRefD22_16x_0" localSheetId="79">'411'!$D$77</definedName>
    <definedName name="OSRRefD22_16x_0" localSheetId="83">'415'!$D$82</definedName>
    <definedName name="OSRRefD22_16x_0" localSheetId="92">'433'!$D$81</definedName>
    <definedName name="OSRRefD22_16x_0" localSheetId="94">'444'!$D$83</definedName>
    <definedName name="OSRRefD22_16x_0" localSheetId="95">'450'!$D$77</definedName>
    <definedName name="OSRRefD22_16x_0" localSheetId="76">'491'!$D$82:$D$83</definedName>
    <definedName name="OSRRefD22_16x_0" localSheetId="90">'492'!$D$86</definedName>
    <definedName name="OSRRefD22_16x_0" localSheetId="39">'Div 2'!$D$75:$D$79</definedName>
    <definedName name="OSRRefD22_16x_0" localSheetId="47">'Div 3'!$D$219</definedName>
    <definedName name="OSRRefD22_16x_0" localSheetId="74">'Div 4'!$D$81:$D$83</definedName>
    <definedName name="OSRRefD22_16x_0" localSheetId="2">Summary!$D$253</definedName>
    <definedName name="OSRRefD22_17x_0" localSheetId="48">'300'!$D$219:$D$221</definedName>
    <definedName name="OSRRefD22_17x_0" localSheetId="49">'300 &amp; 317'!$D$244:$D$246</definedName>
    <definedName name="OSRRefD22_17x_0" localSheetId="50">'301'!$D$77</definedName>
    <definedName name="OSRRefD22_17x_0" localSheetId="66">'310'!$D$82</definedName>
    <definedName name="OSRRefD22_17x_0" localSheetId="75">'310 &amp; 491'!$D$91:$D$92</definedName>
    <definedName name="OSRRefD22_17x_0" localSheetId="60">'326'!$D$111</definedName>
    <definedName name="OSRRefD22_17x_0" localSheetId="58">'331'!$D$141:$D$146</definedName>
    <definedName name="OSRRefD22_17x_0" localSheetId="77">'405'!$D$79</definedName>
    <definedName name="OSRRefD22_17x_0" localSheetId="79">'411'!$D$79</definedName>
    <definedName name="OSRRefD22_17x_0" localSheetId="83">'415'!$D$84</definedName>
    <definedName name="OSRRefD22_17x_0" localSheetId="94">'444'!$D$85</definedName>
    <definedName name="OSRRefD22_17x_0" localSheetId="95">'450'!$D$79</definedName>
    <definedName name="OSRRefD22_17x_0" localSheetId="76">'491'!$D$85:$D$89</definedName>
    <definedName name="OSRRefD22_17x_0" localSheetId="90">'492'!$D$88</definedName>
    <definedName name="OSRRefD22_17x_0" localSheetId="39">'Div 2'!$D$81:$D$82</definedName>
    <definedName name="OSRRefD22_17x_0" localSheetId="47">'Div 3'!$D$221:$D$224</definedName>
    <definedName name="OSRRefD22_17x_0" localSheetId="74">'Div 4'!$D$85:$D$86</definedName>
    <definedName name="OSRRefD22_17x_0" localSheetId="2">Summary!$D$255</definedName>
    <definedName name="OSRRefD22_18x_0" localSheetId="48">'300'!$D$223:$D$226</definedName>
    <definedName name="OSRRefD22_18x_0" localSheetId="49">'300 &amp; 317'!$D$248:$D$251</definedName>
    <definedName name="OSRRefD22_18x_0" localSheetId="50">'301'!$D$79:$D$84</definedName>
    <definedName name="OSRRefD22_18x_0" localSheetId="66">'310'!$D$84:$D$90</definedName>
    <definedName name="OSRRefD22_18x_0" localSheetId="75">'310 &amp; 491'!$D$94:$D$98</definedName>
    <definedName name="OSRRefD22_18x_0" localSheetId="60">'326'!$D$113</definedName>
    <definedName name="OSRRefD22_18x_0" localSheetId="58">'331'!$D$148</definedName>
    <definedName name="OSRRefD22_18x_0" localSheetId="79">'411'!$D$81:$D$83</definedName>
    <definedName name="OSRRefD22_18x_0" localSheetId="76">'491'!$D$91:$D$92</definedName>
    <definedName name="OSRRefD22_18x_0" localSheetId="90">'492'!$D$90</definedName>
    <definedName name="OSRRefD22_18x_0" localSheetId="39">'Div 2'!$D$84</definedName>
    <definedName name="OSRRefD22_18x_0" localSheetId="47">'Div 3'!$D$226:$D$228</definedName>
    <definedName name="OSRRefD22_18x_0" localSheetId="74">'Div 4'!$D$88:$D$92</definedName>
    <definedName name="OSRRefD22_18x_0" localSheetId="2">Summary!$D$257:$D$260</definedName>
    <definedName name="OSRRefD22_19x_0" localSheetId="48">'300'!$D$228:$D$229</definedName>
    <definedName name="OSRRefD22_19x_0" localSheetId="49">'300 &amp; 317'!$D$253:$D$254</definedName>
    <definedName name="OSRRefD22_19x_0" localSheetId="50">'301'!$D$86</definedName>
    <definedName name="OSRRefD22_19x_0" localSheetId="66">'310'!$D$92</definedName>
    <definedName name="OSRRefD22_19x_0" localSheetId="75">'310 &amp; 491'!$D$100:$D$101</definedName>
    <definedName name="OSRRefD22_19x_0" localSheetId="58">'331'!$D$150</definedName>
    <definedName name="OSRRefD22_19x_0" localSheetId="79">'411'!$D$85</definedName>
    <definedName name="OSRRefD22_19x_0" localSheetId="76">'491'!$D$94:$D$102</definedName>
    <definedName name="OSRRefD22_19x_0" localSheetId="39">'Div 2'!$D$86:$D$87</definedName>
    <definedName name="OSRRefD22_19x_0" localSheetId="47">'Div 3'!$D$230:$D$234</definedName>
    <definedName name="OSRRefD22_19x_0" localSheetId="74">'Div 4'!$D$94:$D$95</definedName>
    <definedName name="OSRRefD22_19x_0" localSheetId="2">Summary!$D$262:$D$264</definedName>
    <definedName name="OSRRefD22_1x_0" localSheetId="40">'200'!$D$22</definedName>
    <definedName name="OSRRefD22_1x_0" localSheetId="41">'201'!$D$29:$D$31</definedName>
    <definedName name="OSRRefD22_1x_0" localSheetId="42">'202'!$D$29:$D$32</definedName>
    <definedName name="OSRRefD22_1x_0" localSheetId="43">'203'!$D$31:$D$34</definedName>
    <definedName name="OSRRefD22_1x_0" localSheetId="44">'204'!$D$31:$D$35</definedName>
    <definedName name="OSRRefD22_1x_0" localSheetId="45">'205'!$D$29</definedName>
    <definedName name="OSRRefD22_1x_0" localSheetId="46">'206'!$D$28:$D$31</definedName>
    <definedName name="OSRRefD22_1x_0" localSheetId="48">'300'!$D$174:$D$180</definedName>
    <definedName name="OSRRefD22_1x_0" localSheetId="49">'300 &amp; 317'!$D$199:$D$205</definedName>
    <definedName name="OSRRefD22_1x_0" localSheetId="50">'301'!$D$31:$D$37</definedName>
    <definedName name="OSRRefD22_1x_0" localSheetId="51">'306'!$D$30:$D$35</definedName>
    <definedName name="OSRRefD22_1x_0" localSheetId="53">'307'!$D$79:$D$82</definedName>
    <definedName name="OSRRefD22_1x_0" localSheetId="55">'308'!$D$74:$D$79</definedName>
    <definedName name="OSRRefD22_1x_0" localSheetId="67">'309'!$D$33:$D$37</definedName>
    <definedName name="OSRRefD22_1x_0" localSheetId="66">'310'!$D$39:$D$44</definedName>
    <definedName name="OSRRefD22_1x_0" localSheetId="75">'310 &amp; 491'!$D$47:$D$53</definedName>
    <definedName name="OSRRefD22_1x_0" localSheetId="56">'311'!$D$73:$D$78</definedName>
    <definedName name="OSRRefD22_1x_0" localSheetId="68">'313'!$D$36:$D$40</definedName>
    <definedName name="OSRRefD22_1x_0" localSheetId="54">'314'!$D$63:$D$65</definedName>
    <definedName name="OSRRefD22_1x_0" localSheetId="59">'315'!$D$90:$D$95</definedName>
    <definedName name="OSRRefD22_1x_0" localSheetId="62">'316'!$D$41:$D$43</definedName>
    <definedName name="OSRRefD22_1x_0" localSheetId="65">'317'!$D$68:$D$72</definedName>
    <definedName name="OSRRefD22_1x_0" localSheetId="63">'320'!$D$36:$D$38</definedName>
    <definedName name="OSRRefD22_1x_0" localSheetId="69">'321'!$D$33:$D$37</definedName>
    <definedName name="OSRRefD22_1x_0" localSheetId="70">'322'!$D$33:$D$36</definedName>
    <definedName name="OSRRefD22_1x_0" localSheetId="72">'325'!$D$33:$D$37</definedName>
    <definedName name="OSRRefD22_1x_0" localSheetId="60">'326'!$D$68:$D$72</definedName>
    <definedName name="OSRRefD22_1x_0" localSheetId="73">'327'!$D$24</definedName>
    <definedName name="OSRRefD22_1x_0" localSheetId="52">'330'!$D$87:$D$91</definedName>
    <definedName name="OSRRefD22_1x_0" localSheetId="58">'331'!$D$97:$D$102</definedName>
    <definedName name="OSRRefD22_1x_0" localSheetId="61">'332'!$D$49:$D$52</definedName>
    <definedName name="OSRRefD22_1x_0" localSheetId="77">'405'!$D$33:$D$36</definedName>
    <definedName name="OSRRefD22_1x_0" localSheetId="78">'406'!$D$33:$D$37</definedName>
    <definedName name="OSRRefD22_1x_0" localSheetId="79">'411'!$D$30:$D$35</definedName>
    <definedName name="OSRRefD22_1x_0" localSheetId="80">'412'!$D$32:$D$37</definedName>
    <definedName name="OSRRefD22_1x_0" localSheetId="81">'413'!$D$33:$D$36</definedName>
    <definedName name="OSRRefD22_1x_0" localSheetId="82">'414'!$D$32:$D$35</definedName>
    <definedName name="OSRRefD22_1x_0" localSheetId="83">'415'!$D$33:$D$37</definedName>
    <definedName name="OSRRefD22_1x_0" localSheetId="84">'418'!$D$33:$D$38</definedName>
    <definedName name="OSRRefD22_1x_0" localSheetId="85">'420'!$D$31:$D$34</definedName>
    <definedName name="OSRRefD22_1x_0" localSheetId="86">'423'!$D$30</definedName>
    <definedName name="OSRRefD22_1x_0" localSheetId="87">'424'!$D$26:$D$30</definedName>
    <definedName name="OSRRefD22_1x_0" localSheetId="88">'425'!$D$33:$D$37</definedName>
    <definedName name="OSRRefD22_1x_0" localSheetId="91">'430'!$D$29</definedName>
    <definedName name="OSRRefD22_1x_0" localSheetId="92">'433'!$D$35:$D$40</definedName>
    <definedName name="OSRRefD22_1x_0" localSheetId="93">'435'!$D$29:$D$31</definedName>
    <definedName name="OSRRefD22_1x_0" localSheetId="94">'444'!$D$35:$D$40</definedName>
    <definedName name="OSRRefD22_1x_0" localSheetId="95">'450'!$D$35:$D$40</definedName>
    <definedName name="OSRRefD22_1x_0" localSheetId="89">'455'!$D$28:$D$29</definedName>
    <definedName name="OSRRefD22_1x_0" localSheetId="76">'491'!$D$41:$D$47</definedName>
    <definedName name="OSRRefD22_1x_0" localSheetId="90">'492'!$D$37:$D$43</definedName>
    <definedName name="OSRRefD22_1x_0" localSheetId="97">'501'!$D$31:$D$35</definedName>
    <definedName name="OSRRefD22_1x_0" localSheetId="39">'Div 2'!$D$32:$D$38</definedName>
    <definedName name="OSRRefD22_1x_0" localSheetId="47">'Div 3'!$D$179:$D$185</definedName>
    <definedName name="OSRRefD22_1x_0" localSheetId="74">'Div 4'!$D$42:$D$48</definedName>
    <definedName name="OSRRefD22_1x_0" localSheetId="96">'Div 5'!$D$31:$D$35</definedName>
    <definedName name="OSRRefD22_1x_0" localSheetId="64">'Div 6'!$D$68:$D$72</definedName>
    <definedName name="OSRRefD22_1x_0" localSheetId="2">Summary!$D$211:$D$217</definedName>
    <definedName name="OSRRefD22_20x_0" localSheetId="48">'300'!$D$231:$D$237</definedName>
    <definedName name="OSRRefD22_20x_0" localSheetId="49">'300 &amp; 317'!$D$256:$D$262</definedName>
    <definedName name="OSRRefD22_20x_0" localSheetId="50">'301'!$D$88</definedName>
    <definedName name="OSRRefD22_20x_0" localSheetId="66">'310'!$D$94</definedName>
    <definedName name="OSRRefD22_20x_0" localSheetId="75">'310 &amp; 491'!$D$103:$D$111</definedName>
    <definedName name="OSRRefD22_20x_0" localSheetId="58">'331'!$D$152:$D$153</definedName>
    <definedName name="OSRRefD22_20x_0" localSheetId="76">'491'!$D$104</definedName>
    <definedName name="OSRRefD22_20x_0" localSheetId="47">'Div 3'!$D$236:$D$237</definedName>
    <definedName name="OSRRefD22_20x_0" localSheetId="74">'Div 4'!$D$97:$D$105</definedName>
    <definedName name="OSRRefD22_20x_0" localSheetId="2">Summary!$D$266:$D$270</definedName>
    <definedName name="OSRRefD22_21x_0" localSheetId="48">'300'!$D$239:$D$240</definedName>
    <definedName name="OSRRefD22_21x_0" localSheetId="49">'300 &amp; 317'!$D$264:$D$265</definedName>
    <definedName name="OSRRefD22_21x_0" localSheetId="50">'301'!$D$90:$D$92</definedName>
    <definedName name="OSRRefD22_21x_0" localSheetId="66">'310'!$D$96</definedName>
    <definedName name="OSRRefD22_21x_0" localSheetId="75">'310 &amp; 491'!$D$113</definedName>
    <definedName name="OSRRefD22_21x_0" localSheetId="58">'331'!$D$155</definedName>
    <definedName name="OSRRefD22_21x_0" localSheetId="76">'491'!$D$106</definedName>
    <definedName name="OSRRefD22_21x_0" localSheetId="47">'Div 3'!$D$239:$D$245</definedName>
    <definedName name="OSRRefD22_21x_0" localSheetId="74">'Div 4'!$D$107</definedName>
    <definedName name="OSRRefD22_21x_0" localSheetId="2">Summary!$D$272:$D$273</definedName>
    <definedName name="OSRRefD22_22x_0" localSheetId="48">'300'!$D$242</definedName>
    <definedName name="OSRRefD22_22x_0" localSheetId="49">'300 &amp; 317'!$D$267</definedName>
    <definedName name="OSRRefD22_22x_0" localSheetId="50">'301'!$D$94</definedName>
    <definedName name="OSRRefD22_22x_0" localSheetId="75">'310 &amp; 491'!$D$115</definedName>
    <definedName name="OSRRefD22_22x_0" localSheetId="76">'491'!$D$108:$D$110</definedName>
    <definedName name="OSRRefD22_22x_0" localSheetId="47">'Div 3'!$D$247:$D$248</definedName>
    <definedName name="OSRRefD22_22x_0" localSheetId="74">'Div 4'!$D$109</definedName>
    <definedName name="OSRRefD22_22x_0" localSheetId="2">Summary!$D$275:$D$283</definedName>
    <definedName name="OSRRefD22_23x_0" localSheetId="48">'300'!$D$244:$D$246</definedName>
    <definedName name="OSRRefD22_23x_0" localSheetId="49">'300 &amp; 317'!$D$269:$D$271</definedName>
    <definedName name="OSRRefD22_23x_0" localSheetId="75">'310 &amp; 491'!$D$117:$D$119</definedName>
    <definedName name="OSRRefD22_23x_0" localSheetId="76">'491'!$D$112</definedName>
    <definedName name="OSRRefD22_23x_0" localSheetId="47">'Div 3'!$D$250</definedName>
    <definedName name="OSRRefD22_23x_0" localSheetId="74">'Div 4'!$D$111:$D$113</definedName>
    <definedName name="OSRRefD22_23x_0" localSheetId="2">Summary!$D$285:$D$286</definedName>
    <definedName name="OSRRefD22_24x_0" localSheetId="48">'300'!$D$248</definedName>
    <definedName name="OSRRefD22_24x_0" localSheetId="49">'300 &amp; 317'!$D$273</definedName>
    <definedName name="OSRRefD22_24x_0" localSheetId="75">'310 &amp; 491'!$D$121</definedName>
    <definedName name="OSRRefD22_24x_0" localSheetId="47">'Div 3'!$D$252:$D$254</definedName>
    <definedName name="OSRRefD22_24x_0" localSheetId="74">'Div 4'!$D$115</definedName>
    <definedName name="OSRRefD22_24x_0" localSheetId="2">Summary!$D$288</definedName>
    <definedName name="OSRRefD22_25x_0" localSheetId="47">'Div 3'!$D$256</definedName>
    <definedName name="OSRRefD22_25x_0" localSheetId="2">Summary!$D$290:$D$292</definedName>
    <definedName name="OSRRefD22_26x_0" localSheetId="2">Summary!$D$294</definedName>
    <definedName name="OSRRefD22_2x_0" localSheetId="40">'200'!$D$24</definedName>
    <definedName name="OSRRefD22_2x_0" localSheetId="41">'201'!$D$33</definedName>
    <definedName name="OSRRefD22_2x_0" localSheetId="42">'202'!$D$34</definedName>
    <definedName name="OSRRefD22_2x_0" localSheetId="43">'203'!$D$36</definedName>
    <definedName name="OSRRefD22_2x_0" localSheetId="44">'204'!$D$37</definedName>
    <definedName name="OSRRefD22_2x_0" localSheetId="45">'205'!$D$31</definedName>
    <definedName name="OSRRefD22_2x_0" localSheetId="46">'206'!$D$33</definedName>
    <definedName name="OSRRefD22_2x_0" localSheetId="48">'300'!$D$182</definedName>
    <definedName name="OSRRefD22_2x_0" localSheetId="49">'300 &amp; 317'!$D$207</definedName>
    <definedName name="OSRRefD22_2x_0" localSheetId="50">'301'!$D$39</definedName>
    <definedName name="OSRRefD22_2x_0" localSheetId="51">'306'!$D$37</definedName>
    <definedName name="OSRRefD22_2x_0" localSheetId="53">'307'!$D$84</definedName>
    <definedName name="OSRRefD22_2x_0" localSheetId="55">'308'!$D$81</definedName>
    <definedName name="OSRRefD22_2x_0" localSheetId="67">'309'!$D$39</definedName>
    <definedName name="OSRRefD22_2x_0" localSheetId="66">'310'!$D$46</definedName>
    <definedName name="OSRRefD22_2x_0" localSheetId="75">'310 &amp; 491'!$D$55</definedName>
    <definedName name="OSRRefD22_2x_0" localSheetId="56">'311'!$D$80</definedName>
    <definedName name="OSRRefD22_2x_0" localSheetId="68">'313'!$D$42</definedName>
    <definedName name="OSRRefD22_2x_0" localSheetId="54">'314'!$D$67</definedName>
    <definedName name="OSRRefD22_2x_0" localSheetId="59">'315'!$D$97</definedName>
    <definedName name="OSRRefD22_2x_0" localSheetId="62">'316'!$D$45</definedName>
    <definedName name="OSRRefD22_2x_0" localSheetId="65">'317'!$D$74</definedName>
    <definedName name="OSRRefD22_2x_0" localSheetId="63">'320'!$D$40</definedName>
    <definedName name="OSRRefD22_2x_0" localSheetId="69">'321'!$D$39</definedName>
    <definedName name="OSRRefD22_2x_0" localSheetId="70">'322'!$D$38</definedName>
    <definedName name="OSRRefD22_2x_0" localSheetId="72">'325'!$D$39</definedName>
    <definedName name="OSRRefD22_2x_0" localSheetId="60">'326'!$D$74</definedName>
    <definedName name="OSRRefD22_2x_0" localSheetId="73">'327'!$D$26</definedName>
    <definedName name="OSRRefD22_2x_0" localSheetId="52">'330'!$D$93</definedName>
    <definedName name="OSRRefD22_2x_0" localSheetId="58">'331'!$D$104</definedName>
    <definedName name="OSRRefD22_2x_0" localSheetId="61">'332'!$D$54</definedName>
    <definedName name="OSRRefD22_2x_0" localSheetId="77">'405'!$D$38</definedName>
    <definedName name="OSRRefD22_2x_0" localSheetId="78">'406'!$D$39</definedName>
    <definedName name="OSRRefD22_2x_0" localSheetId="79">'411'!$D$37</definedName>
    <definedName name="OSRRefD22_2x_0" localSheetId="80">'412'!$D$39</definedName>
    <definedName name="OSRRefD22_2x_0" localSheetId="81">'413'!$D$38</definedName>
    <definedName name="OSRRefD22_2x_0" localSheetId="82">'414'!$D$37</definedName>
    <definedName name="OSRRefD22_2x_0" localSheetId="83">'415'!$D$39</definedName>
    <definedName name="OSRRefD22_2x_0" localSheetId="84">'418'!$D$40</definedName>
    <definedName name="OSRRefD22_2x_0" localSheetId="85">'420'!$D$36</definedName>
    <definedName name="OSRRefD22_2x_0" localSheetId="86">'423'!$D$32</definedName>
    <definedName name="OSRRefD22_2x_0" localSheetId="87">'424'!$D$32</definedName>
    <definedName name="OSRRefD22_2x_0" localSheetId="88">'425'!$D$39</definedName>
    <definedName name="OSRRefD22_2x_0" localSheetId="91">'430'!$D$31</definedName>
    <definedName name="OSRRefD22_2x_0" localSheetId="92">'433'!$D$42</definedName>
    <definedName name="OSRRefD22_2x_0" localSheetId="93">'435'!$D$33</definedName>
    <definedName name="OSRRefD22_2x_0" localSheetId="94">'444'!$D$42</definedName>
    <definedName name="OSRRefD22_2x_0" localSheetId="95">'450'!$D$42</definedName>
    <definedName name="OSRRefD22_2x_0" localSheetId="76">'491'!$D$49</definedName>
    <definedName name="OSRRefD22_2x_0" localSheetId="90">'492'!$D$45</definedName>
    <definedName name="OSRRefD22_2x_0" localSheetId="97">'501'!$D$37</definedName>
    <definedName name="OSRRefD22_2x_0" localSheetId="39">'Div 2'!$D$40</definedName>
    <definedName name="OSRRefD22_2x_0" localSheetId="47">'Div 3'!$D$187</definedName>
    <definedName name="OSRRefD22_2x_0" localSheetId="74">'Div 4'!$D$50</definedName>
    <definedName name="OSRRefD22_2x_0" localSheetId="96">'Div 5'!$D$37</definedName>
    <definedName name="OSRRefD22_2x_0" localSheetId="64">'Div 6'!$D$74</definedName>
    <definedName name="OSRRefD22_2x_0" localSheetId="2">Summary!$D$219</definedName>
    <definedName name="OSRRefD22_3x_0" localSheetId="40">'200'!$D$26</definedName>
    <definedName name="OSRRefD22_3x_0" localSheetId="41">'201'!$D$35</definedName>
    <definedName name="OSRRefD22_3x_0" localSheetId="42">'202'!$D$36</definedName>
    <definedName name="OSRRefD22_3x_0" localSheetId="43">'203'!$D$38</definedName>
    <definedName name="OSRRefD22_3x_0" localSheetId="44">'204'!$D$39</definedName>
    <definedName name="OSRRefD22_3x_0" localSheetId="45">'205'!$D$33</definedName>
    <definedName name="OSRRefD22_3x_0" localSheetId="46">'206'!$D$35</definedName>
    <definedName name="OSRRefD22_3x_0" localSheetId="48">'300'!$D$184:$D$185</definedName>
    <definedName name="OSRRefD22_3x_0" localSheetId="49">'300 &amp; 317'!$D$209:$D$210</definedName>
    <definedName name="OSRRefD22_3x_0" localSheetId="50">'301'!$D$41:$D$42</definedName>
    <definedName name="OSRRefD22_3x_0" localSheetId="51">'306'!$D$39</definedName>
    <definedName name="OSRRefD22_3x_0" localSheetId="53">'307'!$D$86</definedName>
    <definedName name="OSRRefD22_3x_0" localSheetId="55">'308'!$D$83:$D$84</definedName>
    <definedName name="OSRRefD22_3x_0" localSheetId="67">'309'!$D$41</definedName>
    <definedName name="OSRRefD22_3x_0" localSheetId="66">'310'!$D$48</definedName>
    <definedName name="OSRRefD22_3x_0" localSheetId="75">'310 &amp; 491'!$D$57</definedName>
    <definedName name="OSRRefD22_3x_0" localSheetId="56">'311'!$D$82:$D$83</definedName>
    <definedName name="OSRRefD22_3x_0" localSheetId="68">'313'!$D$44</definedName>
    <definedName name="OSRRefD22_3x_0" localSheetId="54">'314'!$D$69:$D$70</definedName>
    <definedName name="OSRRefD22_3x_0" localSheetId="59">'315'!$D$99:$D$100</definedName>
    <definedName name="OSRRefD22_3x_0" localSheetId="62">'316'!$D$47</definedName>
    <definedName name="OSRRefD22_3x_0" localSheetId="65">'317'!$D$76</definedName>
    <definedName name="OSRRefD22_3x_0" localSheetId="63">'320'!$D$42</definedName>
    <definedName name="OSRRefD22_3x_0" localSheetId="69">'321'!$D$41</definedName>
    <definedName name="OSRRefD22_3x_0" localSheetId="70">'322'!$D$40</definedName>
    <definedName name="OSRRefD22_3x_0" localSheetId="72">'325'!$D$41</definedName>
    <definedName name="OSRRefD22_3x_0" localSheetId="60">'326'!$D$76</definedName>
    <definedName name="OSRRefD22_3x_0" localSheetId="52">'330'!$D$95</definedName>
    <definedName name="OSRRefD22_3x_0" localSheetId="58">'331'!$D$106</definedName>
    <definedName name="OSRRefD22_3x_0" localSheetId="61">'332'!$D$56</definedName>
    <definedName name="OSRRefD22_3x_0" localSheetId="77">'405'!$D$40</definedName>
    <definedName name="OSRRefD22_3x_0" localSheetId="78">'406'!$D$41</definedName>
    <definedName name="OSRRefD22_3x_0" localSheetId="79">'411'!$D$39</definedName>
    <definedName name="OSRRefD22_3x_0" localSheetId="80">'412'!$D$41</definedName>
    <definedName name="OSRRefD22_3x_0" localSheetId="81">'413'!$D$40</definedName>
    <definedName name="OSRRefD22_3x_0" localSheetId="82">'414'!$D$39</definedName>
    <definedName name="OSRRefD22_3x_0" localSheetId="83">'415'!$D$41</definedName>
    <definedName name="OSRRefD22_3x_0" localSheetId="84">'418'!$D$42</definedName>
    <definedName name="OSRRefD22_3x_0" localSheetId="85">'420'!$D$38</definedName>
    <definedName name="OSRRefD22_3x_0" localSheetId="86">'423'!$D$34</definedName>
    <definedName name="OSRRefD22_3x_0" localSheetId="87">'424'!$D$34</definedName>
    <definedName name="OSRRefD22_3x_0" localSheetId="88">'425'!$D$41</definedName>
    <definedName name="OSRRefD22_3x_0" localSheetId="91">'430'!$D$33</definedName>
    <definedName name="OSRRefD22_3x_0" localSheetId="92">'433'!$D$44</definedName>
    <definedName name="OSRRefD22_3x_0" localSheetId="93">'435'!$D$35</definedName>
    <definedName name="OSRRefD22_3x_0" localSheetId="94">'444'!$D$44</definedName>
    <definedName name="OSRRefD22_3x_0" localSheetId="95">'450'!$D$44</definedName>
    <definedName name="OSRRefD22_3x_0" localSheetId="76">'491'!$D$51</definedName>
    <definedName name="OSRRefD22_3x_0" localSheetId="90">'492'!$D$47</definedName>
    <definedName name="OSRRefD22_3x_0" localSheetId="97">'501'!$D$39</definedName>
    <definedName name="OSRRefD22_3x_0" localSheetId="39">'Div 2'!$D$42</definedName>
    <definedName name="OSRRefD22_3x_0" localSheetId="47">'Div 3'!$D$189:$D$190</definedName>
    <definedName name="OSRRefD22_3x_0" localSheetId="74">'Div 4'!$D$52</definedName>
    <definedName name="OSRRefD22_3x_0" localSheetId="96">'Div 5'!$D$39</definedName>
    <definedName name="OSRRefD22_3x_0" localSheetId="64">'Div 6'!$D$76</definedName>
    <definedName name="OSRRefD22_3x_0" localSheetId="2">Summary!$D$221:$D$222</definedName>
    <definedName name="OSRRefD22_4x_0" localSheetId="40">'200'!$D$28:$D$29</definedName>
    <definedName name="OSRRefD22_4x_0" localSheetId="41">'201'!$D$37</definedName>
    <definedName name="OSRRefD22_4x_0" localSheetId="42">'202'!$D$38:$D$39</definedName>
    <definedName name="OSRRefD22_4x_0" localSheetId="43">'203'!$D$40</definedName>
    <definedName name="OSRRefD22_4x_0" localSheetId="44">'204'!$D$41</definedName>
    <definedName name="OSRRefD22_4x_0" localSheetId="45">'205'!$D$35:$D$36</definedName>
    <definedName name="OSRRefD22_4x_0" localSheetId="46">'206'!$D$37</definedName>
    <definedName name="OSRRefD22_4x_0" localSheetId="48">'300'!$D$187</definedName>
    <definedName name="OSRRefD22_4x_0" localSheetId="49">'300 &amp; 317'!$D$212</definedName>
    <definedName name="OSRRefD22_4x_0" localSheetId="50">'301'!$D$44</definedName>
    <definedName name="OSRRefD22_4x_0" localSheetId="51">'306'!$D$41</definedName>
    <definedName name="OSRRefD22_4x_0" localSheetId="53">'307'!$D$88:$D$89</definedName>
    <definedName name="OSRRefD22_4x_0" localSheetId="55">'308'!$D$86</definedName>
    <definedName name="OSRRefD22_4x_0" localSheetId="67">'309'!$D$43</definedName>
    <definedName name="OSRRefD22_4x_0" localSheetId="66">'310'!$D$50</definedName>
    <definedName name="OSRRefD22_4x_0" localSheetId="75">'310 &amp; 491'!$D$59</definedName>
    <definedName name="OSRRefD22_4x_0" localSheetId="56">'311'!$D$85</definedName>
    <definedName name="OSRRefD22_4x_0" localSheetId="68">'313'!$D$46</definedName>
    <definedName name="OSRRefD22_4x_0" localSheetId="54">'314'!$D$72</definedName>
    <definedName name="OSRRefD22_4x_0" localSheetId="59">'315'!$D$102</definedName>
    <definedName name="OSRRefD22_4x_0" localSheetId="62">'316'!$D$49</definedName>
    <definedName name="OSRRefD22_4x_0" localSheetId="65">'317'!$D$78</definedName>
    <definedName name="OSRRefD22_4x_0" localSheetId="63">'320'!$D$44:$D$45</definedName>
    <definedName name="OSRRefD22_4x_0" localSheetId="69">'321'!$D$43</definedName>
    <definedName name="OSRRefD22_4x_0" localSheetId="70">'322'!$D$42</definedName>
    <definedName name="OSRRefD22_4x_0" localSheetId="72">'325'!$D$43</definedName>
    <definedName name="OSRRefD22_4x_0" localSheetId="60">'326'!$D$78</definedName>
    <definedName name="OSRRefD22_4x_0" localSheetId="52">'330'!$D$97:$D$98</definedName>
    <definedName name="OSRRefD22_4x_0" localSheetId="58">'331'!$D$108</definedName>
    <definedName name="OSRRefD22_4x_0" localSheetId="61">'332'!$D$58</definedName>
    <definedName name="OSRRefD22_4x_0" localSheetId="77">'405'!$D$42</definedName>
    <definedName name="OSRRefD22_4x_0" localSheetId="78">'406'!$D$43</definedName>
    <definedName name="OSRRefD22_4x_0" localSheetId="79">'411'!$D$41:$D$43</definedName>
    <definedName name="OSRRefD22_4x_0" localSheetId="80">'412'!$D$43</definedName>
    <definedName name="OSRRefD22_4x_0" localSheetId="81">'413'!$D$42</definedName>
    <definedName name="OSRRefD22_4x_0" localSheetId="82">'414'!$D$41</definedName>
    <definedName name="OSRRefD22_4x_0" localSheetId="83">'415'!$D$43</definedName>
    <definedName name="OSRRefD22_4x_0" localSheetId="84">'418'!$D$44</definedName>
    <definedName name="OSRRefD22_4x_0" localSheetId="85">'420'!$D$40:$D$41</definedName>
    <definedName name="OSRRefD22_4x_0" localSheetId="86">'423'!$D$36</definedName>
    <definedName name="OSRRefD22_4x_0" localSheetId="87">'424'!$D$36</definedName>
    <definedName name="OSRRefD22_4x_0" localSheetId="88">'425'!$D$43</definedName>
    <definedName name="OSRRefD22_4x_0" localSheetId="91">'430'!$D$35:$D$36</definedName>
    <definedName name="OSRRefD22_4x_0" localSheetId="92">'433'!$D$46</definedName>
    <definedName name="OSRRefD22_4x_0" localSheetId="93">'435'!$D$37</definedName>
    <definedName name="OSRRefD22_4x_0" localSheetId="94">'444'!$D$46</definedName>
    <definedName name="OSRRefD22_4x_0" localSheetId="95">'450'!$D$46</definedName>
    <definedName name="OSRRefD22_4x_0" localSheetId="76">'491'!$D$53</definedName>
    <definedName name="OSRRefD22_4x_0" localSheetId="90">'492'!$D$49</definedName>
    <definedName name="OSRRefD22_4x_0" localSheetId="97">'501'!$D$41</definedName>
    <definedName name="OSRRefD22_4x_0" localSheetId="39">'Div 2'!$D$44</definedName>
    <definedName name="OSRRefD22_4x_0" localSheetId="47">'Div 3'!$D$192</definedName>
    <definedName name="OSRRefD22_4x_0" localSheetId="74">'Div 4'!$D$54</definedName>
    <definedName name="OSRRefD22_4x_0" localSheetId="96">'Div 5'!$D$41</definedName>
    <definedName name="OSRRefD22_4x_0" localSheetId="64">'Div 6'!$D$78</definedName>
    <definedName name="OSRRefD22_4x_0" localSheetId="2">Summary!$D$224</definedName>
    <definedName name="OSRRefD22_5x_0" localSheetId="41">'201'!$D$39</definedName>
    <definedName name="OSRRefD22_5x_0" localSheetId="42">'202'!$D$41</definedName>
    <definedName name="OSRRefD22_5x_0" localSheetId="43">'203'!$D$42</definedName>
    <definedName name="OSRRefD22_5x_0" localSheetId="44">'204'!$D$43</definedName>
    <definedName name="OSRRefD22_5x_0" localSheetId="45">'205'!$D$38</definedName>
    <definedName name="OSRRefD22_5x_0" localSheetId="46">'206'!$D$39:$D$40</definedName>
    <definedName name="OSRRefD22_5x_0" localSheetId="48">'300'!$D$189:$D$190</definedName>
    <definedName name="OSRRefD22_5x_0" localSheetId="49">'300 &amp; 317'!$D$214:$D$215</definedName>
    <definedName name="OSRRefD22_5x_0" localSheetId="50">'301'!$D$46:$D$47</definedName>
    <definedName name="OSRRefD22_5x_0" localSheetId="51">'306'!$D$43</definedName>
    <definedName name="OSRRefD22_5x_0" localSheetId="53">'307'!$D$91</definedName>
    <definedName name="OSRRefD22_5x_0" localSheetId="55">'308'!$D$88</definedName>
    <definedName name="OSRRefD22_5x_0" localSheetId="67">'309'!$D$45</definedName>
    <definedName name="OSRRefD22_5x_0" localSheetId="66">'310'!$D$52:$D$53</definedName>
    <definedName name="OSRRefD22_5x_0" localSheetId="75">'310 &amp; 491'!$D$61:$D$63</definedName>
    <definedName name="OSRRefD22_5x_0" localSheetId="56">'311'!$D$87</definedName>
    <definedName name="OSRRefD22_5x_0" localSheetId="68">'313'!$D$48</definedName>
    <definedName name="OSRRefD22_5x_0" localSheetId="54">'314'!$D$74</definedName>
    <definedName name="OSRRefD22_5x_0" localSheetId="59">'315'!$D$104:$D$105</definedName>
    <definedName name="OSRRefD22_5x_0" localSheetId="62">'316'!$D$51</definedName>
    <definedName name="OSRRefD22_5x_0" localSheetId="65">'317'!$D$80:$D$81</definedName>
    <definedName name="OSRRefD22_5x_0" localSheetId="63">'320'!$D$47</definedName>
    <definedName name="OSRRefD22_5x_0" localSheetId="69">'321'!$D$45</definedName>
    <definedName name="OSRRefD22_5x_0" localSheetId="70">'322'!$D$44</definedName>
    <definedName name="OSRRefD22_5x_0" localSheetId="72">'325'!$D$45:$D$46</definedName>
    <definedName name="OSRRefD22_5x_0" localSheetId="60">'326'!$D$80</definedName>
    <definedName name="OSRRefD22_5x_0" localSheetId="52">'330'!$D$100</definedName>
    <definedName name="OSRRefD22_5x_0" localSheetId="58">'331'!$D$110:$D$111</definedName>
    <definedName name="OSRRefD22_5x_0" localSheetId="61">'332'!$D$60</definedName>
    <definedName name="OSRRefD22_5x_0" localSheetId="77">'405'!$D$44:$D$45</definedName>
    <definedName name="OSRRefD22_5x_0" localSheetId="78">'406'!$D$45</definedName>
    <definedName name="OSRRefD22_5x_0" localSheetId="79">'411'!$D$45</definedName>
    <definedName name="OSRRefD22_5x_0" localSheetId="80">'412'!$D$45</definedName>
    <definedName name="OSRRefD22_5x_0" localSheetId="81">'413'!$D$44</definedName>
    <definedName name="OSRRefD22_5x_0" localSheetId="82">'414'!$D$43</definedName>
    <definedName name="OSRRefD22_5x_0" localSheetId="83">'415'!$D$45:$D$46</definedName>
    <definedName name="OSRRefD22_5x_0" localSheetId="84">'418'!$D$46:$D$47</definedName>
    <definedName name="OSRRefD22_5x_0" localSheetId="85">'420'!$D$43</definedName>
    <definedName name="OSRRefD22_5x_0" localSheetId="86">'423'!$D$38</definedName>
    <definedName name="OSRRefD22_5x_0" localSheetId="87">'424'!$D$38</definedName>
    <definedName name="OSRRefD22_5x_0" localSheetId="88">'425'!$D$45</definedName>
    <definedName name="OSRRefD22_5x_0" localSheetId="91">'430'!$D$38</definedName>
    <definedName name="OSRRefD22_5x_0" localSheetId="92">'433'!$D$48</definedName>
    <definedName name="OSRRefD22_5x_0" localSheetId="93">'435'!$D$39</definedName>
    <definedName name="OSRRefD22_5x_0" localSheetId="94">'444'!$D$48</definedName>
    <definedName name="OSRRefD22_5x_0" localSheetId="95">'450'!$D$48</definedName>
    <definedName name="OSRRefD22_5x_0" localSheetId="76">'491'!$D$55:$D$57</definedName>
    <definedName name="OSRRefD22_5x_0" localSheetId="90">'492'!$D$51</definedName>
    <definedName name="OSRRefD22_5x_0" localSheetId="97">'501'!$D$43:$D$44</definedName>
    <definedName name="OSRRefD22_5x_0" localSheetId="39">'Div 2'!$D$46</definedName>
    <definedName name="OSRRefD22_5x_0" localSheetId="47">'Div 3'!$D$194:$D$195</definedName>
    <definedName name="OSRRefD22_5x_0" localSheetId="74">'Div 4'!$D$56:$D$58</definedName>
    <definedName name="OSRRefD22_5x_0" localSheetId="96">'Div 5'!$D$43:$D$44</definedName>
    <definedName name="OSRRefD22_5x_0" localSheetId="64">'Div 6'!$D$80:$D$81</definedName>
    <definedName name="OSRRefD22_5x_0" localSheetId="2">Summary!$D$226:$D$228</definedName>
    <definedName name="OSRRefD22_6x_0" localSheetId="41">'201'!$D$41</definedName>
    <definedName name="OSRRefD22_6x_0" localSheetId="42">'202'!$D$43</definedName>
    <definedName name="OSRRefD22_6x_0" localSheetId="43">'203'!$D$44</definedName>
    <definedName name="OSRRefD22_6x_0" localSheetId="44">'204'!$D$45:$D$47</definedName>
    <definedName name="OSRRefD22_6x_0" localSheetId="45">'205'!$D$40:$D$42</definedName>
    <definedName name="OSRRefD22_6x_0" localSheetId="46">'206'!$D$42</definedName>
    <definedName name="OSRRefD22_6x_0" localSheetId="48">'300'!$D$192:$D$193</definedName>
    <definedName name="OSRRefD22_6x_0" localSheetId="49">'300 &amp; 317'!$D$217:$D$218</definedName>
    <definedName name="OSRRefD22_6x_0" localSheetId="50">'301'!$D$49:$D$50</definedName>
    <definedName name="OSRRefD22_6x_0" localSheetId="51">'306'!$D$45:$D$46</definedName>
    <definedName name="OSRRefD22_6x_0" localSheetId="53">'307'!$D$93</definedName>
    <definedName name="OSRRefD22_6x_0" localSheetId="55">'308'!$D$90:$D$91</definedName>
    <definedName name="OSRRefD22_6x_0" localSheetId="67">'309'!$D$47</definedName>
    <definedName name="OSRRefD22_6x_0" localSheetId="66">'310'!$D$55</definedName>
    <definedName name="OSRRefD22_6x_0" localSheetId="75">'310 &amp; 491'!$D$65</definedName>
    <definedName name="OSRRefD22_6x_0" localSheetId="56">'311'!$D$89:$D$90</definedName>
    <definedName name="OSRRefD22_6x_0" localSheetId="68">'313'!$D$50</definedName>
    <definedName name="OSRRefD22_6x_0" localSheetId="54">'314'!$D$76</definedName>
    <definedName name="OSRRefD22_6x_0" localSheetId="59">'315'!$D$107</definedName>
    <definedName name="OSRRefD22_6x_0" localSheetId="62">'316'!$D$53:$D$54</definedName>
    <definedName name="OSRRefD22_6x_0" localSheetId="65">'317'!$D$83</definedName>
    <definedName name="OSRRefD22_6x_0" localSheetId="63">'320'!$D$49</definedName>
    <definedName name="OSRRefD22_6x_0" localSheetId="69">'321'!$D$47:$D$49</definedName>
    <definedName name="OSRRefD22_6x_0" localSheetId="70">'322'!$D$46</definedName>
    <definedName name="OSRRefD22_6x_0" localSheetId="72">'325'!$D$48</definedName>
    <definedName name="OSRRefD22_6x_0" localSheetId="60">'326'!$D$82</definedName>
    <definedName name="OSRRefD22_6x_0" localSheetId="52">'330'!$D$102</definedName>
    <definedName name="OSRRefD22_6x_0" localSheetId="58">'331'!$D$113</definedName>
    <definedName name="OSRRefD22_6x_0" localSheetId="61">'332'!$D$62:$D$63</definedName>
    <definedName name="OSRRefD22_6x_0" localSheetId="77">'405'!$D$47</definedName>
    <definedName name="OSRRefD22_6x_0" localSheetId="78">'406'!$D$47</definedName>
    <definedName name="OSRRefD22_6x_0" localSheetId="79">'411'!$D$47</definedName>
    <definedName name="OSRRefD22_6x_0" localSheetId="80">'412'!$D$47</definedName>
    <definedName name="OSRRefD22_6x_0" localSheetId="81">'413'!$D$46</definedName>
    <definedName name="OSRRefD22_6x_0" localSheetId="82">'414'!$D$45</definedName>
    <definedName name="OSRRefD22_6x_0" localSheetId="83">'415'!$D$48</definedName>
    <definedName name="OSRRefD22_6x_0" localSheetId="84">'418'!$D$49</definedName>
    <definedName name="OSRRefD22_6x_0" localSheetId="87">'424'!$D$40</definedName>
    <definedName name="OSRRefD22_6x_0" localSheetId="88">'425'!$D$47</definedName>
    <definedName name="OSRRefD22_6x_0" localSheetId="91">'430'!$D$40</definedName>
    <definedName name="OSRRefD22_6x_0" localSheetId="92">'433'!$D$50</definedName>
    <definedName name="OSRRefD22_6x_0" localSheetId="93">'435'!$D$41:$D$43</definedName>
    <definedName name="OSRRefD22_6x_0" localSheetId="94">'444'!$D$50</definedName>
    <definedName name="OSRRefD22_6x_0" localSheetId="95">'450'!$D$50</definedName>
    <definedName name="OSRRefD22_6x_0" localSheetId="76">'491'!$D$59</definedName>
    <definedName name="OSRRefD22_6x_0" localSheetId="90">'492'!$D$53</definedName>
    <definedName name="OSRRefD22_6x_0" localSheetId="97">'501'!$D$46</definedName>
    <definedName name="OSRRefD22_6x_0" localSheetId="39">'Div 2'!$D$48</definedName>
    <definedName name="OSRRefD22_6x_0" localSheetId="47">'Div 3'!$D$197:$D$198</definedName>
    <definedName name="OSRRefD22_6x_0" localSheetId="74">'Div 4'!$D$60</definedName>
    <definedName name="OSRRefD22_6x_0" localSheetId="96">'Div 5'!$D$46</definedName>
    <definedName name="OSRRefD22_6x_0" localSheetId="64">'Div 6'!$D$83</definedName>
    <definedName name="OSRRefD22_6x_0" localSheetId="2">Summary!$D$230:$D$231</definedName>
    <definedName name="OSRRefD22_7x_0" localSheetId="41">'201'!$D$43</definedName>
    <definedName name="OSRRefD22_7x_0" localSheetId="42">'202'!$D$45:$D$47</definedName>
    <definedName name="OSRRefD22_7x_0" localSheetId="43">'203'!$D$46</definedName>
    <definedName name="OSRRefD22_7x_0" localSheetId="44">'204'!$D$49</definedName>
    <definedName name="OSRRefD22_7x_0" localSheetId="45">'205'!$D$44</definedName>
    <definedName name="OSRRefD22_7x_0" localSheetId="46">'206'!$D$44</definedName>
    <definedName name="OSRRefD22_7x_0" localSheetId="48">'300'!$D$195</definedName>
    <definedName name="OSRRefD22_7x_0" localSheetId="49">'300 &amp; 317'!$D$220</definedName>
    <definedName name="OSRRefD22_7x_0" localSheetId="50">'301'!$D$52</definedName>
    <definedName name="OSRRefD22_7x_0" localSheetId="51">'306'!$D$48:$D$50</definedName>
    <definedName name="OSRRefD22_7x_0" localSheetId="53">'307'!$D$95:$D$96</definedName>
    <definedName name="OSRRefD22_7x_0" localSheetId="55">'308'!$D$93</definedName>
    <definedName name="OSRRefD22_7x_0" localSheetId="67">'309'!$D$49</definedName>
    <definedName name="OSRRefD22_7x_0" localSheetId="66">'310'!$D$57</definedName>
    <definedName name="OSRRefD22_7x_0" localSheetId="75">'310 &amp; 491'!$D$67</definedName>
    <definedName name="OSRRefD22_7x_0" localSheetId="56">'311'!$D$92</definedName>
    <definedName name="OSRRefD22_7x_0" localSheetId="68">'313'!$D$52</definedName>
    <definedName name="OSRRefD22_7x_0" localSheetId="54">'314'!$D$78</definedName>
    <definedName name="OSRRefD22_7x_0" localSheetId="59">'315'!$D$109:$D$110</definedName>
    <definedName name="OSRRefD22_7x_0" localSheetId="62">'316'!$D$56</definedName>
    <definedName name="OSRRefD22_7x_0" localSheetId="65">'317'!$D$85</definedName>
    <definedName name="OSRRefD22_7x_0" localSheetId="63">'320'!$D$51:$D$52</definedName>
    <definedName name="OSRRefD22_7x_0" localSheetId="69">'321'!$D$51</definedName>
    <definedName name="OSRRefD22_7x_0" localSheetId="70">'322'!$D$48</definedName>
    <definedName name="OSRRefD22_7x_0" localSheetId="72">'325'!$D$50</definedName>
    <definedName name="OSRRefD22_7x_0" localSheetId="60">'326'!$D$84</definedName>
    <definedName name="OSRRefD22_7x_0" localSheetId="52">'330'!$D$104</definedName>
    <definedName name="OSRRefD22_7x_0" localSheetId="58">'331'!$D$115:$D$116</definedName>
    <definedName name="OSRRefD22_7x_0" localSheetId="61">'332'!$D$65</definedName>
    <definedName name="OSRRefD22_7x_0" localSheetId="77">'405'!$D$49</definedName>
    <definedName name="OSRRefD22_7x_0" localSheetId="78">'406'!$D$49</definedName>
    <definedName name="OSRRefD22_7x_0" localSheetId="79">'411'!$D$49</definedName>
    <definedName name="OSRRefD22_7x_0" localSheetId="80">'412'!$D$49</definedName>
    <definedName name="OSRRefD22_7x_0" localSheetId="81">'413'!$D$48:$D$50</definedName>
    <definedName name="OSRRefD22_7x_0" localSheetId="82">'414'!$D$47</definedName>
    <definedName name="OSRRefD22_7x_0" localSheetId="83">'415'!$D$50</definedName>
    <definedName name="OSRRefD22_7x_0" localSheetId="84">'418'!$D$51</definedName>
    <definedName name="OSRRefD22_7x_0" localSheetId="87">'424'!$D$42</definedName>
    <definedName name="OSRRefD22_7x_0" localSheetId="88">'425'!$D$49</definedName>
    <definedName name="OSRRefD22_7x_0" localSheetId="91">'430'!$D$42</definedName>
    <definedName name="OSRRefD22_7x_0" localSheetId="92">'433'!$D$52</definedName>
    <definedName name="OSRRefD22_7x_0" localSheetId="93">'435'!$D$45</definedName>
    <definedName name="OSRRefD22_7x_0" localSheetId="94">'444'!$D$52</definedName>
    <definedName name="OSRRefD22_7x_0" localSheetId="95">'450'!$D$52</definedName>
    <definedName name="OSRRefD22_7x_0" localSheetId="76">'491'!$D$61</definedName>
    <definedName name="OSRRefD22_7x_0" localSheetId="90">'492'!$D$55</definedName>
    <definedName name="OSRRefD22_7x_0" localSheetId="97">'501'!$D$48</definedName>
    <definedName name="OSRRefD22_7x_0" localSheetId="39">'Div 2'!$D$50</definedName>
    <definedName name="OSRRefD22_7x_0" localSheetId="47">'Div 3'!$D$200</definedName>
    <definedName name="OSRRefD22_7x_0" localSheetId="74">'Div 4'!$D$62</definedName>
    <definedName name="OSRRefD22_7x_0" localSheetId="96">'Div 5'!$D$48</definedName>
    <definedName name="OSRRefD22_7x_0" localSheetId="64">'Div 6'!$D$85</definedName>
    <definedName name="OSRRefD22_7x_0" localSheetId="2">Summary!$D$233</definedName>
    <definedName name="OSRRefD22_8x_0" localSheetId="41">'201'!$D$45</definedName>
    <definedName name="OSRRefD22_8x_0" localSheetId="42">'202'!$D$49</definedName>
    <definedName name="OSRRefD22_8x_0" localSheetId="43">'203'!$D$48</definedName>
    <definedName name="OSRRefD22_8x_0" localSheetId="44">'204'!$D$51:$D$52</definedName>
    <definedName name="OSRRefD22_8x_0" localSheetId="45">'205'!$D$46</definedName>
    <definedName name="OSRRefD22_8x_0" localSheetId="48">'300'!$D$197</definedName>
    <definedName name="OSRRefD22_8x_0" localSheetId="49">'300 &amp; 317'!$D$222</definedName>
    <definedName name="OSRRefD22_8x_0" localSheetId="50">'301'!$D$54</definedName>
    <definedName name="OSRRefD22_8x_0" localSheetId="51">'306'!$D$52</definedName>
    <definedName name="OSRRefD22_8x_0" localSheetId="53">'307'!$D$98:$D$99</definedName>
    <definedName name="OSRRefD22_8x_0" localSheetId="55">'308'!$D$95</definedName>
    <definedName name="OSRRefD22_8x_0" localSheetId="67">'309'!$D$51</definedName>
    <definedName name="OSRRefD22_8x_0" localSheetId="66">'310'!$D$59</definedName>
    <definedName name="OSRRefD22_8x_0" localSheetId="75">'310 &amp; 491'!$D$69</definedName>
    <definedName name="OSRRefD22_8x_0" localSheetId="56">'311'!$D$94</definedName>
    <definedName name="OSRRefD22_8x_0" localSheetId="68">'313'!$D$54:$D$56</definedName>
    <definedName name="OSRRefD22_8x_0" localSheetId="59">'315'!$D$112:$D$113</definedName>
    <definedName name="OSRRefD22_8x_0" localSheetId="62">'316'!$D$58:$D$60</definedName>
    <definedName name="OSRRefD22_8x_0" localSheetId="65">'317'!$D$87</definedName>
    <definedName name="OSRRefD22_8x_0" localSheetId="63">'320'!$D$54</definedName>
    <definedName name="OSRRefD22_8x_0" localSheetId="69">'321'!$D$53:$D$55</definedName>
    <definedName name="OSRRefD22_8x_0" localSheetId="70">'322'!$D$50:$D$51</definedName>
    <definedName name="OSRRefD22_8x_0" localSheetId="72">'325'!$D$52</definedName>
    <definedName name="OSRRefD22_8x_0" localSheetId="60">'326'!$D$86</definedName>
    <definedName name="OSRRefD22_8x_0" localSheetId="52">'330'!$D$106:$D$107</definedName>
    <definedName name="OSRRefD22_8x_0" localSheetId="58">'331'!$D$118</definedName>
    <definedName name="OSRRefD22_8x_0" localSheetId="61">'332'!$D$67</definedName>
    <definedName name="OSRRefD22_8x_0" localSheetId="77">'405'!$D$51</definedName>
    <definedName name="OSRRefD22_8x_0" localSheetId="78">'406'!$D$51</definedName>
    <definedName name="OSRRefD22_8x_0" localSheetId="79">'411'!$D$51</definedName>
    <definedName name="OSRRefD22_8x_0" localSheetId="80">'412'!$D$51</definedName>
    <definedName name="OSRRefD22_8x_0" localSheetId="81">'413'!$D$52:$D$53</definedName>
    <definedName name="OSRRefD22_8x_0" localSheetId="82">'414'!$D$49</definedName>
    <definedName name="OSRRefD22_8x_0" localSheetId="83">'415'!$D$52</definedName>
    <definedName name="OSRRefD22_8x_0" localSheetId="84">'418'!$D$53</definedName>
    <definedName name="OSRRefD22_8x_0" localSheetId="87">'424'!$D$44:$D$45</definedName>
    <definedName name="OSRRefD22_8x_0" localSheetId="88">'425'!$D$51</definedName>
    <definedName name="OSRRefD22_8x_0" localSheetId="92">'433'!$D$54</definedName>
    <definedName name="OSRRefD22_8x_0" localSheetId="94">'444'!$D$54</definedName>
    <definedName name="OSRRefD22_8x_0" localSheetId="95">'450'!$D$54</definedName>
    <definedName name="OSRRefD22_8x_0" localSheetId="76">'491'!$D$63</definedName>
    <definedName name="OSRRefD22_8x_0" localSheetId="90">'492'!$D$57</definedName>
    <definedName name="OSRRefD22_8x_0" localSheetId="97">'501'!$D$50:$D$52</definedName>
    <definedName name="OSRRefD22_8x_0" localSheetId="39">'Div 2'!$D$52</definedName>
    <definedName name="OSRRefD22_8x_0" localSheetId="47">'Div 3'!$D$202</definedName>
    <definedName name="OSRRefD22_8x_0" localSheetId="74">'Div 4'!$D$64</definedName>
    <definedName name="OSRRefD22_8x_0" localSheetId="96">'Div 5'!$D$50:$D$52</definedName>
    <definedName name="OSRRefD22_8x_0" localSheetId="64">'Div 6'!$D$87</definedName>
    <definedName name="OSRRefD22_8x_0" localSheetId="2">Summary!$D$235</definedName>
    <definedName name="OSRRefD22_9x_0" localSheetId="41">'201'!$D$47:$D$49</definedName>
    <definedName name="OSRRefD22_9x_0" localSheetId="42">'202'!$D$51</definedName>
    <definedName name="OSRRefD22_9x_0" localSheetId="43">'203'!$D$50:$D$51</definedName>
    <definedName name="OSRRefD22_9x_0" localSheetId="44">'204'!$D$54</definedName>
    <definedName name="OSRRefD22_9x_0" localSheetId="48">'300'!$D$199</definedName>
    <definedName name="OSRRefD22_9x_0" localSheetId="49">'300 &amp; 317'!$D$224</definedName>
    <definedName name="OSRRefD22_9x_0" localSheetId="50">'301'!$D$56</definedName>
    <definedName name="OSRRefD22_9x_0" localSheetId="51">'306'!$D$54</definedName>
    <definedName name="OSRRefD22_9x_0" localSheetId="53">'307'!$D$101:$D$103</definedName>
    <definedName name="OSRRefD22_9x_0" localSheetId="55">'308'!$D$97:$D$98</definedName>
    <definedName name="OSRRefD22_9x_0" localSheetId="67">'309'!$D$53:$D$54</definedName>
    <definedName name="OSRRefD22_9x_0" localSheetId="66">'310'!$D$61</definedName>
    <definedName name="OSRRefD22_9x_0" localSheetId="75">'310 &amp; 491'!$D$71</definedName>
    <definedName name="OSRRefD22_9x_0" localSheetId="56">'311'!$D$96:$D$97</definedName>
    <definedName name="OSRRefD22_9x_0" localSheetId="68">'313'!$D$58</definedName>
    <definedName name="OSRRefD22_9x_0" localSheetId="59">'315'!$D$115:$D$119</definedName>
    <definedName name="OSRRefD22_9x_0" localSheetId="62">'316'!$D$62</definedName>
    <definedName name="OSRRefD22_9x_0" localSheetId="65">'317'!$D$89</definedName>
    <definedName name="OSRRefD22_9x_0" localSheetId="69">'321'!$D$57:$D$60</definedName>
    <definedName name="OSRRefD22_9x_0" localSheetId="70">'322'!$D$53:$D$55</definedName>
    <definedName name="OSRRefD22_9x_0" localSheetId="72">'325'!$D$54</definedName>
    <definedName name="OSRRefD22_9x_0" localSheetId="60">'326'!$D$88</definedName>
    <definedName name="OSRRefD22_9x_0" localSheetId="52">'330'!$D$109:$D$110</definedName>
    <definedName name="OSRRefD22_9x_0" localSheetId="58">'331'!$D$120</definedName>
    <definedName name="OSRRefD22_9x_0" localSheetId="61">'332'!$D$69:$D$71</definedName>
    <definedName name="OSRRefD22_9x_0" localSheetId="77">'405'!$D$53</definedName>
    <definedName name="OSRRefD22_9x_0" localSheetId="78">'406'!$D$53:$D$55</definedName>
    <definedName name="OSRRefD22_9x_0" localSheetId="79">'411'!$D$53</definedName>
    <definedName name="OSRRefD22_9x_0" localSheetId="80">'412'!$D$53:$D$54</definedName>
    <definedName name="OSRRefD22_9x_0" localSheetId="81">'413'!$D$55:$D$59</definedName>
    <definedName name="OSRRefD22_9x_0" localSheetId="82">'414'!$D$51:$D$52</definedName>
    <definedName name="OSRRefD22_9x_0" localSheetId="83">'415'!$D$54</definedName>
    <definedName name="OSRRefD22_9x_0" localSheetId="84">'418'!$D$55:$D$56</definedName>
    <definedName name="OSRRefD22_9x_0" localSheetId="87">'424'!$D$47</definedName>
    <definedName name="OSRRefD22_9x_0" localSheetId="88">'425'!$D$53:$D$55</definedName>
    <definedName name="OSRRefD22_9x_0" localSheetId="92">'433'!$D$56</definedName>
    <definedName name="OSRRefD22_9x_0" localSheetId="94">'444'!$D$56</definedName>
    <definedName name="OSRRefD22_9x_0" localSheetId="95">'450'!$D$56</definedName>
    <definedName name="OSRRefD22_9x_0" localSheetId="76">'491'!$D$65</definedName>
    <definedName name="OSRRefD22_9x_0" localSheetId="90">'492'!$D$59</definedName>
    <definedName name="OSRRefD22_9x_0" localSheetId="97">'501'!$D$54:$D$56</definedName>
    <definedName name="OSRRefD22_9x_0" localSheetId="39">'Div 2'!$D$54:$D$55</definedName>
    <definedName name="OSRRefD22_9x_0" localSheetId="47">'Div 3'!$D$204</definedName>
    <definedName name="OSRRefD22_9x_0" localSheetId="74">'Div 4'!$D$66</definedName>
    <definedName name="OSRRefD22_9x_0" localSheetId="96">'Div 5'!$D$54:$D$56</definedName>
    <definedName name="OSRRefD22_9x_0" localSheetId="64">'Div 6'!$D$89</definedName>
    <definedName name="OSRRefD22_9x_0" localSheetId="2">Summary!$D$237</definedName>
    <definedName name="OSRRefD22x_0" localSheetId="40">'200'!$D$20,'200'!$D$22,'200'!$D$24,'200'!$D$26,'200'!$D$28:$D$29</definedName>
    <definedName name="OSRRefD22x_0" localSheetId="41">'201'!$D$20:$D$27,'201'!$D$29:$D$31,'201'!$D$33,'201'!$D$35,'201'!$D$37,'201'!$D$39,'201'!$D$41,'201'!$D$43,'201'!$D$45,'201'!$D$47:$D$49,'201'!$D$51:$D$53,'201'!$D$55,'201'!$D$57:$D$60,'201'!$D$62,'201'!$D$64,'201'!$D$66</definedName>
    <definedName name="OSRRefD22x_0" localSheetId="42">'202'!$D$20:$D$27,'202'!$D$29:$D$32,'202'!$D$34,'202'!$D$36,'202'!$D$38:$D$39,'202'!$D$41,'202'!$D$43,'202'!$D$45:$D$47,'202'!$D$49,'202'!$D$51,'202'!$D$53:$D$55,'202'!$D$57,'202'!$D$59,'202'!$D$61</definedName>
    <definedName name="OSRRefD22x_0" localSheetId="43">'203'!$D$20:$D$29,'203'!$D$31:$D$34,'203'!$D$36,'203'!$D$38,'203'!$D$40,'203'!$D$42,'203'!$D$44,'203'!$D$46,'203'!$D$48,'203'!$D$50:$D$51,'203'!$D$53:$D$54,'203'!$D$56,'203'!$D$58:$D$61,'203'!$D$63,'203'!$D$65,'203'!$D$67</definedName>
    <definedName name="OSRRefD22x_0" localSheetId="44">'204'!$D$20:$D$29,'204'!$D$31:$D$35,'204'!$D$37,'204'!$D$39,'204'!$D$41,'204'!$D$43,'204'!$D$45:$D$47,'204'!$D$49,'204'!$D$51:$D$52,'204'!$D$54,'204'!$D$56:$D$57</definedName>
    <definedName name="OSRRefD22x_0" localSheetId="45">'205'!$D$20:$D$27,'205'!$D$29,'205'!$D$31,'205'!$D$33,'205'!$D$35:$D$36,'205'!$D$38,'205'!$D$40:$D$42,'205'!$D$44,'205'!$D$46</definedName>
    <definedName name="OSRRefD22x_0" localSheetId="46">'206'!$D$20:$D$26,'206'!$D$28:$D$31,'206'!$D$33,'206'!$D$35,'206'!$D$37,'206'!$D$39:$D$40,'206'!$D$42,'206'!$D$44</definedName>
    <definedName name="OSRRefD22x_0" localSheetId="48">'300'!$D$163:$D$172,'300'!$D$174:$D$180,'300'!$D$182,'300'!$D$184:$D$185,'300'!$D$187,'300'!$D$189:$D$190,'300'!$D$192:$D$193,'300'!$D$195,'300'!$D$197,'300'!$D$199,'300'!$D$201:$D$202,'300'!$D$204,'300'!$D$206,'300'!$D$208,'300'!$D$210,'300'!$D$212,'300'!$D$214:$D$217,'300'!$D$219:$D$221,'300'!$D$223:$D$226,'300'!$D$228:$D$229,'300'!$D$231:$D$237,'300'!$D$239:$D$240,'300'!$D$242,'300'!$D$244:$D$246,'300'!$D$248</definedName>
    <definedName name="OSRRefD22x_0" localSheetId="49">'300 &amp; 317'!$D$188:$D$197,'300 &amp; 317'!$D$199:$D$205,'300 &amp; 317'!$D$207,'300 &amp; 317'!$D$209:$D$210,'300 &amp; 317'!$D$212,'300 &amp; 317'!$D$214:$D$215,'300 &amp; 317'!$D$217:$D$218,'300 &amp; 317'!$D$220,'300 &amp; 317'!$D$222,'300 &amp; 317'!$D$224,'300 &amp; 317'!$D$226:$D$227,'300 &amp; 317'!$D$229,'300 &amp; 317'!$D$231,'300 &amp; 317'!$D$233,'300 &amp; 317'!$D$235,'300 &amp; 317'!$D$237,'300 &amp; 317'!$D$239:$D$242,'300 &amp; 317'!$D$244:$D$246,'300 &amp; 317'!$D$248:$D$251,'300 &amp; 317'!$D$253:$D$254,'300 &amp; 317'!$D$256:$D$262,'300 &amp; 317'!$D$264:$D$265,'300 &amp; 317'!$D$267,'300 &amp; 317'!$D$269:$D$271,'300 &amp; 317'!$D$273</definedName>
    <definedName name="OSRRefD22x_0" localSheetId="50">'301'!$D$20:$D$29,'301'!$D$31:$D$37,'301'!$D$39,'301'!$D$41:$D$42,'301'!$D$44,'301'!$D$46:$D$47,'301'!$D$49:$D$50,'301'!$D$52,'301'!$D$54,'301'!$D$56,'301'!$D$58,'301'!$D$60,'301'!$D$62,'301'!$D$64,'301'!$D$66,'301'!$D$68:$D$71,'301'!$D$73:$D$75,'301'!$D$77,'301'!$D$79:$D$84,'301'!$D$86,'301'!$D$88,'301'!$D$90:$D$92,'301'!$D$94</definedName>
    <definedName name="OSRRefD22x_0" localSheetId="51">'306'!$D$20:$D$28,'306'!$D$30:$D$35,'306'!$D$37,'306'!$D$39,'306'!$D$41,'306'!$D$43,'306'!$D$45:$D$46,'306'!$D$48:$D$50,'306'!$D$52,'306'!$D$54</definedName>
    <definedName name="OSRRefD22x_0" localSheetId="53">'307'!$D$70:$D$77,'307'!$D$79:$D$82,'307'!$D$84,'307'!$D$86,'307'!$D$88:$D$89,'307'!$D$91,'307'!$D$93,'307'!$D$95:$D$96,'307'!$D$98:$D$99,'307'!$D$101:$D$103,'307'!$D$105,'307'!$D$107</definedName>
    <definedName name="OSRRefD22x_0" localSheetId="55">'308'!$D$64:$D$72,'308'!$D$74:$D$79,'308'!$D$81,'308'!$D$83:$D$84,'308'!$D$86,'308'!$D$88,'308'!$D$90:$D$91,'308'!$D$93,'308'!$D$95,'308'!$D$97:$D$98,'308'!$D$100,'308'!$D$102:$D$104,'308'!$D$106:$D$107,'308'!$D$109,'308'!$D$111</definedName>
    <definedName name="OSRRefD22x_0" localSheetId="67">'309'!$D$24:$D$31,'309'!$D$33:$D$37,'309'!$D$39,'309'!$D$41,'309'!$D$43,'309'!$D$45,'309'!$D$47,'309'!$D$49,'309'!$D$51,'309'!$D$53:$D$54,'309'!$D$56:$D$58,'309'!$D$60:$D$62,'309'!$D$64</definedName>
    <definedName name="OSRRefD22x_0" localSheetId="66">'310'!$D$30:$D$37,'310'!$D$39:$D$44,'310'!$D$46,'310'!$D$48,'310'!$D$50,'310'!$D$52:$D$53,'310'!$D$55,'310'!$D$57,'310'!$D$59,'310'!$D$61,'310'!$D$63,'310'!$D$65,'310'!$D$67,'310'!$D$69,'310'!$D$71:$D$73,'310'!$D$75,'310'!$D$77:$D$80,'310'!$D$82,'310'!$D$84:$D$90,'310'!$D$92,'310'!$D$94,'310'!$D$96</definedName>
    <definedName name="OSRRefD22x_0" localSheetId="75">'310 &amp; 491'!$D$37:$D$45,'310 &amp; 491'!$D$47:$D$53,'310 &amp; 491'!$D$55,'310 &amp; 491'!$D$57,'310 &amp; 491'!$D$59,'310 &amp; 491'!$D$61:$D$63,'310 &amp; 491'!$D$65,'310 &amp; 491'!$D$67,'310 &amp; 491'!$D$69,'310 &amp; 491'!$D$71,'310 &amp; 491'!$D$73:$D$74,'310 &amp; 491'!$D$76:$D$77,'310 &amp; 491'!$D$79,'310 &amp; 491'!$D$81,'310 &amp; 491'!$D$83,'310 &amp; 491'!$D$85,'310 &amp; 491'!$D$87:$D$89,'310 &amp; 491'!$D$91:$D$92,'310 &amp; 491'!$D$94:$D$98,'310 &amp; 491'!$D$100:$D$101,'310 &amp; 491'!$D$103:$D$111,'310 &amp; 491'!$D$113,'310 &amp; 491'!$D$115,'310 &amp; 491'!$D$117:$D$119,'310 &amp; 491'!$D$121</definedName>
    <definedName name="OSRRefD22x_0" localSheetId="56">'311'!$D$63:$D$71,'311'!$D$73:$D$78,'311'!$D$80,'311'!$D$82:$D$83,'311'!$D$85,'311'!$D$87,'311'!$D$89:$D$90,'311'!$D$92,'311'!$D$94,'311'!$D$96:$D$97,'311'!$D$99,'311'!$D$101:$D$103,'311'!$D$105:$D$106,'311'!$D$108,'311'!$D$110</definedName>
    <definedName name="OSRRefD22x_0" localSheetId="68">'313'!$D$27:$D$34,'313'!$D$36:$D$40,'313'!$D$42,'313'!$D$44,'313'!$D$46,'313'!$D$48,'313'!$D$50,'313'!$D$52,'313'!$D$54:$D$56,'313'!$D$58,'313'!$D$60:$D$64,'313'!$D$66,'313'!$D$68</definedName>
    <definedName name="OSRRefD22x_0" localSheetId="54">'314'!$D$55:$D$61,'314'!$D$63:$D$65,'314'!$D$67,'314'!$D$69:$D$70,'314'!$D$72,'314'!$D$74,'314'!$D$76,'314'!$D$78</definedName>
    <definedName name="OSRRefD22x_0" localSheetId="59">'315'!$D$81:$D$88,'315'!$D$90:$D$95,'315'!$D$97,'315'!$D$99:$D$100,'315'!$D$102,'315'!$D$104:$D$105,'315'!$D$107,'315'!$D$109:$D$110,'315'!$D$112:$D$113,'315'!$D$115:$D$119,'315'!$D$121,'315'!$D$123,'315'!$D$125:$D$126</definedName>
    <definedName name="OSRRefD22x_0" localSheetId="62">'316'!$D$32:$D$39,'316'!$D$41:$D$43,'316'!$D$45,'316'!$D$47,'316'!$D$49,'316'!$D$51,'316'!$D$53:$D$54,'316'!$D$56,'316'!$D$58:$D$60,'316'!$D$62,'316'!$D$64:$D$69,'316'!$D$71,'316'!$D$73,'316'!$D$75</definedName>
    <definedName name="OSRRefD22x_0" localSheetId="65">'317'!$D$58:$D$66,'317'!$D$68:$D$72,'317'!$D$74,'317'!$D$76,'317'!$D$78,'317'!$D$80:$D$81,'317'!$D$83,'317'!$D$85,'317'!$D$87,'317'!$D$89,'317'!$D$91:$D$93,'317'!$D$95,'317'!$D$97,'317'!$D$99</definedName>
    <definedName name="OSRRefD22x_0" localSheetId="63">'320'!$D$28:$D$34,'320'!$D$36:$D$38,'320'!$D$40,'320'!$D$42,'320'!$D$44:$D$45,'320'!$D$47,'320'!$D$49,'320'!$D$51:$D$52,'320'!$D$54</definedName>
    <definedName name="OSRRefD22x_0" localSheetId="69">'321'!$D$24:$D$31,'321'!$D$33:$D$37,'321'!$D$39,'321'!$D$41,'321'!$D$43,'321'!$D$45,'321'!$D$47:$D$49,'321'!$D$51,'321'!$D$53:$D$55,'321'!$D$57:$D$60,'321'!$D$62,'321'!$D$64</definedName>
    <definedName name="OSRRefD22x_0" localSheetId="70">'322'!$D$24:$D$31,'322'!$D$33:$D$36,'322'!$D$38,'322'!$D$40,'322'!$D$42,'322'!$D$44,'322'!$D$46,'322'!$D$48,'322'!$D$50:$D$51,'322'!$D$53:$D$55,'322'!$D$57:$D$61,'322'!$D$63,'322'!$D$65</definedName>
    <definedName name="OSRRefD22x_0" localSheetId="72">'325'!$D$24:$D$31,'325'!$D$33:$D$37,'325'!$D$39,'325'!$D$41,'325'!$D$43,'325'!$D$45:$D$46,'325'!$D$48,'325'!$D$50,'325'!$D$52,'325'!$D$54,'325'!$D$56,'325'!$D$58:$D$60,'325'!$D$62:$D$64,'325'!$D$66,'325'!$D$68:$D$72,'325'!$D$74,'325'!$D$76</definedName>
    <definedName name="OSRRefD22x_0" localSheetId="60">'326'!$D$59:$D$66,'326'!$D$68:$D$72,'326'!$D$74,'326'!$D$76,'326'!$D$78,'326'!$D$80,'326'!$D$82,'326'!$D$84,'326'!$D$86,'326'!$D$88,'326'!$D$90,'326'!$D$92,'326'!$D$94:$D$95,'326'!$D$97:$D$99,'326'!$D$101:$D$102,'326'!$D$104:$D$107,'326'!$D$109,'326'!$D$111,'326'!$D$113</definedName>
    <definedName name="OSRRefD22x_0" localSheetId="73">'327'!$D$22,'327'!$D$24,'327'!$D$26</definedName>
    <definedName name="OSRRefD22x_0" localSheetId="52">'330'!$D$78:$D$85,'330'!$D$87:$D$91,'330'!$D$93,'330'!$D$95,'330'!$D$97:$D$98,'330'!$D$100,'330'!$D$102,'330'!$D$104,'330'!$D$106:$D$107,'330'!$D$109:$D$110,'330'!$D$112,'330'!$D$114:$D$116,'330'!$D$118,'330'!$D$120,'330'!$D$122</definedName>
    <definedName name="OSRRefD22x_0" localSheetId="58">'331'!$D$88:$D$95,'331'!$D$97:$D$102,'331'!$D$104,'331'!$D$106,'331'!$D$108,'331'!$D$110:$D$111,'331'!$D$113,'331'!$D$115:$D$116,'331'!$D$118,'331'!$D$120,'331'!$D$122,'331'!$D$124,'331'!$D$126,'331'!$D$128:$D$129,'331'!$D$131:$D$132,'331'!$D$134:$D$136,'331'!$D$138:$D$139,'331'!$D$141:$D$146,'331'!$D$148,'331'!$D$150,'331'!$D$152:$D$153,'331'!$D$155</definedName>
    <definedName name="OSRRefD22x_0" localSheetId="61">'332'!$D$40:$D$47,'332'!$D$49:$D$52,'332'!$D$54,'332'!$D$56,'332'!$D$58,'332'!$D$60,'332'!$D$62:$D$63,'332'!$D$65,'332'!$D$67,'332'!$D$69:$D$71,'332'!$D$73,'332'!$D$75:$D$80,'332'!$D$82,'332'!$D$84,'332'!$D$86</definedName>
    <definedName name="OSRRefD22x_0" localSheetId="77">'405'!$D$24:$D$31,'405'!$D$33:$D$36,'405'!$D$38,'405'!$D$40,'405'!$D$42,'405'!$D$44:$D$45,'405'!$D$47,'405'!$D$49,'405'!$D$51,'405'!$D$53,'405'!$D$55:$D$56,'405'!$D$58,'405'!$D$60:$D$62,'405'!$D$64:$D$65,'405'!$D$67:$D$73,'405'!$D$75,'405'!$D$77,'405'!$D$79</definedName>
    <definedName name="OSRRefD22x_0" localSheetId="78">'406'!$D$24:$D$31,'406'!$D$33:$D$37,'406'!$D$39,'406'!$D$41,'406'!$D$43,'406'!$D$45,'406'!$D$47,'406'!$D$49,'406'!$D$51,'406'!$D$53:$D$55,'406'!$D$57,'406'!$D$59:$D$63,'406'!$D$65,'406'!$D$67</definedName>
    <definedName name="OSRRefD22x_0" localSheetId="79">'411'!$D$20:$D$28,'411'!$D$30:$D$35,'411'!$D$37,'411'!$D$39,'411'!$D$41:$D$43,'411'!$D$45,'411'!$D$47,'411'!$D$49,'411'!$D$51,'411'!$D$53,'411'!$D$55,'411'!$D$57,'411'!$D$59:$D$60,'411'!$D$62:$D$66,'411'!$D$68,'411'!$D$70:$D$75,'411'!$D$77,'411'!$D$79,'411'!$D$81:$D$83,'411'!$D$85</definedName>
    <definedName name="OSRRefD22x_0" localSheetId="80">'412'!$D$23:$D$30,'412'!$D$32:$D$37,'412'!$D$39,'412'!$D$41,'412'!$D$43,'412'!$D$45,'412'!$D$47,'412'!$D$49,'412'!$D$51,'412'!$D$53:$D$54,'412'!$D$56:$D$57,'412'!$D$59:$D$64,'412'!$D$66,'412'!$D$68</definedName>
    <definedName name="OSRRefD22x_0" localSheetId="81">'413'!$D$24:$D$31,'413'!$D$33:$D$36,'413'!$D$38,'413'!$D$40,'413'!$D$42,'413'!$D$44,'413'!$D$46,'413'!$D$48:$D$50,'413'!$D$52:$D$53,'413'!$D$55:$D$59,'413'!$D$61</definedName>
    <definedName name="OSRRefD22x_0" localSheetId="82">'414'!$D$24:$D$30,'414'!$D$32:$D$35,'414'!$D$37,'414'!$D$39,'414'!$D$41,'414'!$D$43,'414'!$D$45,'414'!$D$47,'414'!$D$49,'414'!$D$51:$D$52,'414'!$D$54,'414'!$D$56,'414'!$D$58,'414'!$D$60:$D$66,'414'!$D$68,'414'!$D$70</definedName>
    <definedName name="OSRRefD22x_0" localSheetId="83">'415'!$D$24:$D$31,'415'!$D$33:$D$37,'415'!$D$39,'415'!$D$41,'415'!$D$43,'415'!$D$45:$D$46,'415'!$D$48,'415'!$D$50,'415'!$D$52,'415'!$D$54,'415'!$D$56,'415'!$D$58:$D$60,'415'!$D$62:$D$66,'415'!$D$68:$D$69,'415'!$D$71:$D$78,'415'!$D$80,'415'!$D$82,'415'!$D$84</definedName>
    <definedName name="OSRRefD22x_0" localSheetId="84">'418'!$D$24:$D$31,'418'!$D$33:$D$38,'418'!$D$40,'418'!$D$42,'418'!$D$44,'418'!$D$46:$D$47,'418'!$D$49,'418'!$D$51,'418'!$D$53,'418'!$D$55:$D$56,'418'!$D$58:$D$60,'418'!$D$62:$D$64,'418'!$D$66:$D$67,'418'!$D$69:$D$74,'418'!$D$76,'418'!$D$78</definedName>
    <definedName name="OSRRefD22x_0" localSheetId="85">'420'!$D$23:$D$29,'420'!$D$31:$D$34,'420'!$D$36,'420'!$D$38,'420'!$D$40:$D$41,'420'!$D$43</definedName>
    <definedName name="OSRRefD22x_0" localSheetId="86">'423'!$D$21:$D$28,'423'!$D$30,'423'!$D$32,'423'!$D$34,'423'!$D$36,'423'!$D$38</definedName>
    <definedName name="OSRRefD22x_0" localSheetId="87">'424'!$D$23:$D$24,'424'!$D$26:$D$30,'424'!$D$32,'424'!$D$34,'424'!$D$36,'424'!$D$38,'424'!$D$40,'424'!$D$42,'424'!$D$44:$D$45,'424'!$D$47,'424'!$D$49,'424'!$D$51:$D$53,'424'!$D$55</definedName>
    <definedName name="OSRRefD22x_0" localSheetId="88">'425'!$D$24:$D$31,'425'!$D$33:$D$37,'425'!$D$39,'425'!$D$41,'425'!$D$43,'425'!$D$45,'425'!$D$47,'425'!$D$49,'425'!$D$51,'425'!$D$53:$D$55,'425'!$D$57,'425'!$D$59:$D$60,'425'!$D$62:$D$68,'425'!$D$70,'425'!$D$72</definedName>
    <definedName name="OSRRefD22x_0" localSheetId="91">'430'!$D$20:$D$27,'430'!$D$29,'430'!$D$31,'430'!$D$33,'430'!$D$35:$D$36,'430'!$D$38,'430'!$D$40,'430'!$D$42</definedName>
    <definedName name="OSRRefD22x_0" localSheetId="92">'433'!$D$25:$D$33,'433'!$D$35:$D$40,'433'!$D$42,'433'!$D$44,'433'!$D$46,'433'!$D$48,'433'!$D$50,'433'!$D$52,'433'!$D$54,'433'!$D$56,'433'!$D$58,'433'!$D$60:$D$62,'433'!$D$64:$D$66,'433'!$D$68:$D$75,'433'!$D$77,'433'!$D$79,'433'!$D$81</definedName>
    <definedName name="OSRRefD22x_0" localSheetId="93">'435'!$D$25:$D$27,'435'!$D$29:$D$31,'435'!$D$33,'435'!$D$35,'435'!$D$37,'435'!$D$39,'435'!$D$41:$D$43,'435'!$D$45</definedName>
    <definedName name="OSRRefD22x_0" localSheetId="94">'444'!$D$25:$D$33,'444'!$D$35:$D$40,'444'!$D$42,'444'!$D$44,'444'!$D$46,'444'!$D$48,'444'!$D$50,'444'!$D$52,'444'!$D$54,'444'!$D$56,'444'!$D$58,'444'!$D$60:$D$62,'444'!$D$64:$D$67,'444'!$D$69,'444'!$D$71:$D$79,'444'!$D$81,'444'!$D$83,'444'!$D$85</definedName>
    <definedName name="OSRRefD22x_0" localSheetId="95">'450'!$D$25:$D$33,'450'!$D$35:$D$40,'450'!$D$42,'450'!$D$44,'450'!$D$46,'450'!$D$48,'450'!$D$50,'450'!$D$52,'450'!$D$54,'450'!$D$56,'450'!$D$58,'450'!$D$60,'450'!$D$62,'450'!$D$64:$D$66,'450'!$D$68:$D$73,'450'!$D$75,'450'!$D$77,'450'!$D$79</definedName>
    <definedName name="OSRRefD22x_0" localSheetId="89">'455'!$D$20:$D$26,'455'!$D$28:$D$29</definedName>
    <definedName name="OSRRefD22x_0" localSheetId="76">'491'!$D$31:$D$39,'491'!$D$41:$D$47,'491'!$D$49,'491'!$D$51,'491'!$D$53,'491'!$D$55:$D$57,'491'!$D$59,'491'!$D$61,'491'!$D$63,'491'!$D$65,'491'!$D$67:$D$68,'491'!$D$70,'491'!$D$72,'491'!$D$74,'491'!$D$76,'491'!$D$78:$D$80,'491'!$D$82:$D$83,'491'!$D$85:$D$89,'491'!$D$91:$D$92,'491'!$D$94:$D$102,'491'!$D$104,'491'!$D$106,'491'!$D$108:$D$110,'491'!$D$112</definedName>
    <definedName name="OSRRefD22x_0" localSheetId="90">'492'!$D$27:$D$35,'492'!$D$37:$D$43,'492'!$D$45,'492'!$D$47,'492'!$D$49,'492'!$D$51,'492'!$D$53,'492'!$D$55,'492'!$D$57,'492'!$D$59,'492'!$D$61,'492'!$D$63,'492'!$D$65:$D$67,'492'!$D$69:$D$72,'492'!$D$74,'492'!$D$76:$D$84,'492'!$D$86,'492'!$D$88,'492'!$D$90</definedName>
    <definedName name="OSRRefD22x_0" localSheetId="97">'501'!$D$21:$D$29,'501'!$D$31:$D$35,'501'!$D$37,'501'!$D$39,'501'!$D$41,'501'!$D$43:$D$44,'501'!$D$46,'501'!$D$48,'501'!$D$50:$D$52,'501'!$D$54:$D$56,'501'!$D$58</definedName>
    <definedName name="OSRRefD22x_0" localSheetId="39">'Div 2'!$D$20:$D$30,'Div 2'!$D$32:$D$38,'Div 2'!$D$40,'Div 2'!$D$42,'Div 2'!$D$44,'Div 2'!$D$46,'Div 2'!$D$48,'Div 2'!$D$50,'Div 2'!$D$52,'Div 2'!$D$54:$D$55,'Div 2'!$D$57,'Div 2'!$D$59,'Div 2'!$D$61:$D$64,'Div 2'!$D$66:$D$68,'Div 2'!$D$70:$D$71,'Div 2'!$D$73,'Div 2'!$D$75:$D$79,'Div 2'!$D$81:$D$82,'Div 2'!$D$84,'Div 2'!$D$86:$D$87</definedName>
    <definedName name="OSRRefD22x_0" localSheetId="47">'Div 3'!$D$168:$D$177,'Div 3'!$D$179:$D$185,'Div 3'!$D$187,'Div 3'!$D$189:$D$190,'Div 3'!$D$192,'Div 3'!$D$194:$D$195,'Div 3'!$D$197:$D$198,'Div 3'!$D$200,'Div 3'!$D$202,'Div 3'!$D$204,'Div 3'!$D$206:$D$207,'Div 3'!$D$209,'Div 3'!$D$211,'Div 3'!$D$213,'Div 3'!$D$215,'Div 3'!$D$217,'Div 3'!$D$219,'Div 3'!$D$221:$D$224,'Div 3'!$D$226:$D$228,'Div 3'!$D$230:$D$234,'Div 3'!$D$236:$D$237,'Div 3'!$D$239:$D$245,'Div 3'!$D$247:$D$248,'Div 3'!$D$250,'Div 3'!$D$252:$D$254,'Div 3'!$D$256</definedName>
    <definedName name="OSRRefD22x_0" localSheetId="74">'Div 4'!$D$32:$D$40,'Div 4'!$D$42:$D$48,'Div 4'!$D$50,'Div 4'!$D$52,'Div 4'!$D$54,'Div 4'!$D$56:$D$58,'Div 4'!$D$60,'Div 4'!$D$62,'Div 4'!$D$64,'Div 4'!$D$66,'Div 4'!$D$68:$D$69,'Div 4'!$D$71,'Div 4'!$D$73,'Div 4'!$D$75,'Div 4'!$D$77,'Div 4'!$D$79,'Div 4'!$D$81:$D$83,'Div 4'!$D$85:$D$86,'Div 4'!$D$88:$D$92,'Div 4'!$D$94:$D$95,'Div 4'!$D$97:$D$105,'Div 4'!$D$107,'Div 4'!$D$109,'Div 4'!$D$111:$D$113,'Div 4'!$D$115</definedName>
    <definedName name="OSRRefD22x_0" localSheetId="96">'Div 5'!$D$21:$D$29,'Div 5'!$D$31:$D$35,'Div 5'!$D$37,'Div 5'!$D$39,'Div 5'!$D$41,'Div 5'!$D$43:$D$44,'Div 5'!$D$46,'Div 5'!$D$48,'Div 5'!$D$50:$D$52,'Div 5'!$D$54:$D$56,'Div 5'!$D$58</definedName>
    <definedName name="OSRRefD22x_0" localSheetId="64">'Div 6'!$D$58:$D$66,'Div 6'!$D$68:$D$72,'Div 6'!$D$74,'Div 6'!$D$76,'Div 6'!$D$78,'Div 6'!$D$80:$D$81,'Div 6'!$D$83,'Div 6'!$D$85,'Div 6'!$D$87,'Div 6'!$D$89,'Div 6'!$D$91:$D$93,'Div 6'!$D$95,'Div 6'!$D$97,'Div 6'!$D$99</definedName>
    <definedName name="OSRRefD22x_0" localSheetId="2">Summary!$D$200:$D$209,Summary!$D$211:$D$217,Summary!$D$219,Summary!$D$221:$D$222,Summary!$D$224,Summary!$D$226:$D$228,Summary!$D$230:$D$231,Summary!$D$233,Summary!$D$235,Summary!$D$237,Summary!$D$239:$D$240,Summary!$D$242:$D$243,Summary!$D$245,Summary!$D$247,Summary!$D$249,Summary!$D$251,Summary!$D$253,Summary!$D$255,Summary!$D$257:$D$260,Summary!$D$262:$D$264,Summary!$D$266:$D$270,Summary!$D$272:$D$273,Summary!$D$275:$D$283,Summary!$D$285:$D$286,Summary!$D$288,Summary!$D$290:$D$292,Summary!$D$294</definedName>
    <definedName name="OSRRefD25x_0" localSheetId="48">'300'!$D$251:$D$259</definedName>
    <definedName name="OSRRefD25x_0" localSheetId="49">'300 &amp; 317'!$D$276:$D$287</definedName>
    <definedName name="OSRRefD25x_0" localSheetId="50">'301'!$D$97:$D$99</definedName>
    <definedName name="OSRRefD25x_0" localSheetId="53">'307'!$D$110</definedName>
    <definedName name="OSRRefD25x_0" localSheetId="55">'308'!$D$114:$D$116</definedName>
    <definedName name="OSRRefD25x_0" localSheetId="75">'310 &amp; 491'!$D$124:$D$126</definedName>
    <definedName name="OSRRefD25x_0" localSheetId="56">'311'!$D$113:$D$115</definedName>
    <definedName name="OSRRefD25x_0" localSheetId="59">'315'!$D$129:$D$130</definedName>
    <definedName name="OSRRefD25x_0" localSheetId="62">'316'!$D$78</definedName>
    <definedName name="OSRRefD25x_0" localSheetId="65">'317'!$D$102:$D$105</definedName>
    <definedName name="OSRRefD25x_0" localSheetId="63">'320'!$D$57:$D$61</definedName>
    <definedName name="OSRRefD25x_0" localSheetId="52">'330'!$D$125</definedName>
    <definedName name="OSRRefD25x_0" localSheetId="58">'331'!$D$158:$D$159</definedName>
    <definedName name="OSRRefD25x_0" localSheetId="61">'332'!$D$89:$D$94</definedName>
    <definedName name="OSRRefD25x_0" localSheetId="79">'411'!$D$88:$D$89</definedName>
    <definedName name="OSRRefD25x_0" localSheetId="81">'413'!$D$64</definedName>
    <definedName name="OSRRefD25x_0" localSheetId="83">'415'!$D$87</definedName>
    <definedName name="OSRRefD25x_0" localSheetId="84">'418'!$D$81</definedName>
    <definedName name="OSRRefD25x_0" localSheetId="86">'423'!$D$41</definedName>
    <definedName name="OSRRefD25x_0" localSheetId="87">'424'!$D$58</definedName>
    <definedName name="OSRRefD25x_0" localSheetId="88">'425'!$D$75</definedName>
    <definedName name="OSRRefD25x_0" localSheetId="89">'455'!$D$32:$D$33</definedName>
    <definedName name="OSRRefD25x_0" localSheetId="76">'491'!$D$115:$D$117</definedName>
    <definedName name="OSRRefD25x_0" localSheetId="97">'501'!$D$61</definedName>
    <definedName name="OSRRefD25x_0" localSheetId="47">'Div 3'!$D$259:$D$267</definedName>
    <definedName name="OSRRefD25x_0" localSheetId="74">'Div 4'!$D$118:$D$120</definedName>
    <definedName name="OSRRefD25x_0" localSheetId="96">'Div 5'!$D$61</definedName>
    <definedName name="OSRRefD25x_0" localSheetId="64">'Div 6'!$D$102:$D$105</definedName>
    <definedName name="OSRRefD25x_0" localSheetId="2">Summary!$D$297:$D$309</definedName>
    <definedName name="OSRRefH13x_0" localSheetId="48">'300'!$H$13:$H$105</definedName>
    <definedName name="OSRRefH13x_0" localSheetId="49">'300 &amp; 317'!$H$13:$H$123</definedName>
    <definedName name="OSRRefH13x_0" localSheetId="53">'307'!$H$13:$H$42</definedName>
    <definedName name="OSRRefH13x_0" localSheetId="55">'308'!$H$13:$H$41</definedName>
    <definedName name="OSRRefH13x_0" localSheetId="67">'309'!$H$13:$H$14</definedName>
    <definedName name="OSRRefH13x_0" localSheetId="66">'310'!$H$13:$H$20</definedName>
    <definedName name="OSRRefH13x_0" localSheetId="75">'310 &amp; 491'!$H$13:$H$27</definedName>
    <definedName name="OSRRefH13x_0" localSheetId="56">'311'!$H$13:$H$40</definedName>
    <definedName name="OSRRefH13x_0" localSheetId="68">'313'!$H$13:$H$17</definedName>
    <definedName name="OSRRefH13x_0" localSheetId="54">'314'!$H$13:$H$32</definedName>
    <definedName name="OSRRefH13x_0" localSheetId="59">'315'!$H$13:$H$50</definedName>
    <definedName name="OSRRefH13x_0" localSheetId="62">'316'!$H$13:$H$24</definedName>
    <definedName name="OSRRefH13x_0" localSheetId="65">'317'!$H$13:$H$37</definedName>
    <definedName name="OSRRefH13x_0" localSheetId="63">'320'!$H$13:$H$15</definedName>
    <definedName name="OSRRefH13x_0" localSheetId="69">'321'!$H$13:$H$14</definedName>
    <definedName name="OSRRefH13x_0" localSheetId="70">'322'!$H$13:$H$14</definedName>
    <definedName name="OSRRefH13x_0" localSheetId="57">'324'!$H$13:$H$15</definedName>
    <definedName name="OSRRefH13x_0" localSheetId="72">'325'!$H$13:$H$14</definedName>
    <definedName name="OSRRefH13x_0" localSheetId="60">'326'!$H$13:$H$37</definedName>
    <definedName name="OSRRefH13x_0" localSheetId="73">'327'!$H$13</definedName>
    <definedName name="OSRRefH13x_0" localSheetId="52">'330'!$H$13:$H$47</definedName>
    <definedName name="OSRRefH13x_0" localSheetId="58">'331'!$H$13:$H$53</definedName>
    <definedName name="OSRRefH13x_0" localSheetId="61">'332'!$H$13:$H$27</definedName>
    <definedName name="OSRRefH13x_0" localSheetId="77">'405'!$H$13:$H$14</definedName>
    <definedName name="OSRRefH13x_0" localSheetId="78">'406'!$H$13:$H$14</definedName>
    <definedName name="OSRRefH13x_0" localSheetId="80">'412'!$H$13:$H$14</definedName>
    <definedName name="OSRRefH13x_0" localSheetId="81">'413'!$H$13:$H$14</definedName>
    <definedName name="OSRRefH13x_0" localSheetId="82">'414'!$H$13:$H$14</definedName>
    <definedName name="OSRRefH13x_0" localSheetId="83">'415'!$H$13:$H$14</definedName>
    <definedName name="OSRRefH13x_0" localSheetId="84">'418'!$H$13:$H$14</definedName>
    <definedName name="OSRRefH13x_0" localSheetId="85">'420'!$H$13:$H$14</definedName>
    <definedName name="OSRRefH13x_0" localSheetId="87">'424'!$H$13</definedName>
    <definedName name="OSRRefH13x_0" localSheetId="88">'425'!$H$13:$H$14</definedName>
    <definedName name="OSRRefH13x_0" localSheetId="92">'433'!$H$13:$H$15</definedName>
    <definedName name="OSRRefH13x_0" localSheetId="93">'435'!$H$13:$H$15</definedName>
    <definedName name="OSRRefH13x_0" localSheetId="94">'444'!$H$13:$H$15</definedName>
    <definedName name="OSRRefH13x_0" localSheetId="95">'450'!$H$13:$H$15</definedName>
    <definedName name="OSRRefH13x_0" localSheetId="76">'491'!$H$13:$H$21</definedName>
    <definedName name="OSRRefH13x_0" localSheetId="90">'492'!$H$13:$H$17</definedName>
    <definedName name="OSRRefH13x_0" localSheetId="97">'501'!$H$13</definedName>
    <definedName name="OSRRefH13x_0" localSheetId="47">'Div 3'!$H$13:$H$108</definedName>
    <definedName name="OSRRefH13x_0" localSheetId="74">'Div 4'!$H$13:$H$22</definedName>
    <definedName name="OSRRefH13x_0" localSheetId="96">'Div 5'!$H$13</definedName>
    <definedName name="OSRRefH13x_0" localSheetId="64">'Div 6'!$H$13:$H$37</definedName>
    <definedName name="OSRRefH13x_0" localSheetId="2">Summary!$H$13:$H$133</definedName>
    <definedName name="OSRRefH16x_0" localSheetId="48">'300'!$H$108:$H$157</definedName>
    <definedName name="OSRRefH16x_0" localSheetId="49">'300 &amp; 317'!$H$126:$H$182</definedName>
    <definedName name="OSRRefH16x_0" localSheetId="53">'307'!$H$45:$H$64</definedName>
    <definedName name="OSRRefH16x_0" localSheetId="55">'308'!$H$44:$H$58</definedName>
    <definedName name="OSRRefH16x_0" localSheetId="67">'309'!$H$17:$H$18</definedName>
    <definedName name="OSRRefH16x_0" localSheetId="66">'310'!$H$23:$H$24</definedName>
    <definedName name="OSRRefH16x_0" localSheetId="75">'310 &amp; 491'!$H$30:$H$31</definedName>
    <definedName name="OSRRefH16x_0" localSheetId="56">'311'!$H$43:$H$57</definedName>
    <definedName name="OSRRefH16x_0" localSheetId="68">'313'!$H$20:$H$21</definedName>
    <definedName name="OSRRefH16x_0" localSheetId="54">'314'!$H$35:$H$49</definedName>
    <definedName name="OSRRefH16x_0" localSheetId="59">'315'!$H$53:$H$75</definedName>
    <definedName name="OSRRefH16x_0" localSheetId="65">'317'!$H$40:$H$52</definedName>
    <definedName name="OSRRefH16x_0" localSheetId="63">'320'!$H$18:$H$22</definedName>
    <definedName name="OSRRefH16x_0" localSheetId="69">'321'!$H$17:$H$18</definedName>
    <definedName name="OSRRefH16x_0" localSheetId="70">'322'!$H$17:$H$18</definedName>
    <definedName name="OSRRefH16x_0" localSheetId="57">'324'!$H$18:$H$19</definedName>
    <definedName name="OSRRefH16x_0" localSheetId="72">'325'!$H$17:$H$18</definedName>
    <definedName name="OSRRefH16x_0" localSheetId="60">'326'!$H$40:$H$53</definedName>
    <definedName name="OSRRefH16x_0" localSheetId="73">'327'!$H$16</definedName>
    <definedName name="OSRRefH16x_0" localSheetId="52">'330'!$H$50:$H$72</definedName>
    <definedName name="OSRRefH16x_0" localSheetId="58">'331'!$H$56:$H$82</definedName>
    <definedName name="OSRRefH16x_0" localSheetId="61">'332'!$H$30:$H$34</definedName>
    <definedName name="OSRRefH16x_0" localSheetId="77">'405'!$H$17:$H$18</definedName>
    <definedName name="OSRRefH16x_0" localSheetId="78">'406'!$H$17:$H$18</definedName>
    <definedName name="OSRRefH16x_0" localSheetId="80">'412'!$H$17</definedName>
    <definedName name="OSRRefH16x_0" localSheetId="81">'413'!$H$17:$H$18</definedName>
    <definedName name="OSRRefH16x_0" localSheetId="82">'414'!$H$17:$H$18</definedName>
    <definedName name="OSRRefH16x_0" localSheetId="83">'415'!$H$17:$H$18</definedName>
    <definedName name="OSRRefH16x_0" localSheetId="84">'418'!$H$17:$H$18</definedName>
    <definedName name="OSRRefH16x_0" localSheetId="85">'420'!$H$17</definedName>
    <definedName name="OSRRefH16x_0" localSheetId="86">'423'!$H$15</definedName>
    <definedName name="OSRRefH16x_0" localSheetId="87">'424'!$H$16:$H$17</definedName>
    <definedName name="OSRRefH16x_0" localSheetId="88">'425'!$H$17:$H$18</definedName>
    <definedName name="OSRRefH16x_0" localSheetId="92">'433'!$H$18:$H$19</definedName>
    <definedName name="OSRRefH16x_0" localSheetId="93">'435'!$H$18:$H$19</definedName>
    <definedName name="OSRRefH16x_0" localSheetId="94">'444'!$H$18:$H$19</definedName>
    <definedName name="OSRRefH16x_0" localSheetId="95">'450'!$H$18:$H$19</definedName>
    <definedName name="OSRRefH16x_0" localSheetId="76">'491'!$H$24:$H$25</definedName>
    <definedName name="OSRRefH16x_0" localSheetId="90">'492'!$H$20:$H$21</definedName>
    <definedName name="OSRRefH16x_0" localSheetId="47">'Div 3'!$H$111:$H$162</definedName>
    <definedName name="OSRRefH16x_0" localSheetId="74">'Div 4'!$H$25:$H$26</definedName>
    <definedName name="OSRRefH16x_0" localSheetId="64">'Div 6'!$H$40:$H$52</definedName>
    <definedName name="OSRRefH16x_0" localSheetId="2">Summary!$H$136:$H$194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'203'!$H$20:$H$29</definedName>
    <definedName name="OSRRefH22_0x_0" localSheetId="44">'204'!$H$20:$H$29</definedName>
    <definedName name="OSRRefH22_0x_0" localSheetId="45">'205'!$H$20:$H$27</definedName>
    <definedName name="OSRRefH22_0x_0" localSheetId="46">'206'!$H$20:$H$26</definedName>
    <definedName name="OSRRefH22_0x_0" localSheetId="48">'300'!$H$163:$H$172</definedName>
    <definedName name="OSRRefH22_0x_0" localSheetId="49">'300 &amp; 317'!$H$188:$H$197</definedName>
    <definedName name="OSRRefH22_0x_0" localSheetId="50">'301'!$H$20:$H$29</definedName>
    <definedName name="OSRRefH22_0x_0" localSheetId="51">'306'!$H$20:$H$28</definedName>
    <definedName name="OSRRefH22_0x_0" localSheetId="53">'307'!$H$70:$H$77</definedName>
    <definedName name="OSRRefH22_0x_0" localSheetId="55">'308'!$H$64:$H$72</definedName>
    <definedName name="OSRRefH22_0x_0" localSheetId="67">'309'!$H$24:$H$31</definedName>
    <definedName name="OSRRefH22_0x_0" localSheetId="66">'310'!$H$30:$H$37</definedName>
    <definedName name="OSRRefH22_0x_0" localSheetId="75">'310 &amp; 491'!$H$37:$H$45</definedName>
    <definedName name="OSRRefH22_0x_0" localSheetId="56">'311'!$H$63:$H$71</definedName>
    <definedName name="OSRRefH22_0x_0" localSheetId="68">'313'!$H$27:$H$34</definedName>
    <definedName name="OSRRefH22_0x_0" localSheetId="54">'314'!$H$55:$H$61</definedName>
    <definedName name="OSRRefH22_0x_0" localSheetId="59">'315'!$H$81:$H$88</definedName>
    <definedName name="OSRRefH22_0x_0" localSheetId="62">'316'!$H$32:$H$39</definedName>
    <definedName name="OSRRefH22_0x_0" localSheetId="65">'317'!$H$58:$H$66</definedName>
    <definedName name="OSRRefH22_0x_0" localSheetId="63">'320'!$H$28:$H$34</definedName>
    <definedName name="OSRRefH22_0x_0" localSheetId="69">'321'!$H$24:$H$31</definedName>
    <definedName name="OSRRefH22_0x_0" localSheetId="70">'322'!$H$24:$H$31</definedName>
    <definedName name="OSRRefH22_0x_0" localSheetId="72">'325'!$H$24:$H$31</definedName>
    <definedName name="OSRRefH22_0x_0" localSheetId="60">'326'!$H$59:$H$66</definedName>
    <definedName name="OSRRefH22_0x_0" localSheetId="73">'327'!$H$22</definedName>
    <definedName name="OSRRefH22_0x_0" localSheetId="52">'330'!$H$78:$H$85</definedName>
    <definedName name="OSRRefH22_0x_0" localSheetId="58">'331'!$H$88:$H$95</definedName>
    <definedName name="OSRRefH22_0x_0" localSheetId="61">'332'!$H$40:$H$47</definedName>
    <definedName name="OSRRefH22_0x_0" localSheetId="77">'405'!$H$24:$H$31</definedName>
    <definedName name="OSRRefH22_0x_0" localSheetId="78">'406'!$H$24:$H$31</definedName>
    <definedName name="OSRRefH22_0x_0" localSheetId="79">'411'!$H$20:$H$28</definedName>
    <definedName name="OSRRefH22_0x_0" localSheetId="80">'412'!$H$23:$H$30</definedName>
    <definedName name="OSRRefH22_0x_0" localSheetId="81">'413'!$H$24:$H$31</definedName>
    <definedName name="OSRRefH22_0x_0" localSheetId="82">'414'!$H$24:$H$30</definedName>
    <definedName name="OSRRefH22_0x_0" localSheetId="83">'415'!$H$24:$H$31</definedName>
    <definedName name="OSRRefH22_0x_0" localSheetId="84">'418'!$H$24:$H$31</definedName>
    <definedName name="OSRRefH22_0x_0" localSheetId="85">'420'!$H$23:$H$29</definedName>
    <definedName name="OSRRefH22_0x_0" localSheetId="86">'423'!$H$21:$H$28</definedName>
    <definedName name="OSRRefH22_0x_0" localSheetId="87">'424'!$H$23:$H$24</definedName>
    <definedName name="OSRRefH22_0x_0" localSheetId="88">'425'!$H$24:$H$31</definedName>
    <definedName name="OSRRefH22_0x_0" localSheetId="91">'430'!$H$20:$H$27</definedName>
    <definedName name="OSRRefH22_0x_0" localSheetId="92">'433'!$H$25:$H$33</definedName>
    <definedName name="OSRRefH22_0x_0" localSheetId="93">'435'!$H$25:$H$27</definedName>
    <definedName name="OSRRefH22_0x_0" localSheetId="94">'444'!$H$25:$H$33</definedName>
    <definedName name="OSRRefH22_0x_0" localSheetId="95">'450'!$H$25:$H$33</definedName>
    <definedName name="OSRRefH22_0x_0" localSheetId="89">'455'!$H$20:$H$26</definedName>
    <definedName name="OSRRefH22_0x_0" localSheetId="76">'491'!$H$31:$H$39</definedName>
    <definedName name="OSRRefH22_0x_0" localSheetId="90">'492'!$H$27:$H$35</definedName>
    <definedName name="OSRRefH22_0x_0" localSheetId="97">'501'!$H$21:$H$29</definedName>
    <definedName name="OSRRefH22_0x_0" localSheetId="39">'Div 2'!$H$20:$H$30</definedName>
    <definedName name="OSRRefH22_0x_0" localSheetId="47">'Div 3'!$H$168:$H$177</definedName>
    <definedName name="OSRRefH22_0x_0" localSheetId="74">'Div 4'!$H$32:$H$40</definedName>
    <definedName name="OSRRefH22_0x_0" localSheetId="96">'Div 5'!$H$21:$H$29</definedName>
    <definedName name="OSRRefH22_0x_0" localSheetId="64">'Div 6'!$H$58:$H$66</definedName>
    <definedName name="OSRRefH22_0x_0" localSheetId="2">Summary!$H$200:$H$209</definedName>
    <definedName name="OSRRefH22_10x_0" localSheetId="41">'201'!$H$51:$H$53</definedName>
    <definedName name="OSRRefH22_10x_0" localSheetId="42">'202'!$H$53:$H$55</definedName>
    <definedName name="OSRRefH22_10x_0" localSheetId="43">'203'!$H$53:$H$54</definedName>
    <definedName name="OSRRefH22_10x_0" localSheetId="44">'204'!$H$56:$H$57</definedName>
    <definedName name="OSRRefH22_10x_0" localSheetId="48">'300'!$H$201:$H$202</definedName>
    <definedName name="OSRRefH22_10x_0" localSheetId="49">'300 &amp; 317'!$H$226:$H$227</definedName>
    <definedName name="OSRRefH22_10x_0" localSheetId="50">'301'!$H$58</definedName>
    <definedName name="OSRRefH22_10x_0" localSheetId="53">'307'!$H$105</definedName>
    <definedName name="OSRRefH22_10x_0" localSheetId="55">'308'!$H$100</definedName>
    <definedName name="OSRRefH22_10x_0" localSheetId="67">'309'!$H$56:$H$58</definedName>
    <definedName name="OSRRefH22_10x_0" localSheetId="66">'310'!$H$63</definedName>
    <definedName name="OSRRefH22_10x_0" localSheetId="75">'310 &amp; 491'!$H$73:$H$74</definedName>
    <definedName name="OSRRefH22_10x_0" localSheetId="56">'311'!$H$99</definedName>
    <definedName name="OSRRefH22_10x_0" localSheetId="68">'313'!$H$60:$H$64</definedName>
    <definedName name="OSRRefH22_10x_0" localSheetId="59">'315'!$H$121</definedName>
    <definedName name="OSRRefH22_10x_0" localSheetId="62">'316'!$H$64:$H$69</definedName>
    <definedName name="OSRRefH22_10x_0" localSheetId="65">'317'!$H$91:$H$93</definedName>
    <definedName name="OSRRefH22_10x_0" localSheetId="69">'321'!$H$62</definedName>
    <definedName name="OSRRefH22_10x_0" localSheetId="70">'322'!$H$57:$H$61</definedName>
    <definedName name="OSRRefH22_10x_0" localSheetId="72">'325'!$H$56</definedName>
    <definedName name="OSRRefH22_10x_0" localSheetId="60">'326'!$H$90</definedName>
    <definedName name="OSRRefH22_10x_0" localSheetId="52">'330'!$H$112</definedName>
    <definedName name="OSRRefH22_10x_0" localSheetId="58">'331'!$H$122</definedName>
    <definedName name="OSRRefH22_10x_0" localSheetId="61">'332'!$H$73</definedName>
    <definedName name="OSRRefH22_10x_0" localSheetId="77">'405'!$H$55:$H$56</definedName>
    <definedName name="OSRRefH22_10x_0" localSheetId="78">'406'!$H$57</definedName>
    <definedName name="OSRRefH22_10x_0" localSheetId="79">'411'!$H$55</definedName>
    <definedName name="OSRRefH22_10x_0" localSheetId="80">'412'!$H$56:$H$57</definedName>
    <definedName name="OSRRefH22_10x_0" localSheetId="81">'413'!$H$61</definedName>
    <definedName name="OSRRefH22_10x_0" localSheetId="82">'414'!$H$54</definedName>
    <definedName name="OSRRefH22_10x_0" localSheetId="83">'415'!$H$56</definedName>
    <definedName name="OSRRefH22_10x_0" localSheetId="84">'418'!$H$58:$H$60</definedName>
    <definedName name="OSRRefH22_10x_0" localSheetId="87">'424'!$H$49</definedName>
    <definedName name="OSRRefH22_10x_0" localSheetId="88">'425'!$H$57</definedName>
    <definedName name="OSRRefH22_10x_0" localSheetId="92">'433'!$H$58</definedName>
    <definedName name="OSRRefH22_10x_0" localSheetId="94">'444'!$H$58</definedName>
    <definedName name="OSRRefH22_10x_0" localSheetId="95">'450'!$H$58</definedName>
    <definedName name="OSRRefH22_10x_0" localSheetId="76">'491'!$H$67:$H$68</definedName>
    <definedName name="OSRRefH22_10x_0" localSheetId="90">'492'!$H$61</definedName>
    <definedName name="OSRRefH22_10x_0" localSheetId="97">'501'!$H$58</definedName>
    <definedName name="OSRRefH22_10x_0" localSheetId="39">'Div 2'!$H$57</definedName>
    <definedName name="OSRRefH22_10x_0" localSheetId="47">'Div 3'!$H$206:$H$207</definedName>
    <definedName name="OSRRefH22_10x_0" localSheetId="74">'Div 4'!$H$68:$H$69</definedName>
    <definedName name="OSRRefH22_10x_0" localSheetId="96">'Div 5'!$H$58</definedName>
    <definedName name="OSRRefH22_10x_0" localSheetId="64">'Div 6'!$H$91:$H$93</definedName>
    <definedName name="OSRRefH22_10x_0" localSheetId="2">Summary!$H$239:$H$240</definedName>
    <definedName name="OSRRefH22_11x_0" localSheetId="41">'201'!$H$55</definedName>
    <definedName name="OSRRefH22_11x_0" localSheetId="42">'202'!$H$57</definedName>
    <definedName name="OSRRefH22_11x_0" localSheetId="43">'203'!$H$56</definedName>
    <definedName name="OSRRefH22_11x_0" localSheetId="48">'300'!$H$204</definedName>
    <definedName name="OSRRefH22_11x_0" localSheetId="49">'300 &amp; 317'!$H$229</definedName>
    <definedName name="OSRRefH22_11x_0" localSheetId="50">'301'!$H$60</definedName>
    <definedName name="OSRRefH22_11x_0" localSheetId="53">'307'!$H$107</definedName>
    <definedName name="OSRRefH22_11x_0" localSheetId="55">'308'!$H$102:$H$104</definedName>
    <definedName name="OSRRefH22_11x_0" localSheetId="67">'309'!$H$60:$H$62</definedName>
    <definedName name="OSRRefH22_11x_0" localSheetId="66">'310'!$H$65</definedName>
    <definedName name="OSRRefH22_11x_0" localSheetId="75">'310 &amp; 491'!$H$76:$H$77</definedName>
    <definedName name="OSRRefH22_11x_0" localSheetId="56">'311'!$H$101:$H$103</definedName>
    <definedName name="OSRRefH22_11x_0" localSheetId="68">'313'!$H$66</definedName>
    <definedName name="OSRRefH22_11x_0" localSheetId="59">'315'!$H$123</definedName>
    <definedName name="OSRRefH22_11x_0" localSheetId="62">'316'!$H$71</definedName>
    <definedName name="OSRRefH22_11x_0" localSheetId="65">'317'!$H$95</definedName>
    <definedName name="OSRRefH22_11x_0" localSheetId="69">'321'!$H$64</definedName>
    <definedName name="OSRRefH22_11x_0" localSheetId="70">'322'!$H$63</definedName>
    <definedName name="OSRRefH22_11x_0" localSheetId="72">'325'!$H$58:$H$60</definedName>
    <definedName name="OSRRefH22_11x_0" localSheetId="60">'326'!$H$92</definedName>
    <definedName name="OSRRefH22_11x_0" localSheetId="52">'330'!$H$114:$H$116</definedName>
    <definedName name="OSRRefH22_11x_0" localSheetId="58">'331'!$H$124</definedName>
    <definedName name="OSRRefH22_11x_0" localSheetId="61">'332'!$H$75:$H$80</definedName>
    <definedName name="OSRRefH22_11x_0" localSheetId="77">'405'!$H$58</definedName>
    <definedName name="OSRRefH22_11x_0" localSheetId="78">'406'!$H$59:$H$63</definedName>
    <definedName name="OSRRefH22_11x_0" localSheetId="79">'411'!$H$57</definedName>
    <definedName name="OSRRefH22_11x_0" localSheetId="80">'412'!$H$59:$H$64</definedName>
    <definedName name="OSRRefH22_11x_0" localSheetId="82">'414'!$H$56</definedName>
    <definedName name="OSRRefH22_11x_0" localSheetId="83">'415'!$H$58:$H$60</definedName>
    <definedName name="OSRRefH22_11x_0" localSheetId="84">'418'!$H$62:$H$64</definedName>
    <definedName name="OSRRefH22_11x_0" localSheetId="87">'424'!$H$51:$H$53</definedName>
    <definedName name="OSRRefH22_11x_0" localSheetId="88">'425'!$H$59:$H$60</definedName>
    <definedName name="OSRRefH22_11x_0" localSheetId="92">'433'!$H$60:$H$62</definedName>
    <definedName name="OSRRefH22_11x_0" localSheetId="94">'444'!$H$60:$H$62</definedName>
    <definedName name="OSRRefH22_11x_0" localSheetId="95">'450'!$H$60</definedName>
    <definedName name="OSRRefH22_11x_0" localSheetId="76">'491'!$H$70</definedName>
    <definedName name="OSRRefH22_11x_0" localSheetId="90">'492'!$H$63</definedName>
    <definedName name="OSRRefH22_11x_0" localSheetId="39">'Div 2'!$H$59</definedName>
    <definedName name="OSRRefH22_11x_0" localSheetId="47">'Div 3'!$H$209</definedName>
    <definedName name="OSRRefH22_11x_0" localSheetId="74">'Div 4'!$H$71</definedName>
    <definedName name="OSRRefH22_11x_0" localSheetId="64">'Div 6'!$H$95</definedName>
    <definedName name="OSRRefH22_11x_0" localSheetId="2">Summary!$H$242:$H$243</definedName>
    <definedName name="OSRRefH22_12x_0" localSheetId="41">'201'!$H$57:$H$60</definedName>
    <definedName name="OSRRefH22_12x_0" localSheetId="42">'202'!$H$59</definedName>
    <definedName name="OSRRefH22_12x_0" localSheetId="43">'203'!$H$58:$H$61</definedName>
    <definedName name="OSRRefH22_12x_0" localSheetId="48">'300'!$H$206</definedName>
    <definedName name="OSRRefH22_12x_0" localSheetId="49">'300 &amp; 317'!$H$231</definedName>
    <definedName name="OSRRefH22_12x_0" localSheetId="50">'301'!$H$62</definedName>
    <definedName name="OSRRefH22_12x_0" localSheetId="55">'308'!$H$106:$H$107</definedName>
    <definedName name="OSRRefH22_12x_0" localSheetId="67">'309'!$H$64</definedName>
    <definedName name="OSRRefH22_12x_0" localSheetId="66">'310'!$H$67</definedName>
    <definedName name="OSRRefH22_12x_0" localSheetId="75">'310 &amp; 491'!$H$79</definedName>
    <definedName name="OSRRefH22_12x_0" localSheetId="56">'311'!$H$105:$H$106</definedName>
    <definedName name="OSRRefH22_12x_0" localSheetId="68">'313'!$H$68</definedName>
    <definedName name="OSRRefH22_12x_0" localSheetId="59">'315'!$H$125:$H$126</definedName>
    <definedName name="OSRRefH22_12x_0" localSheetId="62">'316'!$H$73</definedName>
    <definedName name="OSRRefH22_12x_0" localSheetId="65">'317'!$H$97</definedName>
    <definedName name="OSRRefH22_12x_0" localSheetId="70">'322'!$H$65</definedName>
    <definedName name="OSRRefH22_12x_0" localSheetId="72">'325'!$H$62:$H$64</definedName>
    <definedName name="OSRRefH22_12x_0" localSheetId="60">'326'!$H$94:$H$95</definedName>
    <definedName name="OSRRefH22_12x_0" localSheetId="52">'330'!$H$118</definedName>
    <definedName name="OSRRefH22_12x_0" localSheetId="58">'331'!$H$126</definedName>
    <definedName name="OSRRefH22_12x_0" localSheetId="61">'332'!$H$82</definedName>
    <definedName name="OSRRefH22_12x_0" localSheetId="77">'405'!$H$60:$H$62</definedName>
    <definedName name="OSRRefH22_12x_0" localSheetId="78">'406'!$H$65</definedName>
    <definedName name="OSRRefH22_12x_0" localSheetId="79">'411'!$H$59:$H$60</definedName>
    <definedName name="OSRRefH22_12x_0" localSheetId="80">'412'!$H$66</definedName>
    <definedName name="OSRRefH22_12x_0" localSheetId="82">'414'!$H$58</definedName>
    <definedName name="OSRRefH22_12x_0" localSheetId="83">'415'!$H$62:$H$66</definedName>
    <definedName name="OSRRefH22_12x_0" localSheetId="84">'418'!$H$66:$H$67</definedName>
    <definedName name="OSRRefH22_12x_0" localSheetId="87">'424'!$H$55</definedName>
    <definedName name="OSRRefH22_12x_0" localSheetId="88">'425'!$H$62:$H$68</definedName>
    <definedName name="OSRRefH22_12x_0" localSheetId="92">'433'!$H$64:$H$66</definedName>
    <definedName name="OSRRefH22_12x_0" localSheetId="94">'444'!$H$64:$H$67</definedName>
    <definedName name="OSRRefH22_12x_0" localSheetId="95">'450'!$H$62</definedName>
    <definedName name="OSRRefH22_12x_0" localSheetId="76">'491'!$H$72</definedName>
    <definedName name="OSRRefH22_12x_0" localSheetId="90">'492'!$H$65:$H$67</definedName>
    <definedName name="OSRRefH22_12x_0" localSheetId="39">'Div 2'!$H$61:$H$64</definedName>
    <definedName name="OSRRefH22_12x_0" localSheetId="47">'Div 3'!$H$211</definedName>
    <definedName name="OSRRefH22_12x_0" localSheetId="74">'Div 4'!$H$73</definedName>
    <definedName name="OSRRefH22_12x_0" localSheetId="64">'Div 6'!$H$97</definedName>
    <definedName name="OSRRefH22_12x_0" localSheetId="2">Summary!$H$245</definedName>
    <definedName name="OSRRefH22_13x_0" localSheetId="41">'201'!$H$62</definedName>
    <definedName name="OSRRefH22_13x_0" localSheetId="42">'202'!$H$61</definedName>
    <definedName name="OSRRefH22_13x_0" localSheetId="43">'203'!$H$63</definedName>
    <definedName name="OSRRefH22_13x_0" localSheetId="48">'300'!$H$208</definedName>
    <definedName name="OSRRefH22_13x_0" localSheetId="49">'300 &amp; 317'!$H$233</definedName>
    <definedName name="OSRRefH22_13x_0" localSheetId="50">'301'!$H$64</definedName>
    <definedName name="OSRRefH22_13x_0" localSheetId="55">'308'!$H$109</definedName>
    <definedName name="OSRRefH22_13x_0" localSheetId="66">'310'!$H$69</definedName>
    <definedName name="OSRRefH22_13x_0" localSheetId="75">'310 &amp; 491'!$H$81</definedName>
    <definedName name="OSRRefH22_13x_0" localSheetId="56">'311'!$H$108</definedName>
    <definedName name="OSRRefH22_13x_0" localSheetId="62">'316'!$H$75</definedName>
    <definedName name="OSRRefH22_13x_0" localSheetId="65">'317'!$H$99</definedName>
    <definedName name="OSRRefH22_13x_0" localSheetId="72">'325'!$H$66</definedName>
    <definedName name="OSRRefH22_13x_0" localSheetId="60">'326'!$H$97:$H$99</definedName>
    <definedName name="OSRRefH22_13x_0" localSheetId="52">'330'!$H$120</definedName>
    <definedName name="OSRRefH22_13x_0" localSheetId="58">'331'!$H$128:$H$129</definedName>
    <definedName name="OSRRefH22_13x_0" localSheetId="61">'332'!$H$84</definedName>
    <definedName name="OSRRefH22_13x_0" localSheetId="77">'405'!$H$64:$H$65</definedName>
    <definedName name="OSRRefH22_13x_0" localSheetId="78">'406'!$H$67</definedName>
    <definedName name="OSRRefH22_13x_0" localSheetId="79">'411'!$H$62:$H$66</definedName>
    <definedName name="OSRRefH22_13x_0" localSheetId="80">'412'!$H$68</definedName>
    <definedName name="OSRRefH22_13x_0" localSheetId="82">'414'!$H$60:$H$66</definedName>
    <definedName name="OSRRefH22_13x_0" localSheetId="83">'415'!$H$68:$H$69</definedName>
    <definedName name="OSRRefH22_13x_0" localSheetId="84">'418'!$H$69:$H$74</definedName>
    <definedName name="OSRRefH22_13x_0" localSheetId="88">'425'!$H$70</definedName>
    <definedName name="OSRRefH22_13x_0" localSheetId="92">'433'!$H$68:$H$75</definedName>
    <definedName name="OSRRefH22_13x_0" localSheetId="94">'444'!$H$69</definedName>
    <definedName name="OSRRefH22_13x_0" localSheetId="95">'450'!$H$64:$H$66</definedName>
    <definedName name="OSRRefH22_13x_0" localSheetId="76">'491'!$H$74</definedName>
    <definedName name="OSRRefH22_13x_0" localSheetId="90">'492'!$H$69:$H$72</definedName>
    <definedName name="OSRRefH22_13x_0" localSheetId="39">'Div 2'!$H$66:$H$68</definedName>
    <definedName name="OSRRefH22_13x_0" localSheetId="47">'Div 3'!$H$213</definedName>
    <definedName name="OSRRefH22_13x_0" localSheetId="74">'Div 4'!$H$75</definedName>
    <definedName name="OSRRefH22_13x_0" localSheetId="64">'Div 6'!$H$99</definedName>
    <definedName name="OSRRefH22_13x_0" localSheetId="2">Summary!$H$247</definedName>
    <definedName name="OSRRefH22_14x_0" localSheetId="41">'201'!$H$64</definedName>
    <definedName name="OSRRefH22_14x_0" localSheetId="43">'203'!$H$65</definedName>
    <definedName name="OSRRefH22_14x_0" localSheetId="48">'300'!$H$210</definedName>
    <definedName name="OSRRefH22_14x_0" localSheetId="49">'300 &amp; 317'!$H$235</definedName>
    <definedName name="OSRRefH22_14x_0" localSheetId="50">'301'!$H$66</definedName>
    <definedName name="OSRRefH22_14x_0" localSheetId="55">'308'!$H$111</definedName>
    <definedName name="OSRRefH22_14x_0" localSheetId="66">'310'!$H$71:$H$73</definedName>
    <definedName name="OSRRefH22_14x_0" localSheetId="75">'310 &amp; 491'!$H$83</definedName>
    <definedName name="OSRRefH22_14x_0" localSheetId="56">'311'!$H$110</definedName>
    <definedName name="OSRRefH22_14x_0" localSheetId="72">'325'!$H$68:$H$72</definedName>
    <definedName name="OSRRefH22_14x_0" localSheetId="60">'326'!$H$101:$H$102</definedName>
    <definedName name="OSRRefH22_14x_0" localSheetId="52">'330'!$H$122</definedName>
    <definedName name="OSRRefH22_14x_0" localSheetId="58">'331'!$H$131:$H$132</definedName>
    <definedName name="OSRRefH22_14x_0" localSheetId="61">'332'!$H$86</definedName>
    <definedName name="OSRRefH22_14x_0" localSheetId="77">'405'!$H$67:$H$73</definedName>
    <definedName name="OSRRefH22_14x_0" localSheetId="79">'411'!$H$68</definedName>
    <definedName name="OSRRefH22_14x_0" localSheetId="82">'414'!$H$68</definedName>
    <definedName name="OSRRefH22_14x_0" localSheetId="83">'415'!$H$71:$H$78</definedName>
    <definedName name="OSRRefH22_14x_0" localSheetId="84">'418'!$H$76</definedName>
    <definedName name="OSRRefH22_14x_0" localSheetId="88">'425'!$H$72</definedName>
    <definedName name="OSRRefH22_14x_0" localSheetId="92">'433'!$H$77</definedName>
    <definedName name="OSRRefH22_14x_0" localSheetId="94">'444'!$H$71:$H$79</definedName>
    <definedName name="OSRRefH22_14x_0" localSheetId="95">'450'!$H$68:$H$73</definedName>
    <definedName name="OSRRefH22_14x_0" localSheetId="76">'491'!$H$76</definedName>
    <definedName name="OSRRefH22_14x_0" localSheetId="90">'492'!$H$74</definedName>
    <definedName name="OSRRefH22_14x_0" localSheetId="39">'Div 2'!$H$70:$H$71</definedName>
    <definedName name="OSRRefH22_14x_0" localSheetId="47">'Div 3'!$H$215</definedName>
    <definedName name="OSRRefH22_14x_0" localSheetId="74">'Div 4'!$H$77</definedName>
    <definedName name="OSRRefH22_14x_0" localSheetId="2">Summary!$H$249</definedName>
    <definedName name="OSRRefH22_15x_0" localSheetId="41">'201'!$H$66</definedName>
    <definedName name="OSRRefH22_15x_0" localSheetId="43">'203'!$H$67</definedName>
    <definedName name="OSRRefH22_15x_0" localSheetId="48">'300'!$H$212</definedName>
    <definedName name="OSRRefH22_15x_0" localSheetId="49">'300 &amp; 317'!$H$237</definedName>
    <definedName name="OSRRefH22_15x_0" localSheetId="50">'301'!$H$68:$H$71</definedName>
    <definedName name="OSRRefH22_15x_0" localSheetId="66">'310'!$H$75</definedName>
    <definedName name="OSRRefH22_15x_0" localSheetId="75">'310 &amp; 491'!$H$85</definedName>
    <definedName name="OSRRefH22_15x_0" localSheetId="72">'325'!$H$74</definedName>
    <definedName name="OSRRefH22_15x_0" localSheetId="60">'326'!$H$104:$H$107</definedName>
    <definedName name="OSRRefH22_15x_0" localSheetId="58">'331'!$H$134:$H$136</definedName>
    <definedName name="OSRRefH22_15x_0" localSheetId="77">'405'!$H$75</definedName>
    <definedName name="OSRRefH22_15x_0" localSheetId="79">'411'!$H$70:$H$75</definedName>
    <definedName name="OSRRefH22_15x_0" localSheetId="82">'414'!$H$70</definedName>
    <definedName name="OSRRefH22_15x_0" localSheetId="83">'415'!$H$80</definedName>
    <definedName name="OSRRefH22_15x_0" localSheetId="84">'418'!$H$78</definedName>
    <definedName name="OSRRefH22_15x_0" localSheetId="92">'433'!$H$79</definedName>
    <definedName name="OSRRefH22_15x_0" localSheetId="94">'444'!$H$81</definedName>
    <definedName name="OSRRefH22_15x_0" localSheetId="95">'450'!$H$75</definedName>
    <definedName name="OSRRefH22_15x_0" localSheetId="76">'491'!$H$78:$H$80</definedName>
    <definedName name="OSRRefH22_15x_0" localSheetId="90">'492'!$H$76:$H$84</definedName>
    <definedName name="OSRRefH22_15x_0" localSheetId="39">'Div 2'!$H$73</definedName>
    <definedName name="OSRRefH22_15x_0" localSheetId="47">'Div 3'!$H$217</definedName>
    <definedName name="OSRRefH22_15x_0" localSheetId="74">'Div 4'!$H$79</definedName>
    <definedName name="OSRRefH22_15x_0" localSheetId="2">Summary!$H$251</definedName>
    <definedName name="OSRRefH22_16x_0" localSheetId="48">'300'!$H$214:$H$217</definedName>
    <definedName name="OSRRefH22_16x_0" localSheetId="49">'300 &amp; 317'!$H$239:$H$242</definedName>
    <definedName name="OSRRefH22_16x_0" localSheetId="50">'301'!$H$73:$H$75</definedName>
    <definedName name="OSRRefH22_16x_0" localSheetId="66">'310'!$H$77:$H$80</definedName>
    <definedName name="OSRRefH22_16x_0" localSheetId="75">'310 &amp; 491'!$H$87:$H$89</definedName>
    <definedName name="OSRRefH22_16x_0" localSheetId="72">'325'!$H$76</definedName>
    <definedName name="OSRRefH22_16x_0" localSheetId="60">'326'!$H$109</definedName>
    <definedName name="OSRRefH22_16x_0" localSheetId="58">'331'!$H$138:$H$139</definedName>
    <definedName name="OSRRefH22_16x_0" localSheetId="77">'405'!$H$77</definedName>
    <definedName name="OSRRefH22_16x_0" localSheetId="79">'411'!$H$77</definedName>
    <definedName name="OSRRefH22_16x_0" localSheetId="83">'415'!$H$82</definedName>
    <definedName name="OSRRefH22_16x_0" localSheetId="92">'433'!$H$81</definedName>
    <definedName name="OSRRefH22_16x_0" localSheetId="94">'444'!$H$83</definedName>
    <definedName name="OSRRefH22_16x_0" localSheetId="95">'450'!$H$77</definedName>
    <definedName name="OSRRefH22_16x_0" localSheetId="76">'491'!$H$82:$H$83</definedName>
    <definedName name="OSRRefH22_16x_0" localSheetId="90">'492'!$H$86</definedName>
    <definedName name="OSRRefH22_16x_0" localSheetId="39">'Div 2'!$H$75:$H$79</definedName>
    <definedName name="OSRRefH22_16x_0" localSheetId="47">'Div 3'!$H$219</definedName>
    <definedName name="OSRRefH22_16x_0" localSheetId="74">'Div 4'!$H$81:$H$83</definedName>
    <definedName name="OSRRefH22_16x_0" localSheetId="2">Summary!$H$253</definedName>
    <definedName name="OSRRefH22_17x_0" localSheetId="48">'300'!$H$219:$H$221</definedName>
    <definedName name="OSRRefH22_17x_0" localSheetId="49">'300 &amp; 317'!$H$244:$H$246</definedName>
    <definedName name="OSRRefH22_17x_0" localSheetId="50">'301'!$H$77</definedName>
    <definedName name="OSRRefH22_17x_0" localSheetId="66">'310'!$H$82</definedName>
    <definedName name="OSRRefH22_17x_0" localSheetId="75">'310 &amp; 491'!$H$91:$H$92</definedName>
    <definedName name="OSRRefH22_17x_0" localSheetId="60">'326'!$H$111</definedName>
    <definedName name="OSRRefH22_17x_0" localSheetId="58">'331'!$H$141:$H$146</definedName>
    <definedName name="OSRRefH22_17x_0" localSheetId="77">'405'!$H$79</definedName>
    <definedName name="OSRRefH22_17x_0" localSheetId="79">'411'!$H$79</definedName>
    <definedName name="OSRRefH22_17x_0" localSheetId="83">'415'!$H$84</definedName>
    <definedName name="OSRRefH22_17x_0" localSheetId="94">'444'!$H$85</definedName>
    <definedName name="OSRRefH22_17x_0" localSheetId="95">'450'!$H$79</definedName>
    <definedName name="OSRRefH22_17x_0" localSheetId="76">'491'!$H$85:$H$89</definedName>
    <definedName name="OSRRefH22_17x_0" localSheetId="90">'492'!$H$88</definedName>
    <definedName name="OSRRefH22_17x_0" localSheetId="39">'Div 2'!$H$81:$H$82</definedName>
    <definedName name="OSRRefH22_17x_0" localSheetId="47">'Div 3'!$H$221:$H$224</definedName>
    <definedName name="OSRRefH22_17x_0" localSheetId="74">'Div 4'!$H$85:$H$86</definedName>
    <definedName name="OSRRefH22_17x_0" localSheetId="2">Summary!$H$255</definedName>
    <definedName name="OSRRefH22_18x_0" localSheetId="48">'300'!$H$223:$H$226</definedName>
    <definedName name="OSRRefH22_18x_0" localSheetId="49">'300 &amp; 317'!$H$248:$H$251</definedName>
    <definedName name="OSRRefH22_18x_0" localSheetId="50">'301'!$H$79:$H$84</definedName>
    <definedName name="OSRRefH22_18x_0" localSheetId="66">'310'!$H$84:$H$90</definedName>
    <definedName name="OSRRefH22_18x_0" localSheetId="75">'310 &amp; 491'!$H$94:$H$98</definedName>
    <definedName name="OSRRefH22_18x_0" localSheetId="60">'326'!$H$113</definedName>
    <definedName name="OSRRefH22_18x_0" localSheetId="58">'331'!$H$148</definedName>
    <definedName name="OSRRefH22_18x_0" localSheetId="79">'411'!$H$81:$H$83</definedName>
    <definedName name="OSRRefH22_18x_0" localSheetId="76">'491'!$H$91:$H$92</definedName>
    <definedName name="OSRRefH22_18x_0" localSheetId="90">'492'!$H$90</definedName>
    <definedName name="OSRRefH22_18x_0" localSheetId="39">'Div 2'!$H$84</definedName>
    <definedName name="OSRRefH22_18x_0" localSheetId="47">'Div 3'!$H$226:$H$228</definedName>
    <definedName name="OSRRefH22_18x_0" localSheetId="74">'Div 4'!$H$88:$H$92</definedName>
    <definedName name="OSRRefH22_18x_0" localSheetId="2">Summary!$H$257:$H$260</definedName>
    <definedName name="OSRRefH22_19x_0" localSheetId="48">'300'!$H$228:$H$229</definedName>
    <definedName name="OSRRefH22_19x_0" localSheetId="49">'300 &amp; 317'!$H$253:$H$254</definedName>
    <definedName name="OSRRefH22_19x_0" localSheetId="50">'301'!$H$86</definedName>
    <definedName name="OSRRefH22_19x_0" localSheetId="66">'310'!$H$92</definedName>
    <definedName name="OSRRefH22_19x_0" localSheetId="75">'310 &amp; 491'!$H$100:$H$101</definedName>
    <definedName name="OSRRefH22_19x_0" localSheetId="58">'331'!$H$150</definedName>
    <definedName name="OSRRefH22_19x_0" localSheetId="79">'411'!$H$85</definedName>
    <definedName name="OSRRefH22_19x_0" localSheetId="76">'491'!$H$94:$H$102</definedName>
    <definedName name="OSRRefH22_19x_0" localSheetId="39">'Div 2'!$H$86:$H$87</definedName>
    <definedName name="OSRRefH22_19x_0" localSheetId="47">'Div 3'!$H$230:$H$234</definedName>
    <definedName name="OSRRefH22_19x_0" localSheetId="74">'Div 4'!$H$94:$H$95</definedName>
    <definedName name="OSRRefH22_19x_0" localSheetId="2">Summary!$H$262:$H$264</definedName>
    <definedName name="OSRRefH22_1x_0" localSheetId="40">'200'!$H$22</definedName>
    <definedName name="OSRRefH22_1x_0" localSheetId="41">'201'!$H$29:$H$31</definedName>
    <definedName name="OSRRefH22_1x_0" localSheetId="42">'202'!$H$29:$H$32</definedName>
    <definedName name="OSRRefH22_1x_0" localSheetId="43">'203'!$H$31:$H$34</definedName>
    <definedName name="OSRRefH22_1x_0" localSheetId="44">'204'!$H$31:$H$35</definedName>
    <definedName name="OSRRefH22_1x_0" localSheetId="45">'205'!$H$29</definedName>
    <definedName name="OSRRefH22_1x_0" localSheetId="46">'206'!$H$28:$H$31</definedName>
    <definedName name="OSRRefH22_1x_0" localSheetId="48">'300'!$H$174:$H$180</definedName>
    <definedName name="OSRRefH22_1x_0" localSheetId="49">'300 &amp; 317'!$H$199:$H$205</definedName>
    <definedName name="OSRRefH22_1x_0" localSheetId="50">'301'!$H$31:$H$37</definedName>
    <definedName name="OSRRefH22_1x_0" localSheetId="51">'306'!$H$30:$H$35</definedName>
    <definedName name="OSRRefH22_1x_0" localSheetId="53">'307'!$H$79:$H$82</definedName>
    <definedName name="OSRRefH22_1x_0" localSheetId="55">'308'!$H$74:$H$79</definedName>
    <definedName name="OSRRefH22_1x_0" localSheetId="67">'309'!$H$33:$H$37</definedName>
    <definedName name="OSRRefH22_1x_0" localSheetId="66">'310'!$H$39:$H$44</definedName>
    <definedName name="OSRRefH22_1x_0" localSheetId="75">'310 &amp; 491'!$H$47:$H$53</definedName>
    <definedName name="OSRRefH22_1x_0" localSheetId="56">'311'!$H$73:$H$78</definedName>
    <definedName name="OSRRefH22_1x_0" localSheetId="68">'313'!$H$36:$H$40</definedName>
    <definedName name="OSRRefH22_1x_0" localSheetId="54">'314'!$H$63:$H$65</definedName>
    <definedName name="OSRRefH22_1x_0" localSheetId="59">'315'!$H$90:$H$95</definedName>
    <definedName name="OSRRefH22_1x_0" localSheetId="62">'316'!$H$41:$H$43</definedName>
    <definedName name="OSRRefH22_1x_0" localSheetId="65">'317'!$H$68:$H$72</definedName>
    <definedName name="OSRRefH22_1x_0" localSheetId="63">'320'!$H$36:$H$38</definedName>
    <definedName name="OSRRefH22_1x_0" localSheetId="69">'321'!$H$33:$H$37</definedName>
    <definedName name="OSRRefH22_1x_0" localSheetId="70">'322'!$H$33:$H$36</definedName>
    <definedName name="OSRRefH22_1x_0" localSheetId="72">'325'!$H$33:$H$37</definedName>
    <definedName name="OSRRefH22_1x_0" localSheetId="60">'326'!$H$68:$H$72</definedName>
    <definedName name="OSRRefH22_1x_0" localSheetId="73">'327'!$H$24</definedName>
    <definedName name="OSRRefH22_1x_0" localSheetId="52">'330'!$H$87:$H$91</definedName>
    <definedName name="OSRRefH22_1x_0" localSheetId="58">'331'!$H$97:$H$102</definedName>
    <definedName name="OSRRefH22_1x_0" localSheetId="61">'332'!$H$49:$H$52</definedName>
    <definedName name="OSRRefH22_1x_0" localSheetId="77">'405'!$H$33:$H$36</definedName>
    <definedName name="OSRRefH22_1x_0" localSheetId="78">'406'!$H$33:$H$37</definedName>
    <definedName name="OSRRefH22_1x_0" localSheetId="79">'411'!$H$30:$H$35</definedName>
    <definedName name="OSRRefH22_1x_0" localSheetId="80">'412'!$H$32:$H$37</definedName>
    <definedName name="OSRRefH22_1x_0" localSheetId="81">'413'!$H$33:$H$36</definedName>
    <definedName name="OSRRefH22_1x_0" localSheetId="82">'414'!$H$32:$H$35</definedName>
    <definedName name="OSRRefH22_1x_0" localSheetId="83">'415'!$H$33:$H$37</definedName>
    <definedName name="OSRRefH22_1x_0" localSheetId="84">'418'!$H$33:$H$38</definedName>
    <definedName name="OSRRefH22_1x_0" localSheetId="85">'420'!$H$31:$H$34</definedName>
    <definedName name="OSRRefH22_1x_0" localSheetId="86">'423'!$H$30</definedName>
    <definedName name="OSRRefH22_1x_0" localSheetId="87">'424'!$H$26:$H$30</definedName>
    <definedName name="OSRRefH22_1x_0" localSheetId="88">'425'!$H$33:$H$37</definedName>
    <definedName name="OSRRefH22_1x_0" localSheetId="91">'430'!$H$29</definedName>
    <definedName name="OSRRefH22_1x_0" localSheetId="92">'433'!$H$35:$H$40</definedName>
    <definedName name="OSRRefH22_1x_0" localSheetId="93">'435'!$H$29:$H$31</definedName>
    <definedName name="OSRRefH22_1x_0" localSheetId="94">'444'!$H$35:$H$40</definedName>
    <definedName name="OSRRefH22_1x_0" localSheetId="95">'450'!$H$35:$H$40</definedName>
    <definedName name="OSRRefH22_1x_0" localSheetId="89">'455'!$H$28:$H$29</definedName>
    <definedName name="OSRRefH22_1x_0" localSheetId="76">'491'!$H$41:$H$47</definedName>
    <definedName name="OSRRefH22_1x_0" localSheetId="90">'492'!$H$37:$H$43</definedName>
    <definedName name="OSRRefH22_1x_0" localSheetId="97">'501'!$H$31:$H$35</definedName>
    <definedName name="OSRRefH22_1x_0" localSheetId="39">'Div 2'!$H$32:$H$38</definedName>
    <definedName name="OSRRefH22_1x_0" localSheetId="47">'Div 3'!$H$179:$H$185</definedName>
    <definedName name="OSRRefH22_1x_0" localSheetId="74">'Div 4'!$H$42:$H$48</definedName>
    <definedName name="OSRRefH22_1x_0" localSheetId="96">'Div 5'!$H$31:$H$35</definedName>
    <definedName name="OSRRefH22_1x_0" localSheetId="64">'Div 6'!$H$68:$H$72</definedName>
    <definedName name="OSRRefH22_1x_0" localSheetId="2">Summary!$H$211:$H$217</definedName>
    <definedName name="OSRRefH22_20x_0" localSheetId="48">'300'!$H$231:$H$237</definedName>
    <definedName name="OSRRefH22_20x_0" localSheetId="49">'300 &amp; 317'!$H$256:$H$262</definedName>
    <definedName name="OSRRefH22_20x_0" localSheetId="50">'301'!$H$88</definedName>
    <definedName name="OSRRefH22_20x_0" localSheetId="66">'310'!$H$94</definedName>
    <definedName name="OSRRefH22_20x_0" localSheetId="75">'310 &amp; 491'!$H$103:$H$111</definedName>
    <definedName name="OSRRefH22_20x_0" localSheetId="58">'331'!$H$152:$H$153</definedName>
    <definedName name="OSRRefH22_20x_0" localSheetId="76">'491'!$H$104</definedName>
    <definedName name="OSRRefH22_20x_0" localSheetId="47">'Div 3'!$H$236:$H$237</definedName>
    <definedName name="OSRRefH22_20x_0" localSheetId="74">'Div 4'!$H$97:$H$105</definedName>
    <definedName name="OSRRefH22_20x_0" localSheetId="2">Summary!$H$266:$H$270</definedName>
    <definedName name="OSRRefH22_21x_0" localSheetId="48">'300'!$H$239:$H$240</definedName>
    <definedName name="OSRRefH22_21x_0" localSheetId="49">'300 &amp; 317'!$H$264:$H$265</definedName>
    <definedName name="OSRRefH22_21x_0" localSheetId="50">'301'!$H$90:$H$92</definedName>
    <definedName name="OSRRefH22_21x_0" localSheetId="66">'310'!$H$96</definedName>
    <definedName name="OSRRefH22_21x_0" localSheetId="75">'310 &amp; 491'!$H$113</definedName>
    <definedName name="OSRRefH22_21x_0" localSheetId="58">'331'!$H$155</definedName>
    <definedName name="OSRRefH22_21x_0" localSheetId="76">'491'!$H$106</definedName>
    <definedName name="OSRRefH22_21x_0" localSheetId="47">'Div 3'!$H$239:$H$245</definedName>
    <definedName name="OSRRefH22_21x_0" localSheetId="74">'Div 4'!$H$107</definedName>
    <definedName name="OSRRefH22_21x_0" localSheetId="2">Summary!$H$272:$H$273</definedName>
    <definedName name="OSRRefH22_22x_0" localSheetId="48">'300'!$H$242</definedName>
    <definedName name="OSRRefH22_22x_0" localSheetId="49">'300 &amp; 317'!$H$267</definedName>
    <definedName name="OSRRefH22_22x_0" localSheetId="50">'301'!$H$94</definedName>
    <definedName name="OSRRefH22_22x_0" localSheetId="75">'310 &amp; 491'!$H$115</definedName>
    <definedName name="OSRRefH22_22x_0" localSheetId="76">'491'!$H$108:$H$110</definedName>
    <definedName name="OSRRefH22_22x_0" localSheetId="47">'Div 3'!$H$247:$H$248</definedName>
    <definedName name="OSRRefH22_22x_0" localSheetId="74">'Div 4'!$H$109</definedName>
    <definedName name="OSRRefH22_22x_0" localSheetId="2">Summary!$H$275:$H$283</definedName>
    <definedName name="OSRRefH22_23x_0" localSheetId="48">'300'!$H$244:$H$246</definedName>
    <definedName name="OSRRefH22_23x_0" localSheetId="49">'300 &amp; 317'!$H$269:$H$271</definedName>
    <definedName name="OSRRefH22_23x_0" localSheetId="75">'310 &amp; 491'!$H$117:$H$119</definedName>
    <definedName name="OSRRefH22_23x_0" localSheetId="76">'491'!$H$112</definedName>
    <definedName name="OSRRefH22_23x_0" localSheetId="47">'Div 3'!$H$250</definedName>
    <definedName name="OSRRefH22_23x_0" localSheetId="74">'Div 4'!$H$111:$H$113</definedName>
    <definedName name="OSRRefH22_23x_0" localSheetId="2">Summary!$H$285:$H$286</definedName>
    <definedName name="OSRRefH22_24x_0" localSheetId="48">'300'!$H$248</definedName>
    <definedName name="OSRRefH22_24x_0" localSheetId="49">'300 &amp; 317'!$H$273</definedName>
    <definedName name="OSRRefH22_24x_0" localSheetId="75">'310 &amp; 491'!$H$121</definedName>
    <definedName name="OSRRefH22_24x_0" localSheetId="47">'Div 3'!$H$252:$H$254</definedName>
    <definedName name="OSRRefH22_24x_0" localSheetId="74">'Div 4'!$H$115</definedName>
    <definedName name="OSRRefH22_24x_0" localSheetId="2">Summary!$H$288</definedName>
    <definedName name="OSRRefH22_25x_0" localSheetId="47">'Div 3'!$H$256</definedName>
    <definedName name="OSRRefH22_25x_0" localSheetId="2">Summary!$H$290:$H$292</definedName>
    <definedName name="OSRRefH22_26x_0" localSheetId="2">Summary!$H$294</definedName>
    <definedName name="OSRRefH22_2x_0" localSheetId="40">'200'!$H$24</definedName>
    <definedName name="OSRRefH22_2x_0" localSheetId="41">'201'!$H$33</definedName>
    <definedName name="OSRRefH22_2x_0" localSheetId="42">'202'!$H$34</definedName>
    <definedName name="OSRRefH22_2x_0" localSheetId="43">'203'!$H$36</definedName>
    <definedName name="OSRRefH22_2x_0" localSheetId="44">'204'!$H$37</definedName>
    <definedName name="OSRRefH22_2x_0" localSheetId="45">'205'!$H$31</definedName>
    <definedName name="OSRRefH22_2x_0" localSheetId="46">'206'!$H$33</definedName>
    <definedName name="OSRRefH22_2x_0" localSheetId="48">'300'!$H$182</definedName>
    <definedName name="OSRRefH22_2x_0" localSheetId="49">'300 &amp; 317'!$H$207</definedName>
    <definedName name="OSRRefH22_2x_0" localSheetId="50">'301'!$H$39</definedName>
    <definedName name="OSRRefH22_2x_0" localSheetId="51">'306'!$H$37</definedName>
    <definedName name="OSRRefH22_2x_0" localSheetId="53">'307'!$H$84</definedName>
    <definedName name="OSRRefH22_2x_0" localSheetId="55">'308'!$H$81</definedName>
    <definedName name="OSRRefH22_2x_0" localSheetId="67">'309'!$H$39</definedName>
    <definedName name="OSRRefH22_2x_0" localSheetId="66">'310'!$H$46</definedName>
    <definedName name="OSRRefH22_2x_0" localSheetId="75">'310 &amp; 491'!$H$55</definedName>
    <definedName name="OSRRefH22_2x_0" localSheetId="56">'311'!$H$80</definedName>
    <definedName name="OSRRefH22_2x_0" localSheetId="68">'313'!$H$42</definedName>
    <definedName name="OSRRefH22_2x_0" localSheetId="54">'314'!$H$67</definedName>
    <definedName name="OSRRefH22_2x_0" localSheetId="59">'315'!$H$97</definedName>
    <definedName name="OSRRefH22_2x_0" localSheetId="62">'316'!$H$45</definedName>
    <definedName name="OSRRefH22_2x_0" localSheetId="65">'317'!$H$74</definedName>
    <definedName name="OSRRefH22_2x_0" localSheetId="63">'320'!$H$40</definedName>
    <definedName name="OSRRefH22_2x_0" localSheetId="69">'321'!$H$39</definedName>
    <definedName name="OSRRefH22_2x_0" localSheetId="70">'322'!$H$38</definedName>
    <definedName name="OSRRefH22_2x_0" localSheetId="72">'325'!$H$39</definedName>
    <definedName name="OSRRefH22_2x_0" localSheetId="60">'326'!$H$74</definedName>
    <definedName name="OSRRefH22_2x_0" localSheetId="73">'327'!$H$26</definedName>
    <definedName name="OSRRefH22_2x_0" localSheetId="52">'330'!$H$93</definedName>
    <definedName name="OSRRefH22_2x_0" localSheetId="58">'331'!$H$104</definedName>
    <definedName name="OSRRefH22_2x_0" localSheetId="61">'332'!$H$54</definedName>
    <definedName name="OSRRefH22_2x_0" localSheetId="77">'405'!$H$38</definedName>
    <definedName name="OSRRefH22_2x_0" localSheetId="78">'406'!$H$39</definedName>
    <definedName name="OSRRefH22_2x_0" localSheetId="79">'411'!$H$37</definedName>
    <definedName name="OSRRefH22_2x_0" localSheetId="80">'412'!$H$39</definedName>
    <definedName name="OSRRefH22_2x_0" localSheetId="81">'413'!$H$38</definedName>
    <definedName name="OSRRefH22_2x_0" localSheetId="82">'414'!$H$37</definedName>
    <definedName name="OSRRefH22_2x_0" localSheetId="83">'415'!$H$39</definedName>
    <definedName name="OSRRefH22_2x_0" localSheetId="84">'418'!$H$40</definedName>
    <definedName name="OSRRefH22_2x_0" localSheetId="85">'420'!$H$36</definedName>
    <definedName name="OSRRefH22_2x_0" localSheetId="86">'423'!$H$32</definedName>
    <definedName name="OSRRefH22_2x_0" localSheetId="87">'424'!$H$32</definedName>
    <definedName name="OSRRefH22_2x_0" localSheetId="88">'425'!$H$39</definedName>
    <definedName name="OSRRefH22_2x_0" localSheetId="91">'430'!$H$31</definedName>
    <definedName name="OSRRefH22_2x_0" localSheetId="92">'433'!$H$42</definedName>
    <definedName name="OSRRefH22_2x_0" localSheetId="93">'435'!$H$33</definedName>
    <definedName name="OSRRefH22_2x_0" localSheetId="94">'444'!$H$42</definedName>
    <definedName name="OSRRefH22_2x_0" localSheetId="95">'450'!$H$42</definedName>
    <definedName name="OSRRefH22_2x_0" localSheetId="76">'491'!$H$49</definedName>
    <definedName name="OSRRefH22_2x_0" localSheetId="90">'492'!$H$45</definedName>
    <definedName name="OSRRefH22_2x_0" localSheetId="97">'501'!$H$37</definedName>
    <definedName name="OSRRefH22_2x_0" localSheetId="39">'Div 2'!$H$40</definedName>
    <definedName name="OSRRefH22_2x_0" localSheetId="47">'Div 3'!$H$187</definedName>
    <definedName name="OSRRefH22_2x_0" localSheetId="74">'Div 4'!$H$50</definedName>
    <definedName name="OSRRefH22_2x_0" localSheetId="96">'Div 5'!$H$37</definedName>
    <definedName name="OSRRefH22_2x_0" localSheetId="64">'Div 6'!$H$74</definedName>
    <definedName name="OSRRefH22_2x_0" localSheetId="2">Summary!$H$219</definedName>
    <definedName name="OSRRefH22_3x_0" localSheetId="40">'200'!$H$26</definedName>
    <definedName name="OSRRefH22_3x_0" localSheetId="41">'201'!$H$35</definedName>
    <definedName name="OSRRefH22_3x_0" localSheetId="42">'202'!$H$36</definedName>
    <definedName name="OSRRefH22_3x_0" localSheetId="43">'203'!$H$38</definedName>
    <definedName name="OSRRefH22_3x_0" localSheetId="44">'204'!$H$39</definedName>
    <definedName name="OSRRefH22_3x_0" localSheetId="45">'205'!$H$33</definedName>
    <definedName name="OSRRefH22_3x_0" localSheetId="46">'206'!$H$35</definedName>
    <definedName name="OSRRefH22_3x_0" localSheetId="48">'300'!$H$184:$H$185</definedName>
    <definedName name="OSRRefH22_3x_0" localSheetId="49">'300 &amp; 317'!$H$209:$H$210</definedName>
    <definedName name="OSRRefH22_3x_0" localSheetId="50">'301'!$H$41:$H$42</definedName>
    <definedName name="OSRRefH22_3x_0" localSheetId="51">'306'!$H$39</definedName>
    <definedName name="OSRRefH22_3x_0" localSheetId="53">'307'!$H$86</definedName>
    <definedName name="OSRRefH22_3x_0" localSheetId="55">'308'!$H$83:$H$84</definedName>
    <definedName name="OSRRefH22_3x_0" localSheetId="67">'309'!$H$41</definedName>
    <definedName name="OSRRefH22_3x_0" localSheetId="66">'310'!$H$48</definedName>
    <definedName name="OSRRefH22_3x_0" localSheetId="75">'310 &amp; 491'!$H$57</definedName>
    <definedName name="OSRRefH22_3x_0" localSheetId="56">'311'!$H$82:$H$83</definedName>
    <definedName name="OSRRefH22_3x_0" localSheetId="68">'313'!$H$44</definedName>
    <definedName name="OSRRefH22_3x_0" localSheetId="54">'314'!$H$69:$H$70</definedName>
    <definedName name="OSRRefH22_3x_0" localSheetId="59">'315'!$H$99:$H$100</definedName>
    <definedName name="OSRRefH22_3x_0" localSheetId="62">'316'!$H$47</definedName>
    <definedName name="OSRRefH22_3x_0" localSheetId="65">'317'!$H$76</definedName>
    <definedName name="OSRRefH22_3x_0" localSheetId="63">'320'!$H$42</definedName>
    <definedName name="OSRRefH22_3x_0" localSheetId="69">'321'!$H$41</definedName>
    <definedName name="OSRRefH22_3x_0" localSheetId="70">'322'!$H$40</definedName>
    <definedName name="OSRRefH22_3x_0" localSheetId="72">'325'!$H$41</definedName>
    <definedName name="OSRRefH22_3x_0" localSheetId="60">'326'!$H$76</definedName>
    <definedName name="OSRRefH22_3x_0" localSheetId="52">'330'!$H$95</definedName>
    <definedName name="OSRRefH22_3x_0" localSheetId="58">'331'!$H$106</definedName>
    <definedName name="OSRRefH22_3x_0" localSheetId="61">'332'!$H$56</definedName>
    <definedName name="OSRRefH22_3x_0" localSheetId="77">'405'!$H$40</definedName>
    <definedName name="OSRRefH22_3x_0" localSheetId="78">'406'!$H$41</definedName>
    <definedName name="OSRRefH22_3x_0" localSheetId="79">'411'!$H$39</definedName>
    <definedName name="OSRRefH22_3x_0" localSheetId="80">'412'!$H$41</definedName>
    <definedName name="OSRRefH22_3x_0" localSheetId="81">'413'!$H$40</definedName>
    <definedName name="OSRRefH22_3x_0" localSheetId="82">'414'!$H$39</definedName>
    <definedName name="OSRRefH22_3x_0" localSheetId="83">'415'!$H$41</definedName>
    <definedName name="OSRRefH22_3x_0" localSheetId="84">'418'!$H$42</definedName>
    <definedName name="OSRRefH22_3x_0" localSheetId="85">'420'!$H$38</definedName>
    <definedName name="OSRRefH22_3x_0" localSheetId="86">'423'!$H$34</definedName>
    <definedName name="OSRRefH22_3x_0" localSheetId="87">'424'!$H$34</definedName>
    <definedName name="OSRRefH22_3x_0" localSheetId="88">'425'!$H$41</definedName>
    <definedName name="OSRRefH22_3x_0" localSheetId="91">'430'!$H$33</definedName>
    <definedName name="OSRRefH22_3x_0" localSheetId="92">'433'!$H$44</definedName>
    <definedName name="OSRRefH22_3x_0" localSheetId="93">'435'!$H$35</definedName>
    <definedName name="OSRRefH22_3x_0" localSheetId="94">'444'!$H$44</definedName>
    <definedName name="OSRRefH22_3x_0" localSheetId="95">'450'!$H$44</definedName>
    <definedName name="OSRRefH22_3x_0" localSheetId="76">'491'!$H$51</definedName>
    <definedName name="OSRRefH22_3x_0" localSheetId="90">'492'!$H$47</definedName>
    <definedName name="OSRRefH22_3x_0" localSheetId="97">'501'!$H$39</definedName>
    <definedName name="OSRRefH22_3x_0" localSheetId="39">'Div 2'!$H$42</definedName>
    <definedName name="OSRRefH22_3x_0" localSheetId="47">'Div 3'!$H$189:$H$190</definedName>
    <definedName name="OSRRefH22_3x_0" localSheetId="74">'Div 4'!$H$52</definedName>
    <definedName name="OSRRefH22_3x_0" localSheetId="96">'Div 5'!$H$39</definedName>
    <definedName name="OSRRefH22_3x_0" localSheetId="64">'Div 6'!$H$76</definedName>
    <definedName name="OSRRefH22_3x_0" localSheetId="2">Summary!$H$221:$H$222</definedName>
    <definedName name="OSRRefH22_4x_0" localSheetId="40">'200'!$H$28:$H$29</definedName>
    <definedName name="OSRRefH22_4x_0" localSheetId="41">'201'!$H$37</definedName>
    <definedName name="OSRRefH22_4x_0" localSheetId="42">'202'!$H$38:$H$39</definedName>
    <definedName name="OSRRefH22_4x_0" localSheetId="43">'203'!$H$40</definedName>
    <definedName name="OSRRefH22_4x_0" localSheetId="44">'204'!$H$41</definedName>
    <definedName name="OSRRefH22_4x_0" localSheetId="45">'205'!$H$35:$H$36</definedName>
    <definedName name="OSRRefH22_4x_0" localSheetId="46">'206'!$H$37</definedName>
    <definedName name="OSRRefH22_4x_0" localSheetId="48">'300'!$H$187</definedName>
    <definedName name="OSRRefH22_4x_0" localSheetId="49">'300 &amp; 317'!$H$212</definedName>
    <definedName name="OSRRefH22_4x_0" localSheetId="50">'301'!$H$44</definedName>
    <definedName name="OSRRefH22_4x_0" localSheetId="51">'306'!$H$41</definedName>
    <definedName name="OSRRefH22_4x_0" localSheetId="53">'307'!$H$88:$H$89</definedName>
    <definedName name="OSRRefH22_4x_0" localSheetId="55">'308'!$H$86</definedName>
    <definedName name="OSRRefH22_4x_0" localSheetId="67">'309'!$H$43</definedName>
    <definedName name="OSRRefH22_4x_0" localSheetId="66">'310'!$H$50</definedName>
    <definedName name="OSRRefH22_4x_0" localSheetId="75">'310 &amp; 491'!$H$59</definedName>
    <definedName name="OSRRefH22_4x_0" localSheetId="56">'311'!$H$85</definedName>
    <definedName name="OSRRefH22_4x_0" localSheetId="68">'313'!$H$46</definedName>
    <definedName name="OSRRefH22_4x_0" localSheetId="54">'314'!$H$72</definedName>
    <definedName name="OSRRefH22_4x_0" localSheetId="59">'315'!$H$102</definedName>
    <definedName name="OSRRefH22_4x_0" localSheetId="62">'316'!$H$49</definedName>
    <definedName name="OSRRefH22_4x_0" localSheetId="65">'317'!$H$78</definedName>
    <definedName name="OSRRefH22_4x_0" localSheetId="63">'320'!$H$44:$H$45</definedName>
    <definedName name="OSRRefH22_4x_0" localSheetId="69">'321'!$H$43</definedName>
    <definedName name="OSRRefH22_4x_0" localSheetId="70">'322'!$H$42</definedName>
    <definedName name="OSRRefH22_4x_0" localSheetId="72">'325'!$H$43</definedName>
    <definedName name="OSRRefH22_4x_0" localSheetId="60">'326'!$H$78</definedName>
    <definedName name="OSRRefH22_4x_0" localSheetId="52">'330'!$H$97:$H$98</definedName>
    <definedName name="OSRRefH22_4x_0" localSheetId="58">'331'!$H$108</definedName>
    <definedName name="OSRRefH22_4x_0" localSheetId="61">'332'!$H$58</definedName>
    <definedName name="OSRRefH22_4x_0" localSheetId="77">'405'!$H$42</definedName>
    <definedName name="OSRRefH22_4x_0" localSheetId="78">'406'!$H$43</definedName>
    <definedName name="OSRRefH22_4x_0" localSheetId="79">'411'!$H$41:$H$43</definedName>
    <definedName name="OSRRefH22_4x_0" localSheetId="80">'412'!$H$43</definedName>
    <definedName name="OSRRefH22_4x_0" localSheetId="81">'413'!$H$42</definedName>
    <definedName name="OSRRefH22_4x_0" localSheetId="82">'414'!$H$41</definedName>
    <definedName name="OSRRefH22_4x_0" localSheetId="83">'415'!$H$43</definedName>
    <definedName name="OSRRefH22_4x_0" localSheetId="84">'418'!$H$44</definedName>
    <definedName name="OSRRefH22_4x_0" localSheetId="85">'420'!$H$40:$H$41</definedName>
    <definedName name="OSRRefH22_4x_0" localSheetId="86">'423'!$H$36</definedName>
    <definedName name="OSRRefH22_4x_0" localSheetId="87">'424'!$H$36</definedName>
    <definedName name="OSRRefH22_4x_0" localSheetId="88">'425'!$H$43</definedName>
    <definedName name="OSRRefH22_4x_0" localSheetId="91">'430'!$H$35:$H$36</definedName>
    <definedName name="OSRRefH22_4x_0" localSheetId="92">'433'!$H$46</definedName>
    <definedName name="OSRRefH22_4x_0" localSheetId="93">'435'!$H$37</definedName>
    <definedName name="OSRRefH22_4x_0" localSheetId="94">'444'!$H$46</definedName>
    <definedName name="OSRRefH22_4x_0" localSheetId="95">'450'!$H$46</definedName>
    <definedName name="OSRRefH22_4x_0" localSheetId="76">'491'!$H$53</definedName>
    <definedName name="OSRRefH22_4x_0" localSheetId="90">'492'!$H$49</definedName>
    <definedName name="OSRRefH22_4x_0" localSheetId="97">'501'!$H$41</definedName>
    <definedName name="OSRRefH22_4x_0" localSheetId="39">'Div 2'!$H$44</definedName>
    <definedName name="OSRRefH22_4x_0" localSheetId="47">'Div 3'!$H$192</definedName>
    <definedName name="OSRRefH22_4x_0" localSheetId="74">'Div 4'!$H$54</definedName>
    <definedName name="OSRRefH22_4x_0" localSheetId="96">'Div 5'!$H$41</definedName>
    <definedName name="OSRRefH22_4x_0" localSheetId="64">'Div 6'!$H$78</definedName>
    <definedName name="OSRRefH22_4x_0" localSheetId="2">Summary!$H$224</definedName>
    <definedName name="OSRRefH22_5x_0" localSheetId="41">'201'!$H$39</definedName>
    <definedName name="OSRRefH22_5x_0" localSheetId="42">'202'!$H$41</definedName>
    <definedName name="OSRRefH22_5x_0" localSheetId="43">'203'!$H$42</definedName>
    <definedName name="OSRRefH22_5x_0" localSheetId="44">'204'!$H$43</definedName>
    <definedName name="OSRRefH22_5x_0" localSheetId="45">'205'!$H$38</definedName>
    <definedName name="OSRRefH22_5x_0" localSheetId="46">'206'!$H$39:$H$40</definedName>
    <definedName name="OSRRefH22_5x_0" localSheetId="48">'300'!$H$189:$H$190</definedName>
    <definedName name="OSRRefH22_5x_0" localSheetId="49">'300 &amp; 317'!$H$214:$H$215</definedName>
    <definedName name="OSRRefH22_5x_0" localSheetId="50">'301'!$H$46:$H$47</definedName>
    <definedName name="OSRRefH22_5x_0" localSheetId="51">'306'!$H$43</definedName>
    <definedName name="OSRRefH22_5x_0" localSheetId="53">'307'!$H$91</definedName>
    <definedName name="OSRRefH22_5x_0" localSheetId="55">'308'!$H$88</definedName>
    <definedName name="OSRRefH22_5x_0" localSheetId="67">'309'!$H$45</definedName>
    <definedName name="OSRRefH22_5x_0" localSheetId="66">'310'!$H$52:$H$53</definedName>
    <definedName name="OSRRefH22_5x_0" localSheetId="75">'310 &amp; 491'!$H$61:$H$63</definedName>
    <definedName name="OSRRefH22_5x_0" localSheetId="56">'311'!$H$87</definedName>
    <definedName name="OSRRefH22_5x_0" localSheetId="68">'313'!$H$48</definedName>
    <definedName name="OSRRefH22_5x_0" localSheetId="54">'314'!$H$74</definedName>
    <definedName name="OSRRefH22_5x_0" localSheetId="59">'315'!$H$104:$H$105</definedName>
    <definedName name="OSRRefH22_5x_0" localSheetId="62">'316'!$H$51</definedName>
    <definedName name="OSRRefH22_5x_0" localSheetId="65">'317'!$H$80:$H$81</definedName>
    <definedName name="OSRRefH22_5x_0" localSheetId="63">'320'!$H$47</definedName>
    <definedName name="OSRRefH22_5x_0" localSheetId="69">'321'!$H$45</definedName>
    <definedName name="OSRRefH22_5x_0" localSheetId="70">'322'!$H$44</definedName>
    <definedName name="OSRRefH22_5x_0" localSheetId="72">'325'!$H$45:$H$46</definedName>
    <definedName name="OSRRefH22_5x_0" localSheetId="60">'326'!$H$80</definedName>
    <definedName name="OSRRefH22_5x_0" localSheetId="52">'330'!$H$100</definedName>
    <definedName name="OSRRefH22_5x_0" localSheetId="58">'331'!$H$110:$H$111</definedName>
    <definedName name="OSRRefH22_5x_0" localSheetId="61">'332'!$H$60</definedName>
    <definedName name="OSRRefH22_5x_0" localSheetId="77">'405'!$H$44:$H$45</definedName>
    <definedName name="OSRRefH22_5x_0" localSheetId="78">'406'!$H$45</definedName>
    <definedName name="OSRRefH22_5x_0" localSheetId="79">'411'!$H$45</definedName>
    <definedName name="OSRRefH22_5x_0" localSheetId="80">'412'!$H$45</definedName>
    <definedName name="OSRRefH22_5x_0" localSheetId="81">'413'!$H$44</definedName>
    <definedName name="OSRRefH22_5x_0" localSheetId="82">'414'!$H$43</definedName>
    <definedName name="OSRRefH22_5x_0" localSheetId="83">'415'!$H$45:$H$46</definedName>
    <definedName name="OSRRefH22_5x_0" localSheetId="84">'418'!$H$46:$H$47</definedName>
    <definedName name="OSRRefH22_5x_0" localSheetId="85">'420'!$H$43</definedName>
    <definedName name="OSRRefH22_5x_0" localSheetId="86">'423'!$H$38</definedName>
    <definedName name="OSRRefH22_5x_0" localSheetId="87">'424'!$H$38</definedName>
    <definedName name="OSRRefH22_5x_0" localSheetId="88">'425'!$H$45</definedName>
    <definedName name="OSRRefH22_5x_0" localSheetId="91">'430'!$H$38</definedName>
    <definedName name="OSRRefH22_5x_0" localSheetId="92">'433'!$H$48</definedName>
    <definedName name="OSRRefH22_5x_0" localSheetId="93">'435'!$H$39</definedName>
    <definedName name="OSRRefH22_5x_0" localSheetId="94">'444'!$H$48</definedName>
    <definedName name="OSRRefH22_5x_0" localSheetId="95">'450'!$H$48</definedName>
    <definedName name="OSRRefH22_5x_0" localSheetId="76">'491'!$H$55:$H$57</definedName>
    <definedName name="OSRRefH22_5x_0" localSheetId="90">'492'!$H$51</definedName>
    <definedName name="OSRRefH22_5x_0" localSheetId="97">'501'!$H$43:$H$44</definedName>
    <definedName name="OSRRefH22_5x_0" localSheetId="39">'Div 2'!$H$46</definedName>
    <definedName name="OSRRefH22_5x_0" localSheetId="47">'Div 3'!$H$194:$H$195</definedName>
    <definedName name="OSRRefH22_5x_0" localSheetId="74">'Div 4'!$H$56:$H$58</definedName>
    <definedName name="OSRRefH22_5x_0" localSheetId="96">'Div 5'!$H$43:$H$44</definedName>
    <definedName name="OSRRefH22_5x_0" localSheetId="64">'Div 6'!$H$80:$H$81</definedName>
    <definedName name="OSRRefH22_5x_0" localSheetId="2">Summary!$H$226:$H$228</definedName>
    <definedName name="OSRRefH22_6x_0" localSheetId="41">'201'!$H$41</definedName>
    <definedName name="OSRRefH22_6x_0" localSheetId="42">'202'!$H$43</definedName>
    <definedName name="OSRRefH22_6x_0" localSheetId="43">'203'!$H$44</definedName>
    <definedName name="OSRRefH22_6x_0" localSheetId="44">'204'!$H$45:$H$47</definedName>
    <definedName name="OSRRefH22_6x_0" localSheetId="45">'205'!$H$40:$H$42</definedName>
    <definedName name="OSRRefH22_6x_0" localSheetId="46">'206'!$H$42</definedName>
    <definedName name="OSRRefH22_6x_0" localSheetId="48">'300'!$H$192:$H$193</definedName>
    <definedName name="OSRRefH22_6x_0" localSheetId="49">'300 &amp; 317'!$H$217:$H$218</definedName>
    <definedName name="OSRRefH22_6x_0" localSheetId="50">'301'!$H$49:$H$50</definedName>
    <definedName name="OSRRefH22_6x_0" localSheetId="51">'306'!$H$45:$H$46</definedName>
    <definedName name="OSRRefH22_6x_0" localSheetId="53">'307'!$H$93</definedName>
    <definedName name="OSRRefH22_6x_0" localSheetId="55">'308'!$H$90:$H$91</definedName>
    <definedName name="OSRRefH22_6x_0" localSheetId="67">'309'!$H$47</definedName>
    <definedName name="OSRRefH22_6x_0" localSheetId="66">'310'!$H$55</definedName>
    <definedName name="OSRRefH22_6x_0" localSheetId="75">'310 &amp; 491'!$H$65</definedName>
    <definedName name="OSRRefH22_6x_0" localSheetId="56">'311'!$H$89:$H$90</definedName>
    <definedName name="OSRRefH22_6x_0" localSheetId="68">'313'!$H$50</definedName>
    <definedName name="OSRRefH22_6x_0" localSheetId="54">'314'!$H$76</definedName>
    <definedName name="OSRRefH22_6x_0" localSheetId="59">'315'!$H$107</definedName>
    <definedName name="OSRRefH22_6x_0" localSheetId="62">'316'!$H$53:$H$54</definedName>
    <definedName name="OSRRefH22_6x_0" localSheetId="65">'317'!$H$83</definedName>
    <definedName name="OSRRefH22_6x_0" localSheetId="63">'320'!$H$49</definedName>
    <definedName name="OSRRefH22_6x_0" localSheetId="69">'321'!$H$47:$H$49</definedName>
    <definedName name="OSRRefH22_6x_0" localSheetId="70">'322'!$H$46</definedName>
    <definedName name="OSRRefH22_6x_0" localSheetId="72">'325'!$H$48</definedName>
    <definedName name="OSRRefH22_6x_0" localSheetId="60">'326'!$H$82</definedName>
    <definedName name="OSRRefH22_6x_0" localSheetId="52">'330'!$H$102</definedName>
    <definedName name="OSRRefH22_6x_0" localSheetId="58">'331'!$H$113</definedName>
    <definedName name="OSRRefH22_6x_0" localSheetId="61">'332'!$H$62:$H$63</definedName>
    <definedName name="OSRRefH22_6x_0" localSheetId="77">'405'!$H$47</definedName>
    <definedName name="OSRRefH22_6x_0" localSheetId="78">'406'!$H$47</definedName>
    <definedName name="OSRRefH22_6x_0" localSheetId="79">'411'!$H$47</definedName>
    <definedName name="OSRRefH22_6x_0" localSheetId="80">'412'!$H$47</definedName>
    <definedName name="OSRRefH22_6x_0" localSheetId="81">'413'!$H$46</definedName>
    <definedName name="OSRRefH22_6x_0" localSheetId="82">'414'!$H$45</definedName>
    <definedName name="OSRRefH22_6x_0" localSheetId="83">'415'!$H$48</definedName>
    <definedName name="OSRRefH22_6x_0" localSheetId="84">'418'!$H$49</definedName>
    <definedName name="OSRRefH22_6x_0" localSheetId="87">'424'!$H$40</definedName>
    <definedName name="OSRRefH22_6x_0" localSheetId="88">'425'!$H$47</definedName>
    <definedName name="OSRRefH22_6x_0" localSheetId="91">'430'!$H$40</definedName>
    <definedName name="OSRRefH22_6x_0" localSheetId="92">'433'!$H$50</definedName>
    <definedName name="OSRRefH22_6x_0" localSheetId="93">'435'!$H$41:$H$43</definedName>
    <definedName name="OSRRefH22_6x_0" localSheetId="94">'444'!$H$50</definedName>
    <definedName name="OSRRefH22_6x_0" localSheetId="95">'450'!$H$50</definedName>
    <definedName name="OSRRefH22_6x_0" localSheetId="76">'491'!$H$59</definedName>
    <definedName name="OSRRefH22_6x_0" localSheetId="90">'492'!$H$53</definedName>
    <definedName name="OSRRefH22_6x_0" localSheetId="97">'501'!$H$46</definedName>
    <definedName name="OSRRefH22_6x_0" localSheetId="39">'Div 2'!$H$48</definedName>
    <definedName name="OSRRefH22_6x_0" localSheetId="47">'Div 3'!$H$197:$H$198</definedName>
    <definedName name="OSRRefH22_6x_0" localSheetId="74">'Div 4'!$H$60</definedName>
    <definedName name="OSRRefH22_6x_0" localSheetId="96">'Div 5'!$H$46</definedName>
    <definedName name="OSRRefH22_6x_0" localSheetId="64">'Div 6'!$H$83</definedName>
    <definedName name="OSRRefH22_6x_0" localSheetId="2">Summary!$H$230:$H$231</definedName>
    <definedName name="OSRRefH22_7x_0" localSheetId="41">'201'!$H$43</definedName>
    <definedName name="OSRRefH22_7x_0" localSheetId="42">'202'!$H$45:$H$47</definedName>
    <definedName name="OSRRefH22_7x_0" localSheetId="43">'203'!$H$46</definedName>
    <definedName name="OSRRefH22_7x_0" localSheetId="44">'204'!$H$49</definedName>
    <definedName name="OSRRefH22_7x_0" localSheetId="45">'205'!$H$44</definedName>
    <definedName name="OSRRefH22_7x_0" localSheetId="46">'206'!$H$44</definedName>
    <definedName name="OSRRefH22_7x_0" localSheetId="48">'300'!$H$195</definedName>
    <definedName name="OSRRefH22_7x_0" localSheetId="49">'300 &amp; 317'!$H$220</definedName>
    <definedName name="OSRRefH22_7x_0" localSheetId="50">'301'!$H$52</definedName>
    <definedName name="OSRRefH22_7x_0" localSheetId="51">'306'!$H$48:$H$50</definedName>
    <definedName name="OSRRefH22_7x_0" localSheetId="53">'307'!$H$95:$H$96</definedName>
    <definedName name="OSRRefH22_7x_0" localSheetId="55">'308'!$H$93</definedName>
    <definedName name="OSRRefH22_7x_0" localSheetId="67">'309'!$H$49</definedName>
    <definedName name="OSRRefH22_7x_0" localSheetId="66">'310'!$H$57</definedName>
    <definedName name="OSRRefH22_7x_0" localSheetId="75">'310 &amp; 491'!$H$67</definedName>
    <definedName name="OSRRefH22_7x_0" localSheetId="56">'311'!$H$92</definedName>
    <definedName name="OSRRefH22_7x_0" localSheetId="68">'313'!$H$52</definedName>
    <definedName name="OSRRefH22_7x_0" localSheetId="54">'314'!$H$78</definedName>
    <definedName name="OSRRefH22_7x_0" localSheetId="59">'315'!$H$109:$H$110</definedName>
    <definedName name="OSRRefH22_7x_0" localSheetId="62">'316'!$H$56</definedName>
    <definedName name="OSRRefH22_7x_0" localSheetId="65">'317'!$H$85</definedName>
    <definedName name="OSRRefH22_7x_0" localSheetId="63">'320'!$H$51:$H$52</definedName>
    <definedName name="OSRRefH22_7x_0" localSheetId="69">'321'!$H$51</definedName>
    <definedName name="OSRRefH22_7x_0" localSheetId="70">'322'!$H$48</definedName>
    <definedName name="OSRRefH22_7x_0" localSheetId="72">'325'!$H$50</definedName>
    <definedName name="OSRRefH22_7x_0" localSheetId="60">'326'!$H$84</definedName>
    <definedName name="OSRRefH22_7x_0" localSheetId="52">'330'!$H$104</definedName>
    <definedName name="OSRRefH22_7x_0" localSheetId="58">'331'!$H$115:$H$116</definedName>
    <definedName name="OSRRefH22_7x_0" localSheetId="61">'332'!$H$65</definedName>
    <definedName name="OSRRefH22_7x_0" localSheetId="77">'405'!$H$49</definedName>
    <definedName name="OSRRefH22_7x_0" localSheetId="78">'406'!$H$49</definedName>
    <definedName name="OSRRefH22_7x_0" localSheetId="79">'411'!$H$49</definedName>
    <definedName name="OSRRefH22_7x_0" localSheetId="80">'412'!$H$49</definedName>
    <definedName name="OSRRefH22_7x_0" localSheetId="81">'413'!$H$48:$H$50</definedName>
    <definedName name="OSRRefH22_7x_0" localSheetId="82">'414'!$H$47</definedName>
    <definedName name="OSRRefH22_7x_0" localSheetId="83">'415'!$H$50</definedName>
    <definedName name="OSRRefH22_7x_0" localSheetId="84">'418'!$H$51</definedName>
    <definedName name="OSRRefH22_7x_0" localSheetId="87">'424'!$H$42</definedName>
    <definedName name="OSRRefH22_7x_0" localSheetId="88">'425'!$H$49</definedName>
    <definedName name="OSRRefH22_7x_0" localSheetId="91">'430'!$H$42</definedName>
    <definedName name="OSRRefH22_7x_0" localSheetId="92">'433'!$H$52</definedName>
    <definedName name="OSRRefH22_7x_0" localSheetId="93">'435'!$H$45</definedName>
    <definedName name="OSRRefH22_7x_0" localSheetId="94">'444'!$H$52</definedName>
    <definedName name="OSRRefH22_7x_0" localSheetId="95">'450'!$H$52</definedName>
    <definedName name="OSRRefH22_7x_0" localSheetId="76">'491'!$H$61</definedName>
    <definedName name="OSRRefH22_7x_0" localSheetId="90">'492'!$H$55</definedName>
    <definedName name="OSRRefH22_7x_0" localSheetId="97">'501'!$H$48</definedName>
    <definedName name="OSRRefH22_7x_0" localSheetId="39">'Div 2'!$H$50</definedName>
    <definedName name="OSRRefH22_7x_0" localSheetId="47">'Div 3'!$H$200</definedName>
    <definedName name="OSRRefH22_7x_0" localSheetId="74">'Div 4'!$H$62</definedName>
    <definedName name="OSRRefH22_7x_0" localSheetId="96">'Div 5'!$H$48</definedName>
    <definedName name="OSRRefH22_7x_0" localSheetId="64">'Div 6'!$H$85</definedName>
    <definedName name="OSRRefH22_7x_0" localSheetId="2">Summary!$H$233</definedName>
    <definedName name="OSRRefH22_8x_0" localSheetId="41">'201'!$H$45</definedName>
    <definedName name="OSRRefH22_8x_0" localSheetId="42">'202'!$H$49</definedName>
    <definedName name="OSRRefH22_8x_0" localSheetId="43">'203'!$H$48</definedName>
    <definedName name="OSRRefH22_8x_0" localSheetId="44">'204'!$H$51:$H$52</definedName>
    <definedName name="OSRRefH22_8x_0" localSheetId="45">'205'!$H$46</definedName>
    <definedName name="OSRRefH22_8x_0" localSheetId="48">'300'!$H$197</definedName>
    <definedName name="OSRRefH22_8x_0" localSheetId="49">'300 &amp; 317'!$H$222</definedName>
    <definedName name="OSRRefH22_8x_0" localSheetId="50">'301'!$H$54</definedName>
    <definedName name="OSRRefH22_8x_0" localSheetId="51">'306'!$H$52</definedName>
    <definedName name="OSRRefH22_8x_0" localSheetId="53">'307'!$H$98:$H$99</definedName>
    <definedName name="OSRRefH22_8x_0" localSheetId="55">'308'!$H$95</definedName>
    <definedName name="OSRRefH22_8x_0" localSheetId="67">'309'!$H$51</definedName>
    <definedName name="OSRRefH22_8x_0" localSheetId="66">'310'!$H$59</definedName>
    <definedName name="OSRRefH22_8x_0" localSheetId="75">'310 &amp; 491'!$H$69</definedName>
    <definedName name="OSRRefH22_8x_0" localSheetId="56">'311'!$H$94</definedName>
    <definedName name="OSRRefH22_8x_0" localSheetId="68">'313'!$H$54:$H$56</definedName>
    <definedName name="OSRRefH22_8x_0" localSheetId="59">'315'!$H$112:$H$113</definedName>
    <definedName name="OSRRefH22_8x_0" localSheetId="62">'316'!$H$58:$H$60</definedName>
    <definedName name="OSRRefH22_8x_0" localSheetId="65">'317'!$H$87</definedName>
    <definedName name="OSRRefH22_8x_0" localSheetId="63">'320'!$H$54</definedName>
    <definedName name="OSRRefH22_8x_0" localSheetId="69">'321'!$H$53:$H$55</definedName>
    <definedName name="OSRRefH22_8x_0" localSheetId="70">'322'!$H$50:$H$51</definedName>
    <definedName name="OSRRefH22_8x_0" localSheetId="72">'325'!$H$52</definedName>
    <definedName name="OSRRefH22_8x_0" localSheetId="60">'326'!$H$86</definedName>
    <definedName name="OSRRefH22_8x_0" localSheetId="52">'330'!$H$106:$H$107</definedName>
    <definedName name="OSRRefH22_8x_0" localSheetId="58">'331'!$H$118</definedName>
    <definedName name="OSRRefH22_8x_0" localSheetId="61">'332'!$H$67</definedName>
    <definedName name="OSRRefH22_8x_0" localSheetId="77">'405'!$H$51</definedName>
    <definedName name="OSRRefH22_8x_0" localSheetId="78">'406'!$H$51</definedName>
    <definedName name="OSRRefH22_8x_0" localSheetId="79">'411'!$H$51</definedName>
    <definedName name="OSRRefH22_8x_0" localSheetId="80">'412'!$H$51</definedName>
    <definedName name="OSRRefH22_8x_0" localSheetId="81">'413'!$H$52:$H$53</definedName>
    <definedName name="OSRRefH22_8x_0" localSheetId="82">'414'!$H$49</definedName>
    <definedName name="OSRRefH22_8x_0" localSheetId="83">'415'!$H$52</definedName>
    <definedName name="OSRRefH22_8x_0" localSheetId="84">'418'!$H$53</definedName>
    <definedName name="OSRRefH22_8x_0" localSheetId="87">'424'!$H$44:$H$45</definedName>
    <definedName name="OSRRefH22_8x_0" localSheetId="88">'425'!$H$51</definedName>
    <definedName name="OSRRefH22_8x_0" localSheetId="92">'433'!$H$54</definedName>
    <definedName name="OSRRefH22_8x_0" localSheetId="94">'444'!$H$54</definedName>
    <definedName name="OSRRefH22_8x_0" localSheetId="95">'450'!$H$54</definedName>
    <definedName name="OSRRefH22_8x_0" localSheetId="76">'491'!$H$63</definedName>
    <definedName name="OSRRefH22_8x_0" localSheetId="90">'492'!$H$57</definedName>
    <definedName name="OSRRefH22_8x_0" localSheetId="97">'501'!$H$50:$H$52</definedName>
    <definedName name="OSRRefH22_8x_0" localSheetId="39">'Div 2'!$H$52</definedName>
    <definedName name="OSRRefH22_8x_0" localSheetId="47">'Div 3'!$H$202</definedName>
    <definedName name="OSRRefH22_8x_0" localSheetId="74">'Div 4'!$H$64</definedName>
    <definedName name="OSRRefH22_8x_0" localSheetId="96">'Div 5'!$H$50:$H$52</definedName>
    <definedName name="OSRRefH22_8x_0" localSheetId="64">'Div 6'!$H$87</definedName>
    <definedName name="OSRRefH22_8x_0" localSheetId="2">Summary!$H$235</definedName>
    <definedName name="OSRRefH22_9x_0" localSheetId="41">'201'!$H$47:$H$49</definedName>
    <definedName name="OSRRefH22_9x_0" localSheetId="42">'202'!$H$51</definedName>
    <definedName name="OSRRefH22_9x_0" localSheetId="43">'203'!$H$50:$H$51</definedName>
    <definedName name="OSRRefH22_9x_0" localSheetId="44">'204'!$H$54</definedName>
    <definedName name="OSRRefH22_9x_0" localSheetId="48">'300'!$H$199</definedName>
    <definedName name="OSRRefH22_9x_0" localSheetId="49">'300 &amp; 317'!$H$224</definedName>
    <definedName name="OSRRefH22_9x_0" localSheetId="50">'301'!$H$56</definedName>
    <definedName name="OSRRefH22_9x_0" localSheetId="51">'306'!$H$54</definedName>
    <definedName name="OSRRefH22_9x_0" localSheetId="53">'307'!$H$101:$H$103</definedName>
    <definedName name="OSRRefH22_9x_0" localSheetId="55">'308'!$H$97:$H$98</definedName>
    <definedName name="OSRRefH22_9x_0" localSheetId="67">'309'!$H$53:$H$54</definedName>
    <definedName name="OSRRefH22_9x_0" localSheetId="66">'310'!$H$61</definedName>
    <definedName name="OSRRefH22_9x_0" localSheetId="75">'310 &amp; 491'!$H$71</definedName>
    <definedName name="OSRRefH22_9x_0" localSheetId="56">'311'!$H$96:$H$97</definedName>
    <definedName name="OSRRefH22_9x_0" localSheetId="68">'313'!$H$58</definedName>
    <definedName name="OSRRefH22_9x_0" localSheetId="59">'315'!$H$115:$H$119</definedName>
    <definedName name="OSRRefH22_9x_0" localSheetId="62">'316'!$H$62</definedName>
    <definedName name="OSRRefH22_9x_0" localSheetId="65">'317'!$H$89</definedName>
    <definedName name="OSRRefH22_9x_0" localSheetId="69">'321'!$H$57:$H$60</definedName>
    <definedName name="OSRRefH22_9x_0" localSheetId="70">'322'!$H$53:$H$55</definedName>
    <definedName name="OSRRefH22_9x_0" localSheetId="72">'325'!$H$54</definedName>
    <definedName name="OSRRefH22_9x_0" localSheetId="60">'326'!$H$88</definedName>
    <definedName name="OSRRefH22_9x_0" localSheetId="52">'330'!$H$109:$H$110</definedName>
    <definedName name="OSRRefH22_9x_0" localSheetId="58">'331'!$H$120</definedName>
    <definedName name="OSRRefH22_9x_0" localSheetId="61">'332'!$H$69:$H$71</definedName>
    <definedName name="OSRRefH22_9x_0" localSheetId="77">'405'!$H$53</definedName>
    <definedName name="OSRRefH22_9x_0" localSheetId="78">'406'!$H$53:$H$55</definedName>
    <definedName name="OSRRefH22_9x_0" localSheetId="79">'411'!$H$53</definedName>
    <definedName name="OSRRefH22_9x_0" localSheetId="80">'412'!$H$53:$H$54</definedName>
    <definedName name="OSRRefH22_9x_0" localSheetId="81">'413'!$H$55:$H$59</definedName>
    <definedName name="OSRRefH22_9x_0" localSheetId="82">'414'!$H$51:$H$52</definedName>
    <definedName name="OSRRefH22_9x_0" localSheetId="83">'415'!$H$54</definedName>
    <definedName name="OSRRefH22_9x_0" localSheetId="84">'418'!$H$55:$H$56</definedName>
    <definedName name="OSRRefH22_9x_0" localSheetId="87">'424'!$H$47</definedName>
    <definedName name="OSRRefH22_9x_0" localSheetId="88">'425'!$H$53:$H$55</definedName>
    <definedName name="OSRRefH22_9x_0" localSheetId="92">'433'!$H$56</definedName>
    <definedName name="OSRRefH22_9x_0" localSheetId="94">'444'!$H$56</definedName>
    <definedName name="OSRRefH22_9x_0" localSheetId="95">'450'!$H$56</definedName>
    <definedName name="OSRRefH22_9x_0" localSheetId="76">'491'!$H$65</definedName>
    <definedName name="OSRRefH22_9x_0" localSheetId="90">'492'!$H$59</definedName>
    <definedName name="OSRRefH22_9x_0" localSheetId="97">'501'!$H$54:$H$56</definedName>
    <definedName name="OSRRefH22_9x_0" localSheetId="39">'Div 2'!$H$54:$H$55</definedName>
    <definedName name="OSRRefH22_9x_0" localSheetId="47">'Div 3'!$H$204</definedName>
    <definedName name="OSRRefH22_9x_0" localSheetId="74">'Div 4'!$H$66</definedName>
    <definedName name="OSRRefH22_9x_0" localSheetId="96">'Div 5'!$H$54:$H$56</definedName>
    <definedName name="OSRRefH22_9x_0" localSheetId="64">'Div 6'!$H$89</definedName>
    <definedName name="OSRRefH22_9x_0" localSheetId="2">Summary!$H$237</definedName>
    <definedName name="OSRRefH22x_0" localSheetId="40">'200'!$H$20,'200'!$H$22,'200'!$H$24,'200'!$H$26,'200'!$H$28:$H$29</definedName>
    <definedName name="OSRRefH22x_0" localSheetId="41">'201'!$H$20:$H$27,'201'!$H$29:$H$31,'201'!$H$33,'201'!$H$35,'201'!$H$37,'201'!$H$39,'201'!$H$41,'201'!$H$43,'201'!$H$45,'201'!$H$47:$H$49,'201'!$H$51:$H$53,'201'!$H$55,'201'!$H$57:$H$60,'201'!$H$62,'201'!$H$64,'201'!$H$66</definedName>
    <definedName name="OSRRefH22x_0" localSheetId="42">'202'!$H$20:$H$27,'202'!$H$29:$H$32,'202'!$H$34,'202'!$H$36,'202'!$H$38:$H$39,'202'!$H$41,'202'!$H$43,'202'!$H$45:$H$47,'202'!$H$49,'202'!$H$51,'202'!$H$53:$H$55,'202'!$H$57,'202'!$H$59,'202'!$H$61</definedName>
    <definedName name="OSRRefH22x_0" localSheetId="43">'203'!$H$20:$H$29,'203'!$H$31:$H$34,'203'!$H$36,'203'!$H$38,'203'!$H$40,'203'!$H$42,'203'!$H$44,'203'!$H$46,'203'!$H$48,'203'!$H$50:$H$51,'203'!$H$53:$H$54,'203'!$H$56,'203'!$H$58:$H$61,'203'!$H$63,'203'!$H$65,'203'!$H$67</definedName>
    <definedName name="OSRRefH22x_0" localSheetId="44">'204'!$H$20:$H$29,'204'!$H$31:$H$35,'204'!$H$37,'204'!$H$39,'204'!$H$41,'204'!$H$43,'204'!$H$45:$H$47,'204'!$H$49,'204'!$H$51:$H$52,'204'!$H$54,'204'!$H$56:$H$57</definedName>
    <definedName name="OSRRefH22x_0" localSheetId="45">'205'!$H$20:$H$27,'205'!$H$29,'205'!$H$31,'205'!$H$33,'205'!$H$35:$H$36,'205'!$H$38,'205'!$H$40:$H$42,'205'!$H$44,'205'!$H$46</definedName>
    <definedName name="OSRRefH22x_0" localSheetId="46">'206'!$H$20:$H$26,'206'!$H$28:$H$31,'206'!$H$33,'206'!$H$35,'206'!$H$37,'206'!$H$39:$H$40,'206'!$H$42,'206'!$H$44</definedName>
    <definedName name="OSRRefH22x_0" localSheetId="48">'300'!$H$163:$H$172,'300'!$H$174:$H$180,'300'!$H$182,'300'!$H$184:$H$185,'300'!$H$187,'300'!$H$189:$H$190,'300'!$H$192:$H$193,'300'!$H$195,'300'!$H$197,'300'!$H$199,'300'!$H$201:$H$202,'300'!$H$204,'300'!$H$206,'300'!$H$208,'300'!$H$210,'300'!$H$212,'300'!$H$214:$H$217,'300'!$H$219:$H$221,'300'!$H$223:$H$226,'300'!$H$228:$H$229,'300'!$H$231:$H$237,'300'!$H$239:$H$240,'300'!$H$242,'300'!$H$244:$H$246,'300'!$H$248</definedName>
    <definedName name="OSRRefH22x_0" localSheetId="49">'300 &amp; 317'!$H$188:$H$197,'300 &amp; 317'!$H$199:$H$205,'300 &amp; 317'!$H$207,'300 &amp; 317'!$H$209:$H$210,'300 &amp; 317'!$H$212,'300 &amp; 317'!$H$214:$H$215,'300 &amp; 317'!$H$217:$H$218,'300 &amp; 317'!$H$220,'300 &amp; 317'!$H$222,'300 &amp; 317'!$H$224,'300 &amp; 317'!$H$226:$H$227,'300 &amp; 317'!$H$229,'300 &amp; 317'!$H$231,'300 &amp; 317'!$H$233,'300 &amp; 317'!$H$235,'300 &amp; 317'!$H$237,'300 &amp; 317'!$H$239:$H$242,'300 &amp; 317'!$H$244:$H$246,'300 &amp; 317'!$H$248:$H$251,'300 &amp; 317'!$H$253:$H$254,'300 &amp; 317'!$H$256:$H$262,'300 &amp; 317'!$H$264:$H$265,'300 &amp; 317'!$H$267,'300 &amp; 317'!$H$269:$H$271,'300 &amp; 317'!$H$273</definedName>
    <definedName name="OSRRefH22x_0" localSheetId="50">'301'!$H$20:$H$29,'301'!$H$31:$H$37,'301'!$H$39,'301'!$H$41:$H$42,'301'!$H$44,'301'!$H$46:$H$47,'301'!$H$49:$H$50,'301'!$H$52,'301'!$H$54,'301'!$H$56,'301'!$H$58,'301'!$H$60,'301'!$H$62,'301'!$H$64,'301'!$H$66,'301'!$H$68:$H$71,'301'!$H$73:$H$75,'301'!$H$77,'301'!$H$79:$H$84,'301'!$H$86,'301'!$H$88,'301'!$H$90:$H$92,'301'!$H$94</definedName>
    <definedName name="OSRRefH22x_0" localSheetId="51">'306'!$H$20:$H$28,'306'!$H$30:$H$35,'306'!$H$37,'306'!$H$39,'306'!$H$41,'306'!$H$43,'306'!$H$45:$H$46,'306'!$H$48:$H$50,'306'!$H$52,'306'!$H$54</definedName>
    <definedName name="OSRRefH22x_0" localSheetId="53">'307'!$H$70:$H$77,'307'!$H$79:$H$82,'307'!$H$84,'307'!$H$86,'307'!$H$88:$H$89,'307'!$H$91,'307'!$H$93,'307'!$H$95:$H$96,'307'!$H$98:$H$99,'307'!$H$101:$H$103,'307'!$H$105,'307'!$H$107</definedName>
    <definedName name="OSRRefH22x_0" localSheetId="55">'308'!$H$64:$H$72,'308'!$H$74:$H$79,'308'!$H$81,'308'!$H$83:$H$84,'308'!$H$86,'308'!$H$88,'308'!$H$90:$H$91,'308'!$H$93,'308'!$H$95,'308'!$H$97:$H$98,'308'!$H$100,'308'!$H$102:$H$104,'308'!$H$106:$H$107,'308'!$H$109,'308'!$H$111</definedName>
    <definedName name="OSRRefH22x_0" localSheetId="67">'309'!$H$24:$H$31,'309'!$H$33:$H$37,'309'!$H$39,'309'!$H$41,'309'!$H$43,'309'!$H$45,'309'!$H$47,'309'!$H$49,'309'!$H$51,'309'!$H$53:$H$54,'309'!$H$56:$H$58,'309'!$H$60:$H$62,'309'!$H$64</definedName>
    <definedName name="OSRRefH22x_0" localSheetId="66">'310'!$H$30:$H$37,'310'!$H$39:$H$44,'310'!$H$46,'310'!$H$48,'310'!$H$50,'310'!$H$52:$H$53,'310'!$H$55,'310'!$H$57,'310'!$H$59,'310'!$H$61,'310'!$H$63,'310'!$H$65,'310'!$H$67,'310'!$H$69,'310'!$H$71:$H$73,'310'!$H$75,'310'!$H$77:$H$80,'310'!$H$82,'310'!$H$84:$H$90,'310'!$H$92,'310'!$H$94,'310'!$H$96</definedName>
    <definedName name="OSRRefH22x_0" localSheetId="75">'310 &amp; 491'!$H$37:$H$45,'310 &amp; 491'!$H$47:$H$53,'310 &amp; 491'!$H$55,'310 &amp; 491'!$H$57,'310 &amp; 491'!$H$59,'310 &amp; 491'!$H$61:$H$63,'310 &amp; 491'!$H$65,'310 &amp; 491'!$H$67,'310 &amp; 491'!$H$69,'310 &amp; 491'!$H$71,'310 &amp; 491'!$H$73:$H$74,'310 &amp; 491'!$H$76:$H$77,'310 &amp; 491'!$H$79,'310 &amp; 491'!$H$81,'310 &amp; 491'!$H$83,'310 &amp; 491'!$H$85,'310 &amp; 491'!$H$87:$H$89,'310 &amp; 491'!$H$91:$H$92,'310 &amp; 491'!$H$94:$H$98,'310 &amp; 491'!$H$100:$H$101,'310 &amp; 491'!$H$103:$H$111,'310 &amp; 491'!$H$113,'310 &amp; 491'!$H$115,'310 &amp; 491'!$H$117:$H$119,'310 &amp; 491'!$H$121</definedName>
    <definedName name="OSRRefH22x_0" localSheetId="56">'311'!$H$63:$H$71,'311'!$H$73:$H$78,'311'!$H$80,'311'!$H$82:$H$83,'311'!$H$85,'311'!$H$87,'311'!$H$89:$H$90,'311'!$H$92,'311'!$H$94,'311'!$H$96:$H$97,'311'!$H$99,'311'!$H$101:$H$103,'311'!$H$105:$H$106,'311'!$H$108,'311'!$H$110</definedName>
    <definedName name="OSRRefH22x_0" localSheetId="68">'313'!$H$27:$H$34,'313'!$H$36:$H$40,'313'!$H$42,'313'!$H$44,'313'!$H$46,'313'!$H$48,'313'!$H$50,'313'!$H$52,'313'!$H$54:$H$56,'313'!$H$58,'313'!$H$60:$H$64,'313'!$H$66,'313'!$H$68</definedName>
    <definedName name="OSRRefH22x_0" localSheetId="54">'314'!$H$55:$H$61,'314'!$H$63:$H$65,'314'!$H$67,'314'!$H$69:$H$70,'314'!$H$72,'314'!$H$74,'314'!$H$76,'314'!$H$78</definedName>
    <definedName name="OSRRefH22x_0" localSheetId="59">'315'!$H$81:$H$88,'315'!$H$90:$H$95,'315'!$H$97,'315'!$H$99:$H$100,'315'!$H$102,'315'!$H$104:$H$105,'315'!$H$107,'315'!$H$109:$H$110,'315'!$H$112:$H$113,'315'!$H$115:$H$119,'315'!$H$121,'315'!$H$123,'315'!$H$125:$H$126</definedName>
    <definedName name="OSRRefH22x_0" localSheetId="62">'316'!$H$32:$H$39,'316'!$H$41:$H$43,'316'!$H$45,'316'!$H$47,'316'!$H$49,'316'!$H$51,'316'!$H$53:$H$54,'316'!$H$56,'316'!$H$58:$H$60,'316'!$H$62,'316'!$H$64:$H$69,'316'!$H$71,'316'!$H$73,'316'!$H$75</definedName>
    <definedName name="OSRRefH22x_0" localSheetId="65">'317'!$H$58:$H$66,'317'!$H$68:$H$72,'317'!$H$74,'317'!$H$76,'317'!$H$78,'317'!$H$80:$H$81,'317'!$H$83,'317'!$H$85,'317'!$H$87,'317'!$H$89,'317'!$H$91:$H$93,'317'!$H$95,'317'!$H$97,'317'!$H$99</definedName>
    <definedName name="OSRRefH22x_0" localSheetId="63">'320'!$H$28:$H$34,'320'!$H$36:$H$38,'320'!$H$40,'320'!$H$42,'320'!$H$44:$H$45,'320'!$H$47,'320'!$H$49,'320'!$H$51:$H$52,'320'!$H$54</definedName>
    <definedName name="OSRRefH22x_0" localSheetId="69">'321'!$H$24:$H$31,'321'!$H$33:$H$37,'321'!$H$39,'321'!$H$41,'321'!$H$43,'321'!$H$45,'321'!$H$47:$H$49,'321'!$H$51,'321'!$H$53:$H$55,'321'!$H$57:$H$60,'321'!$H$62,'321'!$H$64</definedName>
    <definedName name="OSRRefH22x_0" localSheetId="70">'322'!$H$24:$H$31,'322'!$H$33:$H$36,'322'!$H$38,'322'!$H$40,'322'!$H$42,'322'!$H$44,'322'!$H$46,'322'!$H$48,'322'!$H$50:$H$51,'322'!$H$53:$H$55,'322'!$H$57:$H$61,'322'!$H$63,'322'!$H$65</definedName>
    <definedName name="OSRRefH22x_0" localSheetId="72">'325'!$H$24:$H$31,'325'!$H$33:$H$37,'325'!$H$39,'325'!$H$41,'325'!$H$43,'325'!$H$45:$H$46,'325'!$H$48,'325'!$H$50,'325'!$H$52,'325'!$H$54,'325'!$H$56,'325'!$H$58:$H$60,'325'!$H$62:$H$64,'325'!$H$66,'325'!$H$68:$H$72,'325'!$H$74,'325'!$H$76</definedName>
    <definedName name="OSRRefH22x_0" localSheetId="60">'326'!$H$59:$H$66,'326'!$H$68:$H$72,'326'!$H$74,'326'!$H$76,'326'!$H$78,'326'!$H$80,'326'!$H$82,'326'!$H$84,'326'!$H$86,'326'!$H$88,'326'!$H$90,'326'!$H$92,'326'!$H$94:$H$95,'326'!$H$97:$H$99,'326'!$H$101:$H$102,'326'!$H$104:$H$107,'326'!$H$109,'326'!$H$111,'326'!$H$113</definedName>
    <definedName name="OSRRefH22x_0" localSheetId="73">'327'!$H$22,'327'!$H$24,'327'!$H$26</definedName>
    <definedName name="OSRRefH22x_0" localSheetId="52">'330'!$H$78:$H$85,'330'!$H$87:$H$91,'330'!$H$93,'330'!$H$95,'330'!$H$97:$H$98,'330'!$H$100,'330'!$H$102,'330'!$H$104,'330'!$H$106:$H$107,'330'!$H$109:$H$110,'330'!$H$112,'330'!$H$114:$H$116,'330'!$H$118,'330'!$H$120,'330'!$H$122</definedName>
    <definedName name="OSRRefH22x_0" localSheetId="58">'331'!$H$88:$H$95,'331'!$H$97:$H$102,'331'!$H$104,'331'!$H$106,'331'!$H$108,'331'!$H$110:$H$111,'331'!$H$113,'331'!$H$115:$H$116,'331'!$H$118,'331'!$H$120,'331'!$H$122,'331'!$H$124,'331'!$H$126,'331'!$H$128:$H$129,'331'!$H$131:$H$132,'331'!$H$134:$H$136,'331'!$H$138:$H$139,'331'!$H$141:$H$146,'331'!$H$148,'331'!$H$150,'331'!$H$152:$H$153,'331'!$H$155</definedName>
    <definedName name="OSRRefH22x_0" localSheetId="61">'332'!$H$40:$H$47,'332'!$H$49:$H$52,'332'!$H$54,'332'!$H$56,'332'!$H$58,'332'!$H$60,'332'!$H$62:$H$63,'332'!$H$65,'332'!$H$67,'332'!$H$69:$H$71,'332'!$H$73,'332'!$H$75:$H$80,'332'!$H$82,'332'!$H$84,'332'!$H$86</definedName>
    <definedName name="OSRRefH22x_0" localSheetId="77">'405'!$H$24:$H$31,'405'!$H$33:$H$36,'405'!$H$38,'405'!$H$40,'405'!$H$42,'405'!$H$44:$H$45,'405'!$H$47,'405'!$H$49,'405'!$H$51,'405'!$H$53,'405'!$H$55:$H$56,'405'!$H$58,'405'!$H$60:$H$62,'405'!$H$64:$H$65,'405'!$H$67:$H$73,'405'!$H$75,'405'!$H$77,'405'!$H$79</definedName>
    <definedName name="OSRRefH22x_0" localSheetId="78">'406'!$H$24:$H$31,'406'!$H$33:$H$37,'406'!$H$39,'406'!$H$41,'406'!$H$43,'406'!$H$45,'406'!$H$47,'406'!$H$49,'406'!$H$51,'406'!$H$53:$H$55,'406'!$H$57,'406'!$H$59:$H$63,'406'!$H$65,'406'!$H$67</definedName>
    <definedName name="OSRRefH22x_0" localSheetId="79">'411'!$H$20:$H$28,'411'!$H$30:$H$35,'411'!$H$37,'411'!$H$39,'411'!$H$41:$H$43,'411'!$H$45,'411'!$H$47,'411'!$H$49,'411'!$H$51,'411'!$H$53,'411'!$H$55,'411'!$H$57,'411'!$H$59:$H$60,'411'!$H$62:$H$66,'411'!$H$68,'411'!$H$70:$H$75,'411'!$H$77,'411'!$H$79,'411'!$H$81:$H$83,'411'!$H$85</definedName>
    <definedName name="OSRRefH22x_0" localSheetId="80">'412'!$H$23:$H$30,'412'!$H$32:$H$37,'412'!$H$39,'412'!$H$41,'412'!$H$43,'412'!$H$45,'412'!$H$47,'412'!$H$49,'412'!$H$51,'412'!$H$53:$H$54,'412'!$H$56:$H$57,'412'!$H$59:$H$64,'412'!$H$66,'412'!$H$68</definedName>
    <definedName name="OSRRefH22x_0" localSheetId="81">'413'!$H$24:$H$31,'413'!$H$33:$H$36,'413'!$H$38,'413'!$H$40,'413'!$H$42,'413'!$H$44,'413'!$H$46,'413'!$H$48:$H$50,'413'!$H$52:$H$53,'413'!$H$55:$H$59,'413'!$H$61</definedName>
    <definedName name="OSRRefH22x_0" localSheetId="82">'414'!$H$24:$H$30,'414'!$H$32:$H$35,'414'!$H$37,'414'!$H$39,'414'!$H$41,'414'!$H$43,'414'!$H$45,'414'!$H$47,'414'!$H$49,'414'!$H$51:$H$52,'414'!$H$54,'414'!$H$56,'414'!$H$58,'414'!$H$60:$H$66,'414'!$H$68,'414'!$H$70</definedName>
    <definedName name="OSRRefH22x_0" localSheetId="83">'415'!$H$24:$H$31,'415'!$H$33:$H$37,'415'!$H$39,'415'!$H$41,'415'!$H$43,'415'!$H$45:$H$46,'415'!$H$48,'415'!$H$50,'415'!$H$52,'415'!$H$54,'415'!$H$56,'415'!$H$58:$H$60,'415'!$H$62:$H$66,'415'!$H$68:$H$69,'415'!$H$71:$H$78,'415'!$H$80,'415'!$H$82,'415'!$H$84</definedName>
    <definedName name="OSRRefH22x_0" localSheetId="84">'418'!$H$24:$H$31,'418'!$H$33:$H$38,'418'!$H$40,'418'!$H$42,'418'!$H$44,'418'!$H$46:$H$47,'418'!$H$49,'418'!$H$51,'418'!$H$53,'418'!$H$55:$H$56,'418'!$H$58:$H$60,'418'!$H$62:$H$64,'418'!$H$66:$H$67,'418'!$H$69:$H$74,'418'!$H$76,'418'!$H$78</definedName>
    <definedName name="OSRRefH22x_0" localSheetId="85">'420'!$H$23:$H$29,'420'!$H$31:$H$34,'420'!$H$36,'420'!$H$38,'420'!$H$40:$H$41,'420'!$H$43</definedName>
    <definedName name="OSRRefH22x_0" localSheetId="86">'423'!$H$21:$H$28,'423'!$H$30,'423'!$H$32,'423'!$H$34,'423'!$H$36,'423'!$H$38</definedName>
    <definedName name="OSRRefH22x_0" localSheetId="87">'424'!$H$23:$H$24,'424'!$H$26:$H$30,'424'!$H$32,'424'!$H$34,'424'!$H$36,'424'!$H$38,'424'!$H$40,'424'!$H$42,'424'!$H$44:$H$45,'424'!$H$47,'424'!$H$49,'424'!$H$51:$H$53,'424'!$H$55</definedName>
    <definedName name="OSRRefH22x_0" localSheetId="88">'425'!$H$24:$H$31,'425'!$H$33:$H$37,'425'!$H$39,'425'!$H$41,'425'!$H$43,'425'!$H$45,'425'!$H$47,'425'!$H$49,'425'!$H$51,'425'!$H$53:$H$55,'425'!$H$57,'425'!$H$59:$H$60,'425'!$H$62:$H$68,'425'!$H$70,'425'!$H$72</definedName>
    <definedName name="OSRRefH22x_0" localSheetId="91">'430'!$H$20:$H$27,'430'!$H$29,'430'!$H$31,'430'!$H$33,'430'!$H$35:$H$36,'430'!$H$38,'430'!$H$40,'430'!$H$42</definedName>
    <definedName name="OSRRefH22x_0" localSheetId="92">'433'!$H$25:$H$33,'433'!$H$35:$H$40,'433'!$H$42,'433'!$H$44,'433'!$H$46,'433'!$H$48,'433'!$H$50,'433'!$H$52,'433'!$H$54,'433'!$H$56,'433'!$H$58,'433'!$H$60:$H$62,'433'!$H$64:$H$66,'433'!$H$68:$H$75,'433'!$H$77,'433'!$H$79,'433'!$H$81</definedName>
    <definedName name="OSRRefH22x_0" localSheetId="93">'435'!$H$25:$H$27,'435'!$H$29:$H$31,'435'!$H$33,'435'!$H$35,'435'!$H$37,'435'!$H$39,'435'!$H$41:$H$43,'435'!$H$45</definedName>
    <definedName name="OSRRefH22x_0" localSheetId="94">'444'!$H$25:$H$33,'444'!$H$35:$H$40,'444'!$H$42,'444'!$H$44,'444'!$H$46,'444'!$H$48,'444'!$H$50,'444'!$H$52,'444'!$H$54,'444'!$H$56,'444'!$H$58,'444'!$H$60:$H$62,'444'!$H$64:$H$67,'444'!$H$69,'444'!$H$71:$H$79,'444'!$H$81,'444'!$H$83,'444'!$H$85</definedName>
    <definedName name="OSRRefH22x_0" localSheetId="95">'450'!$H$25:$H$33,'450'!$H$35:$H$40,'450'!$H$42,'450'!$H$44,'450'!$H$46,'450'!$H$48,'450'!$H$50,'450'!$H$52,'450'!$H$54,'450'!$H$56,'450'!$H$58,'450'!$H$60,'450'!$H$62,'450'!$H$64:$H$66,'450'!$H$68:$H$73,'450'!$H$75,'450'!$H$77,'450'!$H$79</definedName>
    <definedName name="OSRRefH22x_0" localSheetId="89">'455'!$H$20:$H$26,'455'!$H$28:$H$29</definedName>
    <definedName name="OSRRefH22x_0" localSheetId="76">'491'!$H$31:$H$39,'491'!$H$41:$H$47,'491'!$H$49,'491'!$H$51,'491'!$H$53,'491'!$H$55:$H$57,'491'!$H$59,'491'!$H$61,'491'!$H$63,'491'!$H$65,'491'!$H$67:$H$68,'491'!$H$70,'491'!$H$72,'491'!$H$74,'491'!$H$76,'491'!$H$78:$H$80,'491'!$H$82:$H$83,'491'!$H$85:$H$89,'491'!$H$91:$H$92,'491'!$H$94:$H$102,'491'!$H$104,'491'!$H$106,'491'!$H$108:$H$110,'491'!$H$112</definedName>
    <definedName name="OSRRefH22x_0" localSheetId="90">'492'!$H$27:$H$35,'492'!$H$37:$H$43,'492'!$H$45,'492'!$H$47,'492'!$H$49,'492'!$H$51,'492'!$H$53,'492'!$H$55,'492'!$H$57,'492'!$H$59,'492'!$H$61,'492'!$H$63,'492'!$H$65:$H$67,'492'!$H$69:$H$72,'492'!$H$74,'492'!$H$76:$H$84,'492'!$H$86,'492'!$H$88,'492'!$H$90</definedName>
    <definedName name="OSRRefH22x_0" localSheetId="97">'501'!$H$21:$H$29,'501'!$H$31:$H$35,'501'!$H$37,'501'!$H$39,'501'!$H$41,'501'!$H$43:$H$44,'501'!$H$46,'501'!$H$48,'501'!$H$50:$H$52,'501'!$H$54:$H$56,'501'!$H$58</definedName>
    <definedName name="OSRRefH22x_0" localSheetId="39">'Div 2'!$H$20:$H$30,'Div 2'!$H$32:$H$38,'Div 2'!$H$40,'Div 2'!$H$42,'Div 2'!$H$44,'Div 2'!$H$46,'Div 2'!$H$48,'Div 2'!$H$50,'Div 2'!$H$52,'Div 2'!$H$54:$H$55,'Div 2'!$H$57,'Div 2'!$H$59,'Div 2'!$H$61:$H$64,'Div 2'!$H$66:$H$68,'Div 2'!$H$70:$H$71,'Div 2'!$H$73,'Div 2'!$H$75:$H$79,'Div 2'!$H$81:$H$82,'Div 2'!$H$84,'Div 2'!$H$86:$H$87</definedName>
    <definedName name="OSRRefH22x_0" localSheetId="47">'Div 3'!$H$168:$H$177,'Div 3'!$H$179:$H$185,'Div 3'!$H$187,'Div 3'!$H$189:$H$190,'Div 3'!$H$192,'Div 3'!$H$194:$H$195,'Div 3'!$H$197:$H$198,'Div 3'!$H$200,'Div 3'!$H$202,'Div 3'!$H$204,'Div 3'!$H$206:$H$207,'Div 3'!$H$209,'Div 3'!$H$211,'Div 3'!$H$213,'Div 3'!$H$215,'Div 3'!$H$217,'Div 3'!$H$219,'Div 3'!$H$221:$H$224,'Div 3'!$H$226:$H$228,'Div 3'!$H$230:$H$234,'Div 3'!$H$236:$H$237,'Div 3'!$H$239:$H$245,'Div 3'!$H$247:$H$248,'Div 3'!$H$250,'Div 3'!$H$252:$H$254,'Div 3'!$H$256</definedName>
    <definedName name="OSRRefH22x_0" localSheetId="74">'Div 4'!$H$32:$H$40,'Div 4'!$H$42:$H$48,'Div 4'!$H$50,'Div 4'!$H$52,'Div 4'!$H$54,'Div 4'!$H$56:$H$58,'Div 4'!$H$60,'Div 4'!$H$62,'Div 4'!$H$64,'Div 4'!$H$66,'Div 4'!$H$68:$H$69,'Div 4'!$H$71,'Div 4'!$H$73,'Div 4'!$H$75,'Div 4'!$H$77,'Div 4'!$H$79,'Div 4'!$H$81:$H$83,'Div 4'!$H$85:$H$86,'Div 4'!$H$88:$H$92,'Div 4'!$H$94:$H$95,'Div 4'!$H$97:$H$105,'Div 4'!$H$107,'Div 4'!$H$109,'Div 4'!$H$111:$H$113,'Div 4'!$H$115</definedName>
    <definedName name="OSRRefH22x_0" localSheetId="96">'Div 5'!$H$21:$H$29,'Div 5'!$H$31:$H$35,'Div 5'!$H$37,'Div 5'!$H$39,'Div 5'!$H$41,'Div 5'!$H$43:$H$44,'Div 5'!$H$46,'Div 5'!$H$48,'Div 5'!$H$50:$H$52,'Div 5'!$H$54:$H$56,'Div 5'!$H$58</definedName>
    <definedName name="OSRRefH22x_0" localSheetId="64">'Div 6'!$H$58:$H$66,'Div 6'!$H$68:$H$72,'Div 6'!$H$74,'Div 6'!$H$76,'Div 6'!$H$78,'Div 6'!$H$80:$H$81,'Div 6'!$H$83,'Div 6'!$H$85,'Div 6'!$H$87,'Div 6'!$H$89,'Div 6'!$H$91:$H$93,'Div 6'!$H$95,'Div 6'!$H$97,'Div 6'!$H$99</definedName>
    <definedName name="OSRRefH22x_0" localSheetId="2">Summary!$H$200:$H$209,Summary!$H$211:$H$217,Summary!$H$219,Summary!$H$221:$H$222,Summary!$H$224,Summary!$H$226:$H$228,Summary!$H$230:$H$231,Summary!$H$233,Summary!$H$235,Summary!$H$237,Summary!$H$239:$H$240,Summary!$H$242:$H$243,Summary!$H$245,Summary!$H$247,Summary!$H$249,Summary!$H$251,Summary!$H$253,Summary!$H$255,Summary!$H$257:$H$260,Summary!$H$262:$H$264,Summary!$H$266:$H$270,Summary!$H$272:$H$273,Summary!$H$275:$H$283,Summary!$H$285:$H$286,Summary!$H$288,Summary!$H$290:$H$292,Summary!$H$294</definedName>
    <definedName name="OSRRefH25x_0" localSheetId="48">'300'!$H$251:$H$259</definedName>
    <definedName name="OSRRefH25x_0" localSheetId="49">'300 &amp; 317'!$H$276:$H$287</definedName>
    <definedName name="OSRRefH25x_0" localSheetId="50">'301'!$H$97:$H$99</definedName>
    <definedName name="OSRRefH25x_0" localSheetId="53">'307'!$H$110</definedName>
    <definedName name="OSRRefH25x_0" localSheetId="55">'308'!$H$114:$H$116</definedName>
    <definedName name="OSRRefH25x_0" localSheetId="75">'310 &amp; 491'!$H$124:$H$126</definedName>
    <definedName name="OSRRefH25x_0" localSheetId="56">'311'!$H$113:$H$115</definedName>
    <definedName name="OSRRefH25x_0" localSheetId="59">'315'!$H$129:$H$130</definedName>
    <definedName name="OSRRefH25x_0" localSheetId="62">'316'!$H$78</definedName>
    <definedName name="OSRRefH25x_0" localSheetId="65">'317'!$H$102:$H$105</definedName>
    <definedName name="OSRRefH25x_0" localSheetId="63">'320'!$H$57:$H$61</definedName>
    <definedName name="OSRRefH25x_0" localSheetId="52">'330'!$H$125</definedName>
    <definedName name="OSRRefH25x_0" localSheetId="58">'331'!$H$158:$H$159</definedName>
    <definedName name="OSRRefH25x_0" localSheetId="61">'332'!$H$89:$H$94</definedName>
    <definedName name="OSRRefH25x_0" localSheetId="79">'411'!$H$88:$H$89</definedName>
    <definedName name="OSRRefH25x_0" localSheetId="81">'413'!$H$64</definedName>
    <definedName name="OSRRefH25x_0" localSheetId="83">'415'!$H$87</definedName>
    <definedName name="OSRRefH25x_0" localSheetId="84">'418'!$H$81</definedName>
    <definedName name="OSRRefH25x_0" localSheetId="86">'423'!$H$41</definedName>
    <definedName name="OSRRefH25x_0" localSheetId="87">'424'!$H$58</definedName>
    <definedName name="OSRRefH25x_0" localSheetId="88">'425'!$H$75</definedName>
    <definedName name="OSRRefH25x_0" localSheetId="89">'455'!$H$32:$H$33</definedName>
    <definedName name="OSRRefH25x_0" localSheetId="76">'491'!$H$115:$H$117</definedName>
    <definedName name="OSRRefH25x_0" localSheetId="97">'501'!$H$61</definedName>
    <definedName name="OSRRefH25x_0" localSheetId="47">'Div 3'!$H$259:$H$267</definedName>
    <definedName name="OSRRefH25x_0" localSheetId="74">'Div 4'!$H$118:$H$120</definedName>
    <definedName name="OSRRefH25x_0" localSheetId="96">'Div 5'!$H$61</definedName>
    <definedName name="OSRRefH25x_0" localSheetId="64">'Div 6'!$H$102:$H$105</definedName>
    <definedName name="OSRRefH25x_0" localSheetId="2">Summary!$H$297:$H$309</definedName>
    <definedName name="OSRRefP13x_0" localSheetId="48">'300'!$P$13:$P$105</definedName>
    <definedName name="OSRRefP13x_0" localSheetId="49">'300 &amp; 317'!$P$13:$P$123</definedName>
    <definedName name="OSRRefP13x_0" localSheetId="53">'307'!$P$13:$P$42</definedName>
    <definedName name="OSRRefP13x_0" localSheetId="55">'308'!$P$13:$P$41</definedName>
    <definedName name="OSRRefP13x_0" localSheetId="67">'309'!$P$13:$P$14</definedName>
    <definedName name="OSRRefP13x_0" localSheetId="66">'310'!$P$13:$P$20</definedName>
    <definedName name="OSRRefP13x_0" localSheetId="75">'310 &amp; 491'!$P$13:$P$27</definedName>
    <definedName name="OSRRefP13x_0" localSheetId="56">'311'!$P$13:$P$40</definedName>
    <definedName name="OSRRefP13x_0" localSheetId="68">'313'!$P$13:$P$17</definedName>
    <definedName name="OSRRefP13x_0" localSheetId="54">'314'!$P$13:$P$32</definedName>
    <definedName name="OSRRefP13x_0" localSheetId="59">'315'!$P$13:$P$50</definedName>
    <definedName name="OSRRefP13x_0" localSheetId="62">'316'!$P$13:$P$24</definedName>
    <definedName name="OSRRefP13x_0" localSheetId="65">'317'!$P$13:$P$37</definedName>
    <definedName name="OSRRefP13x_0" localSheetId="63">'320'!$P$13:$P$15</definedName>
    <definedName name="OSRRefP13x_0" localSheetId="69">'321'!$P$13:$P$14</definedName>
    <definedName name="OSRRefP13x_0" localSheetId="70">'322'!$P$13:$P$14</definedName>
    <definedName name="OSRRefP13x_0" localSheetId="57">'324'!$P$13:$P$15</definedName>
    <definedName name="OSRRefP13x_0" localSheetId="72">'325'!$P$13:$P$14</definedName>
    <definedName name="OSRRefP13x_0" localSheetId="60">'326'!$P$13:$P$37</definedName>
    <definedName name="OSRRefP13x_0" localSheetId="73">'327'!$P$13</definedName>
    <definedName name="OSRRefP13x_0" localSheetId="52">'330'!$P$13:$P$47</definedName>
    <definedName name="OSRRefP13x_0" localSheetId="58">'331'!$P$13:$P$53</definedName>
    <definedName name="OSRRefP13x_0" localSheetId="61">'332'!$P$13:$P$27</definedName>
    <definedName name="OSRRefP13x_0" localSheetId="77">'405'!$P$13:$P$14</definedName>
    <definedName name="OSRRefP13x_0" localSheetId="78">'406'!$P$13:$P$14</definedName>
    <definedName name="OSRRefP13x_0" localSheetId="80">'412'!$P$13:$P$14</definedName>
    <definedName name="OSRRefP13x_0" localSheetId="81">'413'!$P$13:$P$14</definedName>
    <definedName name="OSRRefP13x_0" localSheetId="82">'414'!$P$13:$P$14</definedName>
    <definedName name="OSRRefP13x_0" localSheetId="83">'415'!$P$13:$P$14</definedName>
    <definedName name="OSRRefP13x_0" localSheetId="84">'418'!$P$13:$P$14</definedName>
    <definedName name="OSRRefP13x_0" localSheetId="85">'420'!$P$13:$P$14</definedName>
    <definedName name="OSRRefP13x_0" localSheetId="87">'424'!$P$13</definedName>
    <definedName name="OSRRefP13x_0" localSheetId="88">'425'!$P$13:$P$14</definedName>
    <definedName name="OSRRefP13x_0" localSheetId="92">'433'!$P$13:$P$15</definedName>
    <definedName name="OSRRefP13x_0" localSheetId="93">'435'!$P$13:$P$15</definedName>
    <definedName name="OSRRefP13x_0" localSheetId="94">'444'!$P$13:$P$15</definedName>
    <definedName name="OSRRefP13x_0" localSheetId="95">'450'!$P$13:$P$15</definedName>
    <definedName name="OSRRefP13x_0" localSheetId="76">'491'!$P$13:$P$21</definedName>
    <definedName name="OSRRefP13x_0" localSheetId="90">'492'!$P$13:$P$17</definedName>
    <definedName name="OSRRefP13x_0" localSheetId="97">'501'!$P$13</definedName>
    <definedName name="OSRRefP13x_0" localSheetId="47">'Div 3'!$P$13:$P$108</definedName>
    <definedName name="OSRRefP13x_0" localSheetId="74">'Div 4'!$P$13:$P$22</definedName>
    <definedName name="OSRRefP13x_0" localSheetId="96">'Div 5'!$P$13</definedName>
    <definedName name="OSRRefP13x_0" localSheetId="64">'Div 6'!$P$13:$P$37</definedName>
    <definedName name="OSRRefP13x_0" localSheetId="2">Summary!$P$13:$P$133</definedName>
    <definedName name="OSRRefP16x_0" localSheetId="48">'300'!$P$108:$P$157</definedName>
    <definedName name="OSRRefP16x_0" localSheetId="49">'300 &amp; 317'!$P$126:$P$182</definedName>
    <definedName name="OSRRefP16x_0" localSheetId="53">'307'!$P$45:$P$64</definedName>
    <definedName name="OSRRefP16x_0" localSheetId="55">'308'!$P$44:$P$58</definedName>
    <definedName name="OSRRefP16x_0" localSheetId="67">'309'!$P$17:$P$18</definedName>
    <definedName name="OSRRefP16x_0" localSheetId="66">'310'!$P$23:$P$24</definedName>
    <definedName name="OSRRefP16x_0" localSheetId="75">'310 &amp; 491'!$P$30:$P$31</definedName>
    <definedName name="OSRRefP16x_0" localSheetId="56">'311'!$P$43:$P$57</definedName>
    <definedName name="OSRRefP16x_0" localSheetId="68">'313'!$P$20:$P$21</definedName>
    <definedName name="OSRRefP16x_0" localSheetId="54">'314'!$P$35:$P$49</definedName>
    <definedName name="OSRRefP16x_0" localSheetId="59">'315'!$P$53:$P$75</definedName>
    <definedName name="OSRRefP16x_0" localSheetId="65">'317'!$P$40:$P$52</definedName>
    <definedName name="OSRRefP16x_0" localSheetId="63">'320'!$P$18:$P$22</definedName>
    <definedName name="OSRRefP16x_0" localSheetId="69">'321'!$P$17:$P$18</definedName>
    <definedName name="OSRRefP16x_0" localSheetId="70">'322'!$P$17:$P$18</definedName>
    <definedName name="OSRRefP16x_0" localSheetId="57">'324'!$P$18:$P$19</definedName>
    <definedName name="OSRRefP16x_0" localSheetId="72">'325'!$P$17:$P$18</definedName>
    <definedName name="OSRRefP16x_0" localSheetId="60">'326'!$P$40:$P$53</definedName>
    <definedName name="OSRRefP16x_0" localSheetId="73">'327'!$P$16</definedName>
    <definedName name="OSRRefP16x_0" localSheetId="52">'330'!$P$50:$P$72</definedName>
    <definedName name="OSRRefP16x_0" localSheetId="58">'331'!$P$56:$P$82</definedName>
    <definedName name="OSRRefP16x_0" localSheetId="61">'332'!$P$30:$P$34</definedName>
    <definedName name="OSRRefP16x_0" localSheetId="77">'405'!$P$17:$P$18</definedName>
    <definedName name="OSRRefP16x_0" localSheetId="78">'406'!$P$17:$P$18</definedName>
    <definedName name="OSRRefP16x_0" localSheetId="80">'412'!$P$17</definedName>
    <definedName name="OSRRefP16x_0" localSheetId="81">'413'!$P$17:$P$18</definedName>
    <definedName name="OSRRefP16x_0" localSheetId="82">'414'!$P$17:$P$18</definedName>
    <definedName name="OSRRefP16x_0" localSheetId="83">'415'!$P$17:$P$18</definedName>
    <definedName name="OSRRefP16x_0" localSheetId="84">'418'!$P$17:$P$18</definedName>
    <definedName name="OSRRefP16x_0" localSheetId="85">'420'!$P$17</definedName>
    <definedName name="OSRRefP16x_0" localSheetId="86">'423'!$P$15</definedName>
    <definedName name="OSRRefP16x_0" localSheetId="87">'424'!$P$16:$P$17</definedName>
    <definedName name="OSRRefP16x_0" localSheetId="88">'425'!$P$17:$P$18</definedName>
    <definedName name="OSRRefP16x_0" localSheetId="92">'433'!$P$18:$P$19</definedName>
    <definedName name="OSRRefP16x_0" localSheetId="93">'435'!$P$18:$P$19</definedName>
    <definedName name="OSRRefP16x_0" localSheetId="94">'444'!$P$18:$P$19</definedName>
    <definedName name="OSRRefP16x_0" localSheetId="95">'450'!$P$18:$P$19</definedName>
    <definedName name="OSRRefP16x_0" localSheetId="76">'491'!$P$24:$P$25</definedName>
    <definedName name="OSRRefP16x_0" localSheetId="90">'492'!$P$20:$P$21</definedName>
    <definedName name="OSRRefP16x_0" localSheetId="47">'Div 3'!$P$111:$P$162</definedName>
    <definedName name="OSRRefP16x_0" localSheetId="74">'Div 4'!$P$25:$P$26</definedName>
    <definedName name="OSRRefP16x_0" localSheetId="64">'Div 6'!$P$40:$P$52</definedName>
    <definedName name="OSRRefP16x_0" localSheetId="2">Summary!$P$136:$P$194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'203'!$P$20:$P$29</definedName>
    <definedName name="OSRRefP22_0x_0" localSheetId="44">'204'!$P$20:$P$29</definedName>
    <definedName name="OSRRefP22_0x_0" localSheetId="45">'205'!$P$20:$P$27</definedName>
    <definedName name="OSRRefP22_0x_0" localSheetId="46">'206'!$P$20:$P$26</definedName>
    <definedName name="OSRRefP22_0x_0" localSheetId="48">'300'!$P$163:$P$172</definedName>
    <definedName name="OSRRefP22_0x_0" localSheetId="49">'300 &amp; 317'!$P$188:$P$197</definedName>
    <definedName name="OSRRefP22_0x_0" localSheetId="50">'301'!$P$20:$P$29</definedName>
    <definedName name="OSRRefP22_0x_0" localSheetId="51">'306'!$P$20:$P$28</definedName>
    <definedName name="OSRRefP22_0x_0" localSheetId="53">'307'!$P$70:$P$77</definedName>
    <definedName name="OSRRefP22_0x_0" localSheetId="55">'308'!$P$64:$P$72</definedName>
    <definedName name="OSRRefP22_0x_0" localSheetId="67">'309'!$P$24:$P$31</definedName>
    <definedName name="OSRRefP22_0x_0" localSheetId="66">'310'!$P$30:$P$37</definedName>
    <definedName name="OSRRefP22_0x_0" localSheetId="75">'310 &amp; 491'!$P$37:$P$45</definedName>
    <definedName name="OSRRefP22_0x_0" localSheetId="56">'311'!$P$63:$P$71</definedName>
    <definedName name="OSRRefP22_0x_0" localSheetId="68">'313'!$P$27:$P$34</definedName>
    <definedName name="OSRRefP22_0x_0" localSheetId="54">'314'!$P$55:$P$61</definedName>
    <definedName name="OSRRefP22_0x_0" localSheetId="59">'315'!$P$81:$P$88</definedName>
    <definedName name="OSRRefP22_0x_0" localSheetId="62">'316'!$P$32:$P$39</definedName>
    <definedName name="OSRRefP22_0x_0" localSheetId="65">'317'!$P$58:$P$66</definedName>
    <definedName name="OSRRefP22_0x_0" localSheetId="63">'320'!$P$28:$P$34</definedName>
    <definedName name="OSRRefP22_0x_0" localSheetId="69">'321'!$P$24:$P$31</definedName>
    <definedName name="OSRRefP22_0x_0" localSheetId="70">'322'!$P$24:$P$31</definedName>
    <definedName name="OSRRefP22_0x_0" localSheetId="72">'325'!$P$24:$P$31</definedName>
    <definedName name="OSRRefP22_0x_0" localSheetId="60">'326'!$P$59:$P$66</definedName>
    <definedName name="OSRRefP22_0x_0" localSheetId="73">'327'!$P$22</definedName>
    <definedName name="OSRRefP22_0x_0" localSheetId="52">'330'!$P$78:$P$85</definedName>
    <definedName name="OSRRefP22_0x_0" localSheetId="58">'331'!$P$88:$P$95</definedName>
    <definedName name="OSRRefP22_0x_0" localSheetId="61">'332'!$P$40:$P$47</definedName>
    <definedName name="OSRRefP22_0x_0" localSheetId="77">'405'!$P$24:$P$31</definedName>
    <definedName name="OSRRefP22_0x_0" localSheetId="78">'406'!$P$24:$P$31</definedName>
    <definedName name="OSRRefP22_0x_0" localSheetId="79">'411'!$P$20:$P$28</definedName>
    <definedName name="OSRRefP22_0x_0" localSheetId="80">'412'!$P$23:$P$30</definedName>
    <definedName name="OSRRefP22_0x_0" localSheetId="81">'413'!$P$24:$P$31</definedName>
    <definedName name="OSRRefP22_0x_0" localSheetId="82">'414'!$P$24:$P$30</definedName>
    <definedName name="OSRRefP22_0x_0" localSheetId="83">'415'!$P$24:$P$31</definedName>
    <definedName name="OSRRefP22_0x_0" localSheetId="84">'418'!$P$24:$P$31</definedName>
    <definedName name="OSRRefP22_0x_0" localSheetId="85">'420'!$P$23:$P$29</definedName>
    <definedName name="OSRRefP22_0x_0" localSheetId="86">'423'!$P$21:$P$28</definedName>
    <definedName name="OSRRefP22_0x_0" localSheetId="87">'424'!$P$23:$P$24</definedName>
    <definedName name="OSRRefP22_0x_0" localSheetId="88">'425'!$P$24:$P$31</definedName>
    <definedName name="OSRRefP22_0x_0" localSheetId="91">'430'!$P$20:$P$27</definedName>
    <definedName name="OSRRefP22_0x_0" localSheetId="92">'433'!$P$25:$P$33</definedName>
    <definedName name="OSRRefP22_0x_0" localSheetId="93">'435'!$P$25:$P$27</definedName>
    <definedName name="OSRRefP22_0x_0" localSheetId="94">'444'!$P$25:$P$33</definedName>
    <definedName name="OSRRefP22_0x_0" localSheetId="95">'450'!$P$25:$P$33</definedName>
    <definedName name="OSRRefP22_0x_0" localSheetId="89">'455'!$P$20:$P$26</definedName>
    <definedName name="OSRRefP22_0x_0" localSheetId="76">'491'!$P$31:$P$39</definedName>
    <definedName name="OSRRefP22_0x_0" localSheetId="90">'492'!$P$27:$P$35</definedName>
    <definedName name="OSRRefP22_0x_0" localSheetId="97">'501'!$P$21:$P$29</definedName>
    <definedName name="OSRRefP22_0x_0" localSheetId="39">'Div 2'!$P$20:$P$30</definedName>
    <definedName name="OSRRefP22_0x_0" localSheetId="47">'Div 3'!$P$168:$P$177</definedName>
    <definedName name="OSRRefP22_0x_0" localSheetId="74">'Div 4'!$P$32:$P$40</definedName>
    <definedName name="OSRRefP22_0x_0" localSheetId="96">'Div 5'!$P$21:$P$29</definedName>
    <definedName name="OSRRefP22_0x_0" localSheetId="64">'Div 6'!$P$58:$P$66</definedName>
    <definedName name="OSRRefP22_0x_0" localSheetId="2">Summary!$P$200:$P$209</definedName>
    <definedName name="OSRRefP22_10x_0" localSheetId="41">'201'!$P$51:$P$53</definedName>
    <definedName name="OSRRefP22_10x_0" localSheetId="42">'202'!$P$53:$P$55</definedName>
    <definedName name="OSRRefP22_10x_0" localSheetId="43">'203'!$P$53:$P$54</definedName>
    <definedName name="OSRRefP22_10x_0" localSheetId="44">'204'!$P$56:$P$57</definedName>
    <definedName name="OSRRefP22_10x_0" localSheetId="48">'300'!$P$201:$P$202</definedName>
    <definedName name="OSRRefP22_10x_0" localSheetId="49">'300 &amp; 317'!$P$226:$P$227</definedName>
    <definedName name="OSRRefP22_10x_0" localSheetId="50">'301'!$P$58</definedName>
    <definedName name="OSRRefP22_10x_0" localSheetId="53">'307'!$P$105</definedName>
    <definedName name="OSRRefP22_10x_0" localSheetId="55">'308'!$P$100</definedName>
    <definedName name="OSRRefP22_10x_0" localSheetId="67">'309'!$P$56:$P$58</definedName>
    <definedName name="OSRRefP22_10x_0" localSheetId="66">'310'!$P$63</definedName>
    <definedName name="OSRRefP22_10x_0" localSheetId="75">'310 &amp; 491'!$P$73:$P$74</definedName>
    <definedName name="OSRRefP22_10x_0" localSheetId="56">'311'!$P$99</definedName>
    <definedName name="OSRRefP22_10x_0" localSheetId="68">'313'!$P$60:$P$64</definedName>
    <definedName name="OSRRefP22_10x_0" localSheetId="59">'315'!$P$121</definedName>
    <definedName name="OSRRefP22_10x_0" localSheetId="62">'316'!$P$64:$P$69</definedName>
    <definedName name="OSRRefP22_10x_0" localSheetId="65">'317'!$P$91:$P$93</definedName>
    <definedName name="OSRRefP22_10x_0" localSheetId="69">'321'!$P$62</definedName>
    <definedName name="OSRRefP22_10x_0" localSheetId="70">'322'!$P$57:$P$61</definedName>
    <definedName name="OSRRefP22_10x_0" localSheetId="72">'325'!$P$56</definedName>
    <definedName name="OSRRefP22_10x_0" localSheetId="60">'326'!$P$90</definedName>
    <definedName name="OSRRefP22_10x_0" localSheetId="52">'330'!$P$112</definedName>
    <definedName name="OSRRefP22_10x_0" localSheetId="58">'331'!$P$122</definedName>
    <definedName name="OSRRefP22_10x_0" localSheetId="61">'332'!$P$73</definedName>
    <definedName name="OSRRefP22_10x_0" localSheetId="77">'405'!$P$55:$P$56</definedName>
    <definedName name="OSRRefP22_10x_0" localSheetId="78">'406'!$P$57</definedName>
    <definedName name="OSRRefP22_10x_0" localSheetId="79">'411'!$P$55</definedName>
    <definedName name="OSRRefP22_10x_0" localSheetId="80">'412'!$P$56:$P$57</definedName>
    <definedName name="OSRRefP22_10x_0" localSheetId="81">'413'!$P$61</definedName>
    <definedName name="OSRRefP22_10x_0" localSheetId="82">'414'!$P$54</definedName>
    <definedName name="OSRRefP22_10x_0" localSheetId="83">'415'!$P$56</definedName>
    <definedName name="OSRRefP22_10x_0" localSheetId="84">'418'!$P$58:$P$60</definedName>
    <definedName name="OSRRefP22_10x_0" localSheetId="87">'424'!$P$49</definedName>
    <definedName name="OSRRefP22_10x_0" localSheetId="88">'425'!$P$57</definedName>
    <definedName name="OSRRefP22_10x_0" localSheetId="92">'433'!$P$58</definedName>
    <definedName name="OSRRefP22_10x_0" localSheetId="94">'444'!$P$58</definedName>
    <definedName name="OSRRefP22_10x_0" localSheetId="95">'450'!$P$58</definedName>
    <definedName name="OSRRefP22_10x_0" localSheetId="76">'491'!$P$67:$P$68</definedName>
    <definedName name="OSRRefP22_10x_0" localSheetId="90">'492'!$P$61</definedName>
    <definedName name="OSRRefP22_10x_0" localSheetId="97">'501'!$P$58</definedName>
    <definedName name="OSRRefP22_10x_0" localSheetId="39">'Div 2'!$P$57</definedName>
    <definedName name="OSRRefP22_10x_0" localSheetId="47">'Div 3'!$P$206:$P$207</definedName>
    <definedName name="OSRRefP22_10x_0" localSheetId="74">'Div 4'!$P$68:$P$69</definedName>
    <definedName name="OSRRefP22_10x_0" localSheetId="96">'Div 5'!$P$58</definedName>
    <definedName name="OSRRefP22_10x_0" localSheetId="64">'Div 6'!$P$91:$P$93</definedName>
    <definedName name="OSRRefP22_10x_0" localSheetId="2">Summary!$P$239:$P$240</definedName>
    <definedName name="OSRRefP22_11x_0" localSheetId="41">'201'!$P$55</definedName>
    <definedName name="OSRRefP22_11x_0" localSheetId="42">'202'!$P$57</definedName>
    <definedName name="OSRRefP22_11x_0" localSheetId="43">'203'!$P$56</definedName>
    <definedName name="OSRRefP22_11x_0" localSheetId="48">'300'!$P$204</definedName>
    <definedName name="OSRRefP22_11x_0" localSheetId="49">'300 &amp; 317'!$P$229</definedName>
    <definedName name="OSRRefP22_11x_0" localSheetId="50">'301'!$P$60</definedName>
    <definedName name="OSRRefP22_11x_0" localSheetId="53">'307'!$P$107</definedName>
    <definedName name="OSRRefP22_11x_0" localSheetId="55">'308'!$P$102:$P$104</definedName>
    <definedName name="OSRRefP22_11x_0" localSheetId="67">'309'!$P$60:$P$62</definedName>
    <definedName name="OSRRefP22_11x_0" localSheetId="66">'310'!$P$65</definedName>
    <definedName name="OSRRefP22_11x_0" localSheetId="75">'310 &amp; 491'!$P$76:$P$77</definedName>
    <definedName name="OSRRefP22_11x_0" localSheetId="56">'311'!$P$101:$P$103</definedName>
    <definedName name="OSRRefP22_11x_0" localSheetId="68">'313'!$P$66</definedName>
    <definedName name="OSRRefP22_11x_0" localSheetId="59">'315'!$P$123</definedName>
    <definedName name="OSRRefP22_11x_0" localSheetId="62">'316'!$P$71</definedName>
    <definedName name="OSRRefP22_11x_0" localSheetId="65">'317'!$P$95</definedName>
    <definedName name="OSRRefP22_11x_0" localSheetId="69">'321'!$P$64</definedName>
    <definedName name="OSRRefP22_11x_0" localSheetId="70">'322'!$P$63</definedName>
    <definedName name="OSRRefP22_11x_0" localSheetId="72">'325'!$P$58:$P$60</definedName>
    <definedName name="OSRRefP22_11x_0" localSheetId="60">'326'!$P$92</definedName>
    <definedName name="OSRRefP22_11x_0" localSheetId="52">'330'!$P$114:$P$116</definedName>
    <definedName name="OSRRefP22_11x_0" localSheetId="58">'331'!$P$124</definedName>
    <definedName name="OSRRefP22_11x_0" localSheetId="61">'332'!$P$75:$P$80</definedName>
    <definedName name="OSRRefP22_11x_0" localSheetId="77">'405'!$P$58</definedName>
    <definedName name="OSRRefP22_11x_0" localSheetId="78">'406'!$P$59:$P$63</definedName>
    <definedName name="OSRRefP22_11x_0" localSheetId="79">'411'!$P$57</definedName>
    <definedName name="OSRRefP22_11x_0" localSheetId="80">'412'!$P$59:$P$64</definedName>
    <definedName name="OSRRefP22_11x_0" localSheetId="82">'414'!$P$56</definedName>
    <definedName name="OSRRefP22_11x_0" localSheetId="83">'415'!$P$58:$P$60</definedName>
    <definedName name="OSRRefP22_11x_0" localSheetId="84">'418'!$P$62:$P$64</definedName>
    <definedName name="OSRRefP22_11x_0" localSheetId="87">'424'!$P$51:$P$53</definedName>
    <definedName name="OSRRefP22_11x_0" localSheetId="88">'425'!$P$59:$P$60</definedName>
    <definedName name="OSRRefP22_11x_0" localSheetId="92">'433'!$P$60:$P$62</definedName>
    <definedName name="OSRRefP22_11x_0" localSheetId="94">'444'!$P$60:$P$62</definedName>
    <definedName name="OSRRefP22_11x_0" localSheetId="95">'450'!$P$60</definedName>
    <definedName name="OSRRefP22_11x_0" localSheetId="76">'491'!$P$70</definedName>
    <definedName name="OSRRefP22_11x_0" localSheetId="90">'492'!$P$63</definedName>
    <definedName name="OSRRefP22_11x_0" localSheetId="39">'Div 2'!$P$59</definedName>
    <definedName name="OSRRefP22_11x_0" localSheetId="47">'Div 3'!$P$209</definedName>
    <definedName name="OSRRefP22_11x_0" localSheetId="74">'Div 4'!$P$71</definedName>
    <definedName name="OSRRefP22_11x_0" localSheetId="64">'Div 6'!$P$95</definedName>
    <definedName name="OSRRefP22_11x_0" localSheetId="2">Summary!$P$242:$P$243</definedName>
    <definedName name="OSRRefP22_12x_0" localSheetId="41">'201'!$P$57:$P$60</definedName>
    <definedName name="OSRRefP22_12x_0" localSheetId="42">'202'!$P$59</definedName>
    <definedName name="OSRRefP22_12x_0" localSheetId="43">'203'!$P$58:$P$61</definedName>
    <definedName name="OSRRefP22_12x_0" localSheetId="48">'300'!$P$206</definedName>
    <definedName name="OSRRefP22_12x_0" localSheetId="49">'300 &amp; 317'!$P$231</definedName>
    <definedName name="OSRRefP22_12x_0" localSheetId="50">'301'!$P$62</definedName>
    <definedName name="OSRRefP22_12x_0" localSheetId="55">'308'!$P$106:$P$107</definedName>
    <definedName name="OSRRefP22_12x_0" localSheetId="67">'309'!$P$64</definedName>
    <definedName name="OSRRefP22_12x_0" localSheetId="66">'310'!$P$67</definedName>
    <definedName name="OSRRefP22_12x_0" localSheetId="75">'310 &amp; 491'!$P$79</definedName>
    <definedName name="OSRRefP22_12x_0" localSheetId="56">'311'!$P$105:$P$106</definedName>
    <definedName name="OSRRefP22_12x_0" localSheetId="68">'313'!$P$68</definedName>
    <definedName name="OSRRefP22_12x_0" localSheetId="59">'315'!$P$125:$P$126</definedName>
    <definedName name="OSRRefP22_12x_0" localSheetId="62">'316'!$P$73</definedName>
    <definedName name="OSRRefP22_12x_0" localSheetId="65">'317'!$P$97</definedName>
    <definedName name="OSRRefP22_12x_0" localSheetId="70">'322'!$P$65</definedName>
    <definedName name="OSRRefP22_12x_0" localSheetId="72">'325'!$P$62:$P$64</definedName>
    <definedName name="OSRRefP22_12x_0" localSheetId="60">'326'!$P$94:$P$95</definedName>
    <definedName name="OSRRefP22_12x_0" localSheetId="52">'330'!$P$118</definedName>
    <definedName name="OSRRefP22_12x_0" localSheetId="58">'331'!$P$126</definedName>
    <definedName name="OSRRefP22_12x_0" localSheetId="61">'332'!$P$82</definedName>
    <definedName name="OSRRefP22_12x_0" localSheetId="77">'405'!$P$60:$P$62</definedName>
    <definedName name="OSRRefP22_12x_0" localSheetId="78">'406'!$P$65</definedName>
    <definedName name="OSRRefP22_12x_0" localSheetId="79">'411'!$P$59:$P$60</definedName>
    <definedName name="OSRRefP22_12x_0" localSheetId="80">'412'!$P$66</definedName>
    <definedName name="OSRRefP22_12x_0" localSheetId="82">'414'!$P$58</definedName>
    <definedName name="OSRRefP22_12x_0" localSheetId="83">'415'!$P$62:$P$66</definedName>
    <definedName name="OSRRefP22_12x_0" localSheetId="84">'418'!$P$66:$P$67</definedName>
    <definedName name="OSRRefP22_12x_0" localSheetId="87">'424'!$P$55</definedName>
    <definedName name="OSRRefP22_12x_0" localSheetId="88">'425'!$P$62:$P$68</definedName>
    <definedName name="OSRRefP22_12x_0" localSheetId="92">'433'!$P$64:$P$66</definedName>
    <definedName name="OSRRefP22_12x_0" localSheetId="94">'444'!$P$64:$P$67</definedName>
    <definedName name="OSRRefP22_12x_0" localSheetId="95">'450'!$P$62</definedName>
    <definedName name="OSRRefP22_12x_0" localSheetId="76">'491'!$P$72</definedName>
    <definedName name="OSRRefP22_12x_0" localSheetId="90">'492'!$P$65:$P$67</definedName>
    <definedName name="OSRRefP22_12x_0" localSheetId="39">'Div 2'!$P$61:$P$64</definedName>
    <definedName name="OSRRefP22_12x_0" localSheetId="47">'Div 3'!$P$211</definedName>
    <definedName name="OSRRefP22_12x_0" localSheetId="74">'Div 4'!$P$73</definedName>
    <definedName name="OSRRefP22_12x_0" localSheetId="64">'Div 6'!$P$97</definedName>
    <definedName name="OSRRefP22_12x_0" localSheetId="2">Summary!$P$245</definedName>
    <definedName name="OSRRefP22_13x_0" localSheetId="41">'201'!$P$62</definedName>
    <definedName name="OSRRefP22_13x_0" localSheetId="42">'202'!$P$61</definedName>
    <definedName name="OSRRefP22_13x_0" localSheetId="43">'203'!$P$63</definedName>
    <definedName name="OSRRefP22_13x_0" localSheetId="48">'300'!$P$208</definedName>
    <definedName name="OSRRefP22_13x_0" localSheetId="49">'300 &amp; 317'!$P$233</definedName>
    <definedName name="OSRRefP22_13x_0" localSheetId="50">'301'!$P$64</definedName>
    <definedName name="OSRRefP22_13x_0" localSheetId="55">'308'!$P$109</definedName>
    <definedName name="OSRRefP22_13x_0" localSheetId="66">'310'!$P$69</definedName>
    <definedName name="OSRRefP22_13x_0" localSheetId="75">'310 &amp; 491'!$P$81</definedName>
    <definedName name="OSRRefP22_13x_0" localSheetId="56">'311'!$P$108</definedName>
    <definedName name="OSRRefP22_13x_0" localSheetId="62">'316'!$P$75</definedName>
    <definedName name="OSRRefP22_13x_0" localSheetId="65">'317'!$P$99</definedName>
    <definedName name="OSRRefP22_13x_0" localSheetId="72">'325'!$P$66</definedName>
    <definedName name="OSRRefP22_13x_0" localSheetId="60">'326'!$P$97:$P$99</definedName>
    <definedName name="OSRRefP22_13x_0" localSheetId="52">'330'!$P$120</definedName>
    <definedName name="OSRRefP22_13x_0" localSheetId="58">'331'!$P$128:$P$129</definedName>
    <definedName name="OSRRefP22_13x_0" localSheetId="61">'332'!$P$84</definedName>
    <definedName name="OSRRefP22_13x_0" localSheetId="77">'405'!$P$64:$P$65</definedName>
    <definedName name="OSRRefP22_13x_0" localSheetId="78">'406'!$P$67</definedName>
    <definedName name="OSRRefP22_13x_0" localSheetId="79">'411'!$P$62:$P$66</definedName>
    <definedName name="OSRRefP22_13x_0" localSheetId="80">'412'!$P$68</definedName>
    <definedName name="OSRRefP22_13x_0" localSheetId="82">'414'!$P$60:$P$66</definedName>
    <definedName name="OSRRefP22_13x_0" localSheetId="83">'415'!$P$68:$P$69</definedName>
    <definedName name="OSRRefP22_13x_0" localSheetId="84">'418'!$P$69:$P$74</definedName>
    <definedName name="OSRRefP22_13x_0" localSheetId="88">'425'!$P$70</definedName>
    <definedName name="OSRRefP22_13x_0" localSheetId="92">'433'!$P$68:$P$75</definedName>
    <definedName name="OSRRefP22_13x_0" localSheetId="94">'444'!$P$69</definedName>
    <definedName name="OSRRefP22_13x_0" localSheetId="95">'450'!$P$64:$P$66</definedName>
    <definedName name="OSRRefP22_13x_0" localSheetId="76">'491'!$P$74</definedName>
    <definedName name="OSRRefP22_13x_0" localSheetId="90">'492'!$P$69:$P$72</definedName>
    <definedName name="OSRRefP22_13x_0" localSheetId="39">'Div 2'!$P$66:$P$68</definedName>
    <definedName name="OSRRefP22_13x_0" localSheetId="47">'Div 3'!$P$213</definedName>
    <definedName name="OSRRefP22_13x_0" localSheetId="74">'Div 4'!$P$75</definedName>
    <definedName name="OSRRefP22_13x_0" localSheetId="64">'Div 6'!$P$99</definedName>
    <definedName name="OSRRefP22_13x_0" localSheetId="2">Summary!$P$247</definedName>
    <definedName name="OSRRefP22_14x_0" localSheetId="41">'201'!$P$64</definedName>
    <definedName name="OSRRefP22_14x_0" localSheetId="43">'203'!$P$65</definedName>
    <definedName name="OSRRefP22_14x_0" localSheetId="48">'300'!$P$210</definedName>
    <definedName name="OSRRefP22_14x_0" localSheetId="49">'300 &amp; 317'!$P$235</definedName>
    <definedName name="OSRRefP22_14x_0" localSheetId="50">'301'!$P$66</definedName>
    <definedName name="OSRRefP22_14x_0" localSheetId="55">'308'!$P$111</definedName>
    <definedName name="OSRRefP22_14x_0" localSheetId="66">'310'!$P$71:$P$73</definedName>
    <definedName name="OSRRefP22_14x_0" localSheetId="75">'310 &amp; 491'!$P$83</definedName>
    <definedName name="OSRRefP22_14x_0" localSheetId="56">'311'!$P$110</definedName>
    <definedName name="OSRRefP22_14x_0" localSheetId="72">'325'!$P$68:$P$72</definedName>
    <definedName name="OSRRefP22_14x_0" localSheetId="60">'326'!$P$101:$P$102</definedName>
    <definedName name="OSRRefP22_14x_0" localSheetId="52">'330'!$P$122</definedName>
    <definedName name="OSRRefP22_14x_0" localSheetId="58">'331'!$P$131:$P$132</definedName>
    <definedName name="OSRRefP22_14x_0" localSheetId="61">'332'!$P$86</definedName>
    <definedName name="OSRRefP22_14x_0" localSheetId="77">'405'!$P$67:$P$73</definedName>
    <definedName name="OSRRefP22_14x_0" localSheetId="79">'411'!$P$68</definedName>
    <definedName name="OSRRefP22_14x_0" localSheetId="82">'414'!$P$68</definedName>
    <definedName name="OSRRefP22_14x_0" localSheetId="83">'415'!$P$71:$P$78</definedName>
    <definedName name="OSRRefP22_14x_0" localSheetId="84">'418'!$P$76</definedName>
    <definedName name="OSRRefP22_14x_0" localSheetId="88">'425'!$P$72</definedName>
    <definedName name="OSRRefP22_14x_0" localSheetId="92">'433'!$P$77</definedName>
    <definedName name="OSRRefP22_14x_0" localSheetId="94">'444'!$P$71:$P$79</definedName>
    <definedName name="OSRRefP22_14x_0" localSheetId="95">'450'!$P$68:$P$73</definedName>
    <definedName name="OSRRefP22_14x_0" localSheetId="76">'491'!$P$76</definedName>
    <definedName name="OSRRefP22_14x_0" localSheetId="90">'492'!$P$74</definedName>
    <definedName name="OSRRefP22_14x_0" localSheetId="39">'Div 2'!$P$70:$P$71</definedName>
    <definedName name="OSRRefP22_14x_0" localSheetId="47">'Div 3'!$P$215</definedName>
    <definedName name="OSRRefP22_14x_0" localSheetId="74">'Div 4'!$P$77</definedName>
    <definedName name="OSRRefP22_14x_0" localSheetId="2">Summary!$P$249</definedName>
    <definedName name="OSRRefP22_15x_0" localSheetId="41">'201'!$P$66</definedName>
    <definedName name="OSRRefP22_15x_0" localSheetId="43">'203'!$P$67</definedName>
    <definedName name="OSRRefP22_15x_0" localSheetId="48">'300'!$P$212</definedName>
    <definedName name="OSRRefP22_15x_0" localSheetId="49">'300 &amp; 317'!$P$237</definedName>
    <definedName name="OSRRefP22_15x_0" localSheetId="50">'301'!$P$68:$P$71</definedName>
    <definedName name="OSRRefP22_15x_0" localSheetId="66">'310'!$P$75</definedName>
    <definedName name="OSRRefP22_15x_0" localSheetId="75">'310 &amp; 491'!$P$85</definedName>
    <definedName name="OSRRefP22_15x_0" localSheetId="72">'325'!$P$74</definedName>
    <definedName name="OSRRefP22_15x_0" localSheetId="60">'326'!$P$104:$P$107</definedName>
    <definedName name="OSRRefP22_15x_0" localSheetId="58">'331'!$P$134:$P$136</definedName>
    <definedName name="OSRRefP22_15x_0" localSheetId="77">'405'!$P$75</definedName>
    <definedName name="OSRRefP22_15x_0" localSheetId="79">'411'!$P$70:$P$75</definedName>
    <definedName name="OSRRefP22_15x_0" localSheetId="82">'414'!$P$70</definedName>
    <definedName name="OSRRefP22_15x_0" localSheetId="83">'415'!$P$80</definedName>
    <definedName name="OSRRefP22_15x_0" localSheetId="84">'418'!$P$78</definedName>
    <definedName name="OSRRefP22_15x_0" localSheetId="92">'433'!$P$79</definedName>
    <definedName name="OSRRefP22_15x_0" localSheetId="94">'444'!$P$81</definedName>
    <definedName name="OSRRefP22_15x_0" localSheetId="95">'450'!$P$75</definedName>
    <definedName name="OSRRefP22_15x_0" localSheetId="76">'491'!$P$78:$P$80</definedName>
    <definedName name="OSRRefP22_15x_0" localSheetId="90">'492'!$P$76:$P$84</definedName>
    <definedName name="OSRRefP22_15x_0" localSheetId="39">'Div 2'!$P$73</definedName>
    <definedName name="OSRRefP22_15x_0" localSheetId="47">'Div 3'!$P$217</definedName>
    <definedName name="OSRRefP22_15x_0" localSheetId="74">'Div 4'!$P$79</definedName>
    <definedName name="OSRRefP22_15x_0" localSheetId="2">Summary!$P$251</definedName>
    <definedName name="OSRRefP22_16x_0" localSheetId="48">'300'!$P$214:$P$217</definedName>
    <definedName name="OSRRefP22_16x_0" localSheetId="49">'300 &amp; 317'!$P$239:$P$242</definedName>
    <definedName name="OSRRefP22_16x_0" localSheetId="50">'301'!$P$73:$P$75</definedName>
    <definedName name="OSRRefP22_16x_0" localSheetId="66">'310'!$P$77:$P$80</definedName>
    <definedName name="OSRRefP22_16x_0" localSheetId="75">'310 &amp; 491'!$P$87:$P$89</definedName>
    <definedName name="OSRRefP22_16x_0" localSheetId="72">'325'!$P$76</definedName>
    <definedName name="OSRRefP22_16x_0" localSheetId="60">'326'!$P$109</definedName>
    <definedName name="OSRRefP22_16x_0" localSheetId="58">'331'!$P$138:$P$139</definedName>
    <definedName name="OSRRefP22_16x_0" localSheetId="77">'405'!$P$77</definedName>
    <definedName name="OSRRefP22_16x_0" localSheetId="79">'411'!$P$77</definedName>
    <definedName name="OSRRefP22_16x_0" localSheetId="83">'415'!$P$82</definedName>
    <definedName name="OSRRefP22_16x_0" localSheetId="92">'433'!$P$81</definedName>
    <definedName name="OSRRefP22_16x_0" localSheetId="94">'444'!$P$83</definedName>
    <definedName name="OSRRefP22_16x_0" localSheetId="95">'450'!$P$77</definedName>
    <definedName name="OSRRefP22_16x_0" localSheetId="76">'491'!$P$82:$P$83</definedName>
    <definedName name="OSRRefP22_16x_0" localSheetId="90">'492'!$P$86</definedName>
    <definedName name="OSRRefP22_16x_0" localSheetId="39">'Div 2'!$P$75:$P$79</definedName>
    <definedName name="OSRRefP22_16x_0" localSheetId="47">'Div 3'!$P$219</definedName>
    <definedName name="OSRRefP22_16x_0" localSheetId="74">'Div 4'!$P$81:$P$83</definedName>
    <definedName name="OSRRefP22_16x_0" localSheetId="2">Summary!$P$253</definedName>
    <definedName name="OSRRefP22_17x_0" localSheetId="48">'300'!$P$219:$P$221</definedName>
    <definedName name="OSRRefP22_17x_0" localSheetId="49">'300 &amp; 317'!$P$244:$P$246</definedName>
    <definedName name="OSRRefP22_17x_0" localSheetId="50">'301'!$P$77</definedName>
    <definedName name="OSRRefP22_17x_0" localSheetId="66">'310'!$P$82</definedName>
    <definedName name="OSRRefP22_17x_0" localSheetId="75">'310 &amp; 491'!$P$91:$P$92</definedName>
    <definedName name="OSRRefP22_17x_0" localSheetId="60">'326'!$P$111</definedName>
    <definedName name="OSRRefP22_17x_0" localSheetId="58">'331'!$P$141:$P$146</definedName>
    <definedName name="OSRRefP22_17x_0" localSheetId="77">'405'!$P$79</definedName>
    <definedName name="OSRRefP22_17x_0" localSheetId="79">'411'!$P$79</definedName>
    <definedName name="OSRRefP22_17x_0" localSheetId="83">'415'!$P$84</definedName>
    <definedName name="OSRRefP22_17x_0" localSheetId="94">'444'!$P$85</definedName>
    <definedName name="OSRRefP22_17x_0" localSheetId="95">'450'!$P$79</definedName>
    <definedName name="OSRRefP22_17x_0" localSheetId="76">'491'!$P$85:$P$89</definedName>
    <definedName name="OSRRefP22_17x_0" localSheetId="90">'492'!$P$88</definedName>
    <definedName name="OSRRefP22_17x_0" localSheetId="39">'Div 2'!$P$81:$P$82</definedName>
    <definedName name="OSRRefP22_17x_0" localSheetId="47">'Div 3'!$P$221:$P$224</definedName>
    <definedName name="OSRRefP22_17x_0" localSheetId="74">'Div 4'!$P$85:$P$86</definedName>
    <definedName name="OSRRefP22_17x_0" localSheetId="2">Summary!$P$255</definedName>
    <definedName name="OSRRefP22_18x_0" localSheetId="48">'300'!$P$223:$P$226</definedName>
    <definedName name="OSRRefP22_18x_0" localSheetId="49">'300 &amp; 317'!$P$248:$P$251</definedName>
    <definedName name="OSRRefP22_18x_0" localSheetId="50">'301'!$P$79:$P$84</definedName>
    <definedName name="OSRRefP22_18x_0" localSheetId="66">'310'!$P$84:$P$90</definedName>
    <definedName name="OSRRefP22_18x_0" localSheetId="75">'310 &amp; 491'!$P$94:$P$98</definedName>
    <definedName name="OSRRefP22_18x_0" localSheetId="60">'326'!$P$113</definedName>
    <definedName name="OSRRefP22_18x_0" localSheetId="58">'331'!$P$148</definedName>
    <definedName name="OSRRefP22_18x_0" localSheetId="79">'411'!$P$81:$P$83</definedName>
    <definedName name="OSRRefP22_18x_0" localSheetId="76">'491'!$P$91:$P$92</definedName>
    <definedName name="OSRRefP22_18x_0" localSheetId="90">'492'!$P$90</definedName>
    <definedName name="OSRRefP22_18x_0" localSheetId="39">'Div 2'!$P$84</definedName>
    <definedName name="OSRRefP22_18x_0" localSheetId="47">'Div 3'!$P$226:$P$228</definedName>
    <definedName name="OSRRefP22_18x_0" localSheetId="74">'Div 4'!$P$88:$P$92</definedName>
    <definedName name="OSRRefP22_18x_0" localSheetId="2">Summary!$P$257:$P$260</definedName>
    <definedName name="OSRRefP22_19x_0" localSheetId="48">'300'!$P$228:$P$229</definedName>
    <definedName name="OSRRefP22_19x_0" localSheetId="49">'300 &amp; 317'!$P$253:$P$254</definedName>
    <definedName name="OSRRefP22_19x_0" localSheetId="50">'301'!$P$86</definedName>
    <definedName name="OSRRefP22_19x_0" localSheetId="66">'310'!$P$92</definedName>
    <definedName name="OSRRefP22_19x_0" localSheetId="75">'310 &amp; 491'!$P$100:$P$101</definedName>
    <definedName name="OSRRefP22_19x_0" localSheetId="58">'331'!$P$150</definedName>
    <definedName name="OSRRefP22_19x_0" localSheetId="79">'411'!$P$85</definedName>
    <definedName name="OSRRefP22_19x_0" localSheetId="76">'491'!$P$94:$P$102</definedName>
    <definedName name="OSRRefP22_19x_0" localSheetId="39">'Div 2'!$P$86:$P$87</definedName>
    <definedName name="OSRRefP22_19x_0" localSheetId="47">'Div 3'!$P$230:$P$234</definedName>
    <definedName name="OSRRefP22_19x_0" localSheetId="74">'Div 4'!$P$94:$P$95</definedName>
    <definedName name="OSRRefP22_19x_0" localSheetId="2">Summary!$P$262:$P$264</definedName>
    <definedName name="OSRRefP22_1x_0" localSheetId="40">'200'!$P$22</definedName>
    <definedName name="OSRRefP22_1x_0" localSheetId="41">'201'!$P$29:$P$31</definedName>
    <definedName name="OSRRefP22_1x_0" localSheetId="42">'202'!$P$29:$P$32</definedName>
    <definedName name="OSRRefP22_1x_0" localSheetId="43">'203'!$P$31:$P$34</definedName>
    <definedName name="OSRRefP22_1x_0" localSheetId="44">'204'!$P$31:$P$35</definedName>
    <definedName name="OSRRefP22_1x_0" localSheetId="45">'205'!$P$29</definedName>
    <definedName name="OSRRefP22_1x_0" localSheetId="46">'206'!$P$28:$P$31</definedName>
    <definedName name="OSRRefP22_1x_0" localSheetId="48">'300'!$P$174:$P$180</definedName>
    <definedName name="OSRRefP22_1x_0" localSheetId="49">'300 &amp; 317'!$P$199:$P$205</definedName>
    <definedName name="OSRRefP22_1x_0" localSheetId="50">'301'!$P$31:$P$37</definedName>
    <definedName name="OSRRefP22_1x_0" localSheetId="51">'306'!$P$30:$P$35</definedName>
    <definedName name="OSRRefP22_1x_0" localSheetId="53">'307'!$P$79:$P$82</definedName>
    <definedName name="OSRRefP22_1x_0" localSheetId="55">'308'!$P$74:$P$79</definedName>
    <definedName name="OSRRefP22_1x_0" localSheetId="67">'309'!$P$33:$P$37</definedName>
    <definedName name="OSRRefP22_1x_0" localSheetId="66">'310'!$P$39:$P$44</definedName>
    <definedName name="OSRRefP22_1x_0" localSheetId="75">'310 &amp; 491'!$P$47:$P$53</definedName>
    <definedName name="OSRRefP22_1x_0" localSheetId="56">'311'!$P$73:$P$78</definedName>
    <definedName name="OSRRefP22_1x_0" localSheetId="68">'313'!$P$36:$P$40</definedName>
    <definedName name="OSRRefP22_1x_0" localSheetId="54">'314'!$P$63:$P$65</definedName>
    <definedName name="OSRRefP22_1x_0" localSheetId="59">'315'!$P$90:$P$95</definedName>
    <definedName name="OSRRefP22_1x_0" localSheetId="62">'316'!$P$41:$P$43</definedName>
    <definedName name="OSRRefP22_1x_0" localSheetId="65">'317'!$P$68:$P$72</definedName>
    <definedName name="OSRRefP22_1x_0" localSheetId="63">'320'!$P$36:$P$38</definedName>
    <definedName name="OSRRefP22_1x_0" localSheetId="69">'321'!$P$33:$P$37</definedName>
    <definedName name="OSRRefP22_1x_0" localSheetId="70">'322'!$P$33:$P$36</definedName>
    <definedName name="OSRRefP22_1x_0" localSheetId="72">'325'!$P$33:$P$37</definedName>
    <definedName name="OSRRefP22_1x_0" localSheetId="60">'326'!$P$68:$P$72</definedName>
    <definedName name="OSRRefP22_1x_0" localSheetId="73">'327'!$P$24</definedName>
    <definedName name="OSRRefP22_1x_0" localSheetId="52">'330'!$P$87:$P$91</definedName>
    <definedName name="OSRRefP22_1x_0" localSheetId="58">'331'!$P$97:$P$102</definedName>
    <definedName name="OSRRefP22_1x_0" localSheetId="61">'332'!$P$49:$P$52</definedName>
    <definedName name="OSRRefP22_1x_0" localSheetId="77">'405'!$P$33:$P$36</definedName>
    <definedName name="OSRRefP22_1x_0" localSheetId="78">'406'!$P$33:$P$37</definedName>
    <definedName name="OSRRefP22_1x_0" localSheetId="79">'411'!$P$30:$P$35</definedName>
    <definedName name="OSRRefP22_1x_0" localSheetId="80">'412'!$P$32:$P$37</definedName>
    <definedName name="OSRRefP22_1x_0" localSheetId="81">'413'!$P$33:$P$36</definedName>
    <definedName name="OSRRefP22_1x_0" localSheetId="82">'414'!$P$32:$P$35</definedName>
    <definedName name="OSRRefP22_1x_0" localSheetId="83">'415'!$P$33:$P$37</definedName>
    <definedName name="OSRRefP22_1x_0" localSheetId="84">'418'!$P$33:$P$38</definedName>
    <definedName name="OSRRefP22_1x_0" localSheetId="85">'420'!$P$31:$P$34</definedName>
    <definedName name="OSRRefP22_1x_0" localSheetId="86">'423'!$P$30</definedName>
    <definedName name="OSRRefP22_1x_0" localSheetId="87">'424'!$P$26:$P$30</definedName>
    <definedName name="OSRRefP22_1x_0" localSheetId="88">'425'!$P$33:$P$37</definedName>
    <definedName name="OSRRefP22_1x_0" localSheetId="91">'430'!$P$29</definedName>
    <definedName name="OSRRefP22_1x_0" localSheetId="92">'433'!$P$35:$P$40</definedName>
    <definedName name="OSRRefP22_1x_0" localSheetId="93">'435'!$P$29:$P$31</definedName>
    <definedName name="OSRRefP22_1x_0" localSheetId="94">'444'!$P$35:$P$40</definedName>
    <definedName name="OSRRefP22_1x_0" localSheetId="95">'450'!$P$35:$P$40</definedName>
    <definedName name="OSRRefP22_1x_0" localSheetId="89">'455'!$P$28:$P$29</definedName>
    <definedName name="OSRRefP22_1x_0" localSheetId="76">'491'!$P$41:$P$47</definedName>
    <definedName name="OSRRefP22_1x_0" localSheetId="90">'492'!$P$37:$P$43</definedName>
    <definedName name="OSRRefP22_1x_0" localSheetId="97">'501'!$P$31:$P$35</definedName>
    <definedName name="OSRRefP22_1x_0" localSheetId="39">'Div 2'!$P$32:$P$38</definedName>
    <definedName name="OSRRefP22_1x_0" localSheetId="47">'Div 3'!$P$179:$P$185</definedName>
    <definedName name="OSRRefP22_1x_0" localSheetId="74">'Div 4'!$P$42:$P$48</definedName>
    <definedName name="OSRRefP22_1x_0" localSheetId="96">'Div 5'!$P$31:$P$35</definedName>
    <definedName name="OSRRefP22_1x_0" localSheetId="64">'Div 6'!$P$68:$P$72</definedName>
    <definedName name="OSRRefP22_1x_0" localSheetId="2">Summary!$P$211:$P$217</definedName>
    <definedName name="OSRRefP22_20x_0" localSheetId="48">'300'!$P$231:$P$237</definedName>
    <definedName name="OSRRefP22_20x_0" localSheetId="49">'300 &amp; 317'!$P$256:$P$262</definedName>
    <definedName name="OSRRefP22_20x_0" localSheetId="50">'301'!$P$88</definedName>
    <definedName name="OSRRefP22_20x_0" localSheetId="66">'310'!$P$94</definedName>
    <definedName name="OSRRefP22_20x_0" localSheetId="75">'310 &amp; 491'!$P$103:$P$111</definedName>
    <definedName name="OSRRefP22_20x_0" localSheetId="58">'331'!$P$152:$P$153</definedName>
    <definedName name="OSRRefP22_20x_0" localSheetId="76">'491'!$P$104</definedName>
    <definedName name="OSRRefP22_20x_0" localSheetId="47">'Div 3'!$P$236:$P$237</definedName>
    <definedName name="OSRRefP22_20x_0" localSheetId="74">'Div 4'!$P$97:$P$105</definedName>
    <definedName name="OSRRefP22_20x_0" localSheetId="2">Summary!$P$266:$P$270</definedName>
    <definedName name="OSRRefP22_21x_0" localSheetId="48">'300'!$P$239:$P$240</definedName>
    <definedName name="OSRRefP22_21x_0" localSheetId="49">'300 &amp; 317'!$P$264:$P$265</definedName>
    <definedName name="OSRRefP22_21x_0" localSheetId="50">'301'!$P$90:$P$92</definedName>
    <definedName name="OSRRefP22_21x_0" localSheetId="66">'310'!$P$96</definedName>
    <definedName name="OSRRefP22_21x_0" localSheetId="75">'310 &amp; 491'!$P$113</definedName>
    <definedName name="OSRRefP22_21x_0" localSheetId="58">'331'!$P$155</definedName>
    <definedName name="OSRRefP22_21x_0" localSheetId="76">'491'!$P$106</definedName>
    <definedName name="OSRRefP22_21x_0" localSheetId="47">'Div 3'!$P$239:$P$245</definedName>
    <definedName name="OSRRefP22_21x_0" localSheetId="74">'Div 4'!$P$107</definedName>
    <definedName name="OSRRefP22_21x_0" localSheetId="2">Summary!$P$272:$P$273</definedName>
    <definedName name="OSRRefP22_22x_0" localSheetId="48">'300'!$P$242</definedName>
    <definedName name="OSRRefP22_22x_0" localSheetId="49">'300 &amp; 317'!$P$267</definedName>
    <definedName name="OSRRefP22_22x_0" localSheetId="50">'301'!$P$94</definedName>
    <definedName name="OSRRefP22_22x_0" localSheetId="75">'310 &amp; 491'!$P$115</definedName>
    <definedName name="OSRRefP22_22x_0" localSheetId="76">'491'!$P$108:$P$110</definedName>
    <definedName name="OSRRefP22_22x_0" localSheetId="47">'Div 3'!$P$247:$P$248</definedName>
    <definedName name="OSRRefP22_22x_0" localSheetId="74">'Div 4'!$P$109</definedName>
    <definedName name="OSRRefP22_22x_0" localSheetId="2">Summary!$P$275:$P$283</definedName>
    <definedName name="OSRRefP22_23x_0" localSheetId="48">'300'!$P$244:$P$246</definedName>
    <definedName name="OSRRefP22_23x_0" localSheetId="49">'300 &amp; 317'!$P$269:$P$271</definedName>
    <definedName name="OSRRefP22_23x_0" localSheetId="75">'310 &amp; 491'!$P$117:$P$119</definedName>
    <definedName name="OSRRefP22_23x_0" localSheetId="76">'491'!$P$112</definedName>
    <definedName name="OSRRefP22_23x_0" localSheetId="47">'Div 3'!$P$250</definedName>
    <definedName name="OSRRefP22_23x_0" localSheetId="74">'Div 4'!$P$111:$P$113</definedName>
    <definedName name="OSRRefP22_23x_0" localSheetId="2">Summary!$P$285:$P$286</definedName>
    <definedName name="OSRRefP22_24x_0" localSheetId="48">'300'!$P$248</definedName>
    <definedName name="OSRRefP22_24x_0" localSheetId="49">'300 &amp; 317'!$P$273</definedName>
    <definedName name="OSRRefP22_24x_0" localSheetId="75">'310 &amp; 491'!$P$121</definedName>
    <definedName name="OSRRefP22_24x_0" localSheetId="47">'Div 3'!$P$252:$P$254</definedName>
    <definedName name="OSRRefP22_24x_0" localSheetId="74">'Div 4'!$P$115</definedName>
    <definedName name="OSRRefP22_24x_0" localSheetId="2">Summary!$P$288</definedName>
    <definedName name="OSRRefP22_25x_0" localSheetId="47">'Div 3'!$P$256</definedName>
    <definedName name="OSRRefP22_25x_0" localSheetId="2">Summary!$P$290:$P$292</definedName>
    <definedName name="OSRRefP22_26x_0" localSheetId="2">Summary!$P$294</definedName>
    <definedName name="OSRRefP22_2x_0" localSheetId="40">'200'!$P$24</definedName>
    <definedName name="OSRRefP22_2x_0" localSheetId="41">'201'!$P$33</definedName>
    <definedName name="OSRRefP22_2x_0" localSheetId="42">'202'!$P$34</definedName>
    <definedName name="OSRRefP22_2x_0" localSheetId="43">'203'!$P$36</definedName>
    <definedName name="OSRRefP22_2x_0" localSheetId="44">'204'!$P$37</definedName>
    <definedName name="OSRRefP22_2x_0" localSheetId="45">'205'!$P$31</definedName>
    <definedName name="OSRRefP22_2x_0" localSheetId="46">'206'!$P$33</definedName>
    <definedName name="OSRRefP22_2x_0" localSheetId="48">'300'!$P$182</definedName>
    <definedName name="OSRRefP22_2x_0" localSheetId="49">'300 &amp; 317'!$P$207</definedName>
    <definedName name="OSRRefP22_2x_0" localSheetId="50">'301'!$P$39</definedName>
    <definedName name="OSRRefP22_2x_0" localSheetId="51">'306'!$P$37</definedName>
    <definedName name="OSRRefP22_2x_0" localSheetId="53">'307'!$P$84</definedName>
    <definedName name="OSRRefP22_2x_0" localSheetId="55">'308'!$P$81</definedName>
    <definedName name="OSRRefP22_2x_0" localSheetId="67">'309'!$P$39</definedName>
    <definedName name="OSRRefP22_2x_0" localSheetId="66">'310'!$P$46</definedName>
    <definedName name="OSRRefP22_2x_0" localSheetId="75">'310 &amp; 491'!$P$55</definedName>
    <definedName name="OSRRefP22_2x_0" localSheetId="56">'311'!$P$80</definedName>
    <definedName name="OSRRefP22_2x_0" localSheetId="68">'313'!$P$42</definedName>
    <definedName name="OSRRefP22_2x_0" localSheetId="54">'314'!$P$67</definedName>
    <definedName name="OSRRefP22_2x_0" localSheetId="59">'315'!$P$97</definedName>
    <definedName name="OSRRefP22_2x_0" localSheetId="62">'316'!$P$45</definedName>
    <definedName name="OSRRefP22_2x_0" localSheetId="65">'317'!$P$74</definedName>
    <definedName name="OSRRefP22_2x_0" localSheetId="63">'320'!$P$40</definedName>
    <definedName name="OSRRefP22_2x_0" localSheetId="69">'321'!$P$39</definedName>
    <definedName name="OSRRefP22_2x_0" localSheetId="70">'322'!$P$38</definedName>
    <definedName name="OSRRefP22_2x_0" localSheetId="72">'325'!$P$39</definedName>
    <definedName name="OSRRefP22_2x_0" localSheetId="60">'326'!$P$74</definedName>
    <definedName name="OSRRefP22_2x_0" localSheetId="73">'327'!$P$26</definedName>
    <definedName name="OSRRefP22_2x_0" localSheetId="52">'330'!$P$93</definedName>
    <definedName name="OSRRefP22_2x_0" localSheetId="58">'331'!$P$104</definedName>
    <definedName name="OSRRefP22_2x_0" localSheetId="61">'332'!$P$54</definedName>
    <definedName name="OSRRefP22_2x_0" localSheetId="77">'405'!$P$38</definedName>
    <definedName name="OSRRefP22_2x_0" localSheetId="78">'406'!$P$39</definedName>
    <definedName name="OSRRefP22_2x_0" localSheetId="79">'411'!$P$37</definedName>
    <definedName name="OSRRefP22_2x_0" localSheetId="80">'412'!$P$39</definedName>
    <definedName name="OSRRefP22_2x_0" localSheetId="81">'413'!$P$38</definedName>
    <definedName name="OSRRefP22_2x_0" localSheetId="82">'414'!$P$37</definedName>
    <definedName name="OSRRefP22_2x_0" localSheetId="83">'415'!$P$39</definedName>
    <definedName name="OSRRefP22_2x_0" localSheetId="84">'418'!$P$40</definedName>
    <definedName name="OSRRefP22_2x_0" localSheetId="85">'420'!$P$36</definedName>
    <definedName name="OSRRefP22_2x_0" localSheetId="86">'423'!$P$32</definedName>
    <definedName name="OSRRefP22_2x_0" localSheetId="87">'424'!$P$32</definedName>
    <definedName name="OSRRefP22_2x_0" localSheetId="88">'425'!$P$39</definedName>
    <definedName name="OSRRefP22_2x_0" localSheetId="91">'430'!$P$31</definedName>
    <definedName name="OSRRefP22_2x_0" localSheetId="92">'433'!$P$42</definedName>
    <definedName name="OSRRefP22_2x_0" localSheetId="93">'435'!$P$33</definedName>
    <definedName name="OSRRefP22_2x_0" localSheetId="94">'444'!$P$42</definedName>
    <definedName name="OSRRefP22_2x_0" localSheetId="95">'450'!$P$42</definedName>
    <definedName name="OSRRefP22_2x_0" localSheetId="76">'491'!$P$49</definedName>
    <definedName name="OSRRefP22_2x_0" localSheetId="90">'492'!$P$45</definedName>
    <definedName name="OSRRefP22_2x_0" localSheetId="97">'501'!$P$37</definedName>
    <definedName name="OSRRefP22_2x_0" localSheetId="39">'Div 2'!$P$40</definedName>
    <definedName name="OSRRefP22_2x_0" localSheetId="47">'Div 3'!$P$187</definedName>
    <definedName name="OSRRefP22_2x_0" localSheetId="74">'Div 4'!$P$50</definedName>
    <definedName name="OSRRefP22_2x_0" localSheetId="96">'Div 5'!$P$37</definedName>
    <definedName name="OSRRefP22_2x_0" localSheetId="64">'Div 6'!$P$74</definedName>
    <definedName name="OSRRefP22_2x_0" localSheetId="2">Summary!$P$219</definedName>
    <definedName name="OSRRefP22_3x_0" localSheetId="40">'200'!$P$26</definedName>
    <definedName name="OSRRefP22_3x_0" localSheetId="41">'201'!$P$35</definedName>
    <definedName name="OSRRefP22_3x_0" localSheetId="42">'202'!$P$36</definedName>
    <definedName name="OSRRefP22_3x_0" localSheetId="43">'203'!$P$38</definedName>
    <definedName name="OSRRefP22_3x_0" localSheetId="44">'204'!$P$39</definedName>
    <definedName name="OSRRefP22_3x_0" localSheetId="45">'205'!$P$33</definedName>
    <definedName name="OSRRefP22_3x_0" localSheetId="46">'206'!$P$35</definedName>
    <definedName name="OSRRefP22_3x_0" localSheetId="48">'300'!$P$184:$P$185</definedName>
    <definedName name="OSRRefP22_3x_0" localSheetId="49">'300 &amp; 317'!$P$209:$P$210</definedName>
    <definedName name="OSRRefP22_3x_0" localSheetId="50">'301'!$P$41:$P$42</definedName>
    <definedName name="OSRRefP22_3x_0" localSheetId="51">'306'!$P$39</definedName>
    <definedName name="OSRRefP22_3x_0" localSheetId="53">'307'!$P$86</definedName>
    <definedName name="OSRRefP22_3x_0" localSheetId="55">'308'!$P$83:$P$84</definedName>
    <definedName name="OSRRefP22_3x_0" localSheetId="67">'309'!$P$41</definedName>
    <definedName name="OSRRefP22_3x_0" localSheetId="66">'310'!$P$48</definedName>
    <definedName name="OSRRefP22_3x_0" localSheetId="75">'310 &amp; 491'!$P$57</definedName>
    <definedName name="OSRRefP22_3x_0" localSheetId="56">'311'!$P$82:$P$83</definedName>
    <definedName name="OSRRefP22_3x_0" localSheetId="68">'313'!$P$44</definedName>
    <definedName name="OSRRefP22_3x_0" localSheetId="54">'314'!$P$69:$P$70</definedName>
    <definedName name="OSRRefP22_3x_0" localSheetId="59">'315'!$P$99:$P$100</definedName>
    <definedName name="OSRRefP22_3x_0" localSheetId="62">'316'!$P$47</definedName>
    <definedName name="OSRRefP22_3x_0" localSheetId="65">'317'!$P$76</definedName>
    <definedName name="OSRRefP22_3x_0" localSheetId="63">'320'!$P$42</definedName>
    <definedName name="OSRRefP22_3x_0" localSheetId="69">'321'!$P$41</definedName>
    <definedName name="OSRRefP22_3x_0" localSheetId="70">'322'!$P$40</definedName>
    <definedName name="OSRRefP22_3x_0" localSheetId="72">'325'!$P$41</definedName>
    <definedName name="OSRRefP22_3x_0" localSheetId="60">'326'!$P$76</definedName>
    <definedName name="OSRRefP22_3x_0" localSheetId="52">'330'!$P$95</definedName>
    <definedName name="OSRRefP22_3x_0" localSheetId="58">'331'!$P$106</definedName>
    <definedName name="OSRRefP22_3x_0" localSheetId="61">'332'!$P$56</definedName>
    <definedName name="OSRRefP22_3x_0" localSheetId="77">'405'!$P$40</definedName>
    <definedName name="OSRRefP22_3x_0" localSheetId="78">'406'!$P$41</definedName>
    <definedName name="OSRRefP22_3x_0" localSheetId="79">'411'!$P$39</definedName>
    <definedName name="OSRRefP22_3x_0" localSheetId="80">'412'!$P$41</definedName>
    <definedName name="OSRRefP22_3x_0" localSheetId="81">'413'!$P$40</definedName>
    <definedName name="OSRRefP22_3x_0" localSheetId="82">'414'!$P$39</definedName>
    <definedName name="OSRRefP22_3x_0" localSheetId="83">'415'!$P$41</definedName>
    <definedName name="OSRRefP22_3x_0" localSheetId="84">'418'!$P$42</definedName>
    <definedName name="OSRRefP22_3x_0" localSheetId="85">'420'!$P$38</definedName>
    <definedName name="OSRRefP22_3x_0" localSheetId="86">'423'!$P$34</definedName>
    <definedName name="OSRRefP22_3x_0" localSheetId="87">'424'!$P$34</definedName>
    <definedName name="OSRRefP22_3x_0" localSheetId="88">'425'!$P$41</definedName>
    <definedName name="OSRRefP22_3x_0" localSheetId="91">'430'!$P$33</definedName>
    <definedName name="OSRRefP22_3x_0" localSheetId="92">'433'!$P$44</definedName>
    <definedName name="OSRRefP22_3x_0" localSheetId="93">'435'!$P$35</definedName>
    <definedName name="OSRRefP22_3x_0" localSheetId="94">'444'!$P$44</definedName>
    <definedName name="OSRRefP22_3x_0" localSheetId="95">'450'!$P$44</definedName>
    <definedName name="OSRRefP22_3x_0" localSheetId="76">'491'!$P$51</definedName>
    <definedName name="OSRRefP22_3x_0" localSheetId="90">'492'!$P$47</definedName>
    <definedName name="OSRRefP22_3x_0" localSheetId="97">'501'!$P$39</definedName>
    <definedName name="OSRRefP22_3x_0" localSheetId="39">'Div 2'!$P$42</definedName>
    <definedName name="OSRRefP22_3x_0" localSheetId="47">'Div 3'!$P$189:$P$190</definedName>
    <definedName name="OSRRefP22_3x_0" localSheetId="74">'Div 4'!$P$52</definedName>
    <definedName name="OSRRefP22_3x_0" localSheetId="96">'Div 5'!$P$39</definedName>
    <definedName name="OSRRefP22_3x_0" localSheetId="64">'Div 6'!$P$76</definedName>
    <definedName name="OSRRefP22_3x_0" localSheetId="2">Summary!$P$221:$P$222</definedName>
    <definedName name="OSRRefP22_4x_0" localSheetId="40">'200'!$P$28:$P$29</definedName>
    <definedName name="OSRRefP22_4x_0" localSheetId="41">'201'!$P$37</definedName>
    <definedName name="OSRRefP22_4x_0" localSheetId="42">'202'!$P$38:$P$39</definedName>
    <definedName name="OSRRefP22_4x_0" localSheetId="43">'203'!$P$40</definedName>
    <definedName name="OSRRefP22_4x_0" localSheetId="44">'204'!$P$41</definedName>
    <definedName name="OSRRefP22_4x_0" localSheetId="45">'205'!$P$35:$P$36</definedName>
    <definedName name="OSRRefP22_4x_0" localSheetId="46">'206'!$P$37</definedName>
    <definedName name="OSRRefP22_4x_0" localSheetId="48">'300'!$P$187</definedName>
    <definedName name="OSRRefP22_4x_0" localSheetId="49">'300 &amp; 317'!$P$212</definedName>
    <definedName name="OSRRefP22_4x_0" localSheetId="50">'301'!$P$44</definedName>
    <definedName name="OSRRefP22_4x_0" localSheetId="51">'306'!$P$41</definedName>
    <definedName name="OSRRefP22_4x_0" localSheetId="53">'307'!$P$88:$P$89</definedName>
    <definedName name="OSRRefP22_4x_0" localSheetId="55">'308'!$P$86</definedName>
    <definedName name="OSRRefP22_4x_0" localSheetId="67">'309'!$P$43</definedName>
    <definedName name="OSRRefP22_4x_0" localSheetId="66">'310'!$P$50</definedName>
    <definedName name="OSRRefP22_4x_0" localSheetId="75">'310 &amp; 491'!$P$59</definedName>
    <definedName name="OSRRefP22_4x_0" localSheetId="56">'311'!$P$85</definedName>
    <definedName name="OSRRefP22_4x_0" localSheetId="68">'313'!$P$46</definedName>
    <definedName name="OSRRefP22_4x_0" localSheetId="54">'314'!$P$72</definedName>
    <definedName name="OSRRefP22_4x_0" localSheetId="59">'315'!$P$102</definedName>
    <definedName name="OSRRefP22_4x_0" localSheetId="62">'316'!$P$49</definedName>
    <definedName name="OSRRefP22_4x_0" localSheetId="65">'317'!$P$78</definedName>
    <definedName name="OSRRefP22_4x_0" localSheetId="63">'320'!$P$44:$P$45</definedName>
    <definedName name="OSRRefP22_4x_0" localSheetId="69">'321'!$P$43</definedName>
    <definedName name="OSRRefP22_4x_0" localSheetId="70">'322'!$P$42</definedName>
    <definedName name="OSRRefP22_4x_0" localSheetId="72">'325'!$P$43</definedName>
    <definedName name="OSRRefP22_4x_0" localSheetId="60">'326'!$P$78</definedName>
    <definedName name="OSRRefP22_4x_0" localSheetId="52">'330'!$P$97:$P$98</definedName>
    <definedName name="OSRRefP22_4x_0" localSheetId="58">'331'!$P$108</definedName>
    <definedName name="OSRRefP22_4x_0" localSheetId="61">'332'!$P$58</definedName>
    <definedName name="OSRRefP22_4x_0" localSheetId="77">'405'!$P$42</definedName>
    <definedName name="OSRRefP22_4x_0" localSheetId="78">'406'!$P$43</definedName>
    <definedName name="OSRRefP22_4x_0" localSheetId="79">'411'!$P$41:$P$43</definedName>
    <definedName name="OSRRefP22_4x_0" localSheetId="80">'412'!$P$43</definedName>
    <definedName name="OSRRefP22_4x_0" localSheetId="81">'413'!$P$42</definedName>
    <definedName name="OSRRefP22_4x_0" localSheetId="82">'414'!$P$41</definedName>
    <definedName name="OSRRefP22_4x_0" localSheetId="83">'415'!$P$43</definedName>
    <definedName name="OSRRefP22_4x_0" localSheetId="84">'418'!$P$44</definedName>
    <definedName name="OSRRefP22_4x_0" localSheetId="85">'420'!$P$40:$P$41</definedName>
    <definedName name="OSRRefP22_4x_0" localSheetId="86">'423'!$P$36</definedName>
    <definedName name="OSRRefP22_4x_0" localSheetId="87">'424'!$P$36</definedName>
    <definedName name="OSRRefP22_4x_0" localSheetId="88">'425'!$P$43</definedName>
    <definedName name="OSRRefP22_4x_0" localSheetId="91">'430'!$P$35:$P$36</definedName>
    <definedName name="OSRRefP22_4x_0" localSheetId="92">'433'!$P$46</definedName>
    <definedName name="OSRRefP22_4x_0" localSheetId="93">'435'!$P$37</definedName>
    <definedName name="OSRRefP22_4x_0" localSheetId="94">'444'!$P$46</definedName>
    <definedName name="OSRRefP22_4x_0" localSheetId="95">'450'!$P$46</definedName>
    <definedName name="OSRRefP22_4x_0" localSheetId="76">'491'!$P$53</definedName>
    <definedName name="OSRRefP22_4x_0" localSheetId="90">'492'!$P$49</definedName>
    <definedName name="OSRRefP22_4x_0" localSheetId="97">'501'!$P$41</definedName>
    <definedName name="OSRRefP22_4x_0" localSheetId="39">'Div 2'!$P$44</definedName>
    <definedName name="OSRRefP22_4x_0" localSheetId="47">'Div 3'!$P$192</definedName>
    <definedName name="OSRRefP22_4x_0" localSheetId="74">'Div 4'!$P$54</definedName>
    <definedName name="OSRRefP22_4x_0" localSheetId="96">'Div 5'!$P$41</definedName>
    <definedName name="OSRRefP22_4x_0" localSheetId="64">'Div 6'!$P$78</definedName>
    <definedName name="OSRRefP22_4x_0" localSheetId="2">Summary!$P$224</definedName>
    <definedName name="OSRRefP22_5x_0" localSheetId="41">'201'!$P$39</definedName>
    <definedName name="OSRRefP22_5x_0" localSheetId="42">'202'!$P$41</definedName>
    <definedName name="OSRRefP22_5x_0" localSheetId="43">'203'!$P$42</definedName>
    <definedName name="OSRRefP22_5x_0" localSheetId="44">'204'!$P$43</definedName>
    <definedName name="OSRRefP22_5x_0" localSheetId="45">'205'!$P$38</definedName>
    <definedName name="OSRRefP22_5x_0" localSheetId="46">'206'!$P$39:$P$40</definedName>
    <definedName name="OSRRefP22_5x_0" localSheetId="48">'300'!$P$189:$P$190</definedName>
    <definedName name="OSRRefP22_5x_0" localSheetId="49">'300 &amp; 317'!$P$214:$P$215</definedName>
    <definedName name="OSRRefP22_5x_0" localSheetId="50">'301'!$P$46:$P$47</definedName>
    <definedName name="OSRRefP22_5x_0" localSheetId="51">'306'!$P$43</definedName>
    <definedName name="OSRRefP22_5x_0" localSheetId="53">'307'!$P$91</definedName>
    <definedName name="OSRRefP22_5x_0" localSheetId="55">'308'!$P$88</definedName>
    <definedName name="OSRRefP22_5x_0" localSheetId="67">'309'!$P$45</definedName>
    <definedName name="OSRRefP22_5x_0" localSheetId="66">'310'!$P$52:$P$53</definedName>
    <definedName name="OSRRefP22_5x_0" localSheetId="75">'310 &amp; 491'!$P$61:$P$63</definedName>
    <definedName name="OSRRefP22_5x_0" localSheetId="56">'311'!$P$87</definedName>
    <definedName name="OSRRefP22_5x_0" localSheetId="68">'313'!$P$48</definedName>
    <definedName name="OSRRefP22_5x_0" localSheetId="54">'314'!$P$74</definedName>
    <definedName name="OSRRefP22_5x_0" localSheetId="59">'315'!$P$104:$P$105</definedName>
    <definedName name="OSRRefP22_5x_0" localSheetId="62">'316'!$P$51</definedName>
    <definedName name="OSRRefP22_5x_0" localSheetId="65">'317'!$P$80:$P$81</definedName>
    <definedName name="OSRRefP22_5x_0" localSheetId="63">'320'!$P$47</definedName>
    <definedName name="OSRRefP22_5x_0" localSheetId="69">'321'!$P$45</definedName>
    <definedName name="OSRRefP22_5x_0" localSheetId="70">'322'!$P$44</definedName>
    <definedName name="OSRRefP22_5x_0" localSheetId="72">'325'!$P$45:$P$46</definedName>
    <definedName name="OSRRefP22_5x_0" localSheetId="60">'326'!$P$80</definedName>
    <definedName name="OSRRefP22_5x_0" localSheetId="52">'330'!$P$100</definedName>
    <definedName name="OSRRefP22_5x_0" localSheetId="58">'331'!$P$110:$P$111</definedName>
    <definedName name="OSRRefP22_5x_0" localSheetId="61">'332'!$P$60</definedName>
    <definedName name="OSRRefP22_5x_0" localSheetId="77">'405'!$P$44:$P$45</definedName>
    <definedName name="OSRRefP22_5x_0" localSheetId="78">'406'!$P$45</definedName>
    <definedName name="OSRRefP22_5x_0" localSheetId="79">'411'!$P$45</definedName>
    <definedName name="OSRRefP22_5x_0" localSheetId="80">'412'!$P$45</definedName>
    <definedName name="OSRRefP22_5x_0" localSheetId="81">'413'!$P$44</definedName>
    <definedName name="OSRRefP22_5x_0" localSheetId="82">'414'!$P$43</definedName>
    <definedName name="OSRRefP22_5x_0" localSheetId="83">'415'!$P$45:$P$46</definedName>
    <definedName name="OSRRefP22_5x_0" localSheetId="84">'418'!$P$46:$P$47</definedName>
    <definedName name="OSRRefP22_5x_0" localSheetId="85">'420'!$P$43</definedName>
    <definedName name="OSRRefP22_5x_0" localSheetId="86">'423'!$P$38</definedName>
    <definedName name="OSRRefP22_5x_0" localSheetId="87">'424'!$P$38</definedName>
    <definedName name="OSRRefP22_5x_0" localSheetId="88">'425'!$P$45</definedName>
    <definedName name="OSRRefP22_5x_0" localSheetId="91">'430'!$P$38</definedName>
    <definedName name="OSRRefP22_5x_0" localSheetId="92">'433'!$P$48</definedName>
    <definedName name="OSRRefP22_5x_0" localSheetId="93">'435'!$P$39</definedName>
    <definedName name="OSRRefP22_5x_0" localSheetId="94">'444'!$P$48</definedName>
    <definedName name="OSRRefP22_5x_0" localSheetId="95">'450'!$P$48</definedName>
    <definedName name="OSRRefP22_5x_0" localSheetId="76">'491'!$P$55:$P$57</definedName>
    <definedName name="OSRRefP22_5x_0" localSheetId="90">'492'!$P$51</definedName>
    <definedName name="OSRRefP22_5x_0" localSheetId="97">'501'!$P$43:$P$44</definedName>
    <definedName name="OSRRefP22_5x_0" localSheetId="39">'Div 2'!$P$46</definedName>
    <definedName name="OSRRefP22_5x_0" localSheetId="47">'Div 3'!$P$194:$P$195</definedName>
    <definedName name="OSRRefP22_5x_0" localSheetId="74">'Div 4'!$P$56:$P$58</definedName>
    <definedName name="OSRRefP22_5x_0" localSheetId="96">'Div 5'!$P$43:$P$44</definedName>
    <definedName name="OSRRefP22_5x_0" localSheetId="64">'Div 6'!$P$80:$P$81</definedName>
    <definedName name="OSRRefP22_5x_0" localSheetId="2">Summary!$P$226:$P$228</definedName>
    <definedName name="OSRRefP22_6x_0" localSheetId="41">'201'!$P$41</definedName>
    <definedName name="OSRRefP22_6x_0" localSheetId="42">'202'!$P$43</definedName>
    <definedName name="OSRRefP22_6x_0" localSheetId="43">'203'!$P$44</definedName>
    <definedName name="OSRRefP22_6x_0" localSheetId="44">'204'!$P$45:$P$47</definedName>
    <definedName name="OSRRefP22_6x_0" localSheetId="45">'205'!$P$40:$P$42</definedName>
    <definedName name="OSRRefP22_6x_0" localSheetId="46">'206'!$P$42</definedName>
    <definedName name="OSRRefP22_6x_0" localSheetId="48">'300'!$P$192:$P$193</definedName>
    <definedName name="OSRRefP22_6x_0" localSheetId="49">'300 &amp; 317'!$P$217:$P$218</definedName>
    <definedName name="OSRRefP22_6x_0" localSheetId="50">'301'!$P$49:$P$50</definedName>
    <definedName name="OSRRefP22_6x_0" localSheetId="51">'306'!$P$45:$P$46</definedName>
    <definedName name="OSRRefP22_6x_0" localSheetId="53">'307'!$P$93</definedName>
    <definedName name="OSRRefP22_6x_0" localSheetId="55">'308'!$P$90:$P$91</definedName>
    <definedName name="OSRRefP22_6x_0" localSheetId="67">'309'!$P$47</definedName>
    <definedName name="OSRRefP22_6x_0" localSheetId="66">'310'!$P$55</definedName>
    <definedName name="OSRRefP22_6x_0" localSheetId="75">'310 &amp; 491'!$P$65</definedName>
    <definedName name="OSRRefP22_6x_0" localSheetId="56">'311'!$P$89:$P$90</definedName>
    <definedName name="OSRRefP22_6x_0" localSheetId="68">'313'!$P$50</definedName>
    <definedName name="OSRRefP22_6x_0" localSheetId="54">'314'!$P$76</definedName>
    <definedName name="OSRRefP22_6x_0" localSheetId="59">'315'!$P$107</definedName>
    <definedName name="OSRRefP22_6x_0" localSheetId="62">'316'!$P$53:$P$54</definedName>
    <definedName name="OSRRefP22_6x_0" localSheetId="65">'317'!$P$83</definedName>
    <definedName name="OSRRefP22_6x_0" localSheetId="63">'320'!$P$49</definedName>
    <definedName name="OSRRefP22_6x_0" localSheetId="69">'321'!$P$47:$P$49</definedName>
    <definedName name="OSRRefP22_6x_0" localSheetId="70">'322'!$P$46</definedName>
    <definedName name="OSRRefP22_6x_0" localSheetId="72">'325'!$P$48</definedName>
    <definedName name="OSRRefP22_6x_0" localSheetId="60">'326'!$P$82</definedName>
    <definedName name="OSRRefP22_6x_0" localSheetId="52">'330'!$P$102</definedName>
    <definedName name="OSRRefP22_6x_0" localSheetId="58">'331'!$P$113</definedName>
    <definedName name="OSRRefP22_6x_0" localSheetId="61">'332'!$P$62:$P$63</definedName>
    <definedName name="OSRRefP22_6x_0" localSheetId="77">'405'!$P$47</definedName>
    <definedName name="OSRRefP22_6x_0" localSheetId="78">'406'!$P$47</definedName>
    <definedName name="OSRRefP22_6x_0" localSheetId="79">'411'!$P$47</definedName>
    <definedName name="OSRRefP22_6x_0" localSheetId="80">'412'!$P$47</definedName>
    <definedName name="OSRRefP22_6x_0" localSheetId="81">'413'!$P$46</definedName>
    <definedName name="OSRRefP22_6x_0" localSheetId="82">'414'!$P$45</definedName>
    <definedName name="OSRRefP22_6x_0" localSheetId="83">'415'!$P$48</definedName>
    <definedName name="OSRRefP22_6x_0" localSheetId="84">'418'!$P$49</definedName>
    <definedName name="OSRRefP22_6x_0" localSheetId="87">'424'!$P$40</definedName>
    <definedName name="OSRRefP22_6x_0" localSheetId="88">'425'!$P$47</definedName>
    <definedName name="OSRRefP22_6x_0" localSheetId="91">'430'!$P$40</definedName>
    <definedName name="OSRRefP22_6x_0" localSheetId="92">'433'!$P$50</definedName>
    <definedName name="OSRRefP22_6x_0" localSheetId="93">'435'!$P$41:$P$43</definedName>
    <definedName name="OSRRefP22_6x_0" localSheetId="94">'444'!$P$50</definedName>
    <definedName name="OSRRefP22_6x_0" localSheetId="95">'450'!$P$50</definedName>
    <definedName name="OSRRefP22_6x_0" localSheetId="76">'491'!$P$59</definedName>
    <definedName name="OSRRefP22_6x_0" localSheetId="90">'492'!$P$53</definedName>
    <definedName name="OSRRefP22_6x_0" localSheetId="97">'501'!$P$46</definedName>
    <definedName name="OSRRefP22_6x_0" localSheetId="39">'Div 2'!$P$48</definedName>
    <definedName name="OSRRefP22_6x_0" localSheetId="47">'Div 3'!$P$197:$P$198</definedName>
    <definedName name="OSRRefP22_6x_0" localSheetId="74">'Div 4'!$P$60</definedName>
    <definedName name="OSRRefP22_6x_0" localSheetId="96">'Div 5'!$P$46</definedName>
    <definedName name="OSRRefP22_6x_0" localSheetId="64">'Div 6'!$P$83</definedName>
    <definedName name="OSRRefP22_6x_0" localSheetId="2">Summary!$P$230:$P$231</definedName>
    <definedName name="OSRRefP22_7x_0" localSheetId="41">'201'!$P$43</definedName>
    <definedName name="OSRRefP22_7x_0" localSheetId="42">'202'!$P$45:$P$47</definedName>
    <definedName name="OSRRefP22_7x_0" localSheetId="43">'203'!$P$46</definedName>
    <definedName name="OSRRefP22_7x_0" localSheetId="44">'204'!$P$49</definedName>
    <definedName name="OSRRefP22_7x_0" localSheetId="45">'205'!$P$44</definedName>
    <definedName name="OSRRefP22_7x_0" localSheetId="46">'206'!$P$44</definedName>
    <definedName name="OSRRefP22_7x_0" localSheetId="48">'300'!$P$195</definedName>
    <definedName name="OSRRefP22_7x_0" localSheetId="49">'300 &amp; 317'!$P$220</definedName>
    <definedName name="OSRRefP22_7x_0" localSheetId="50">'301'!$P$52</definedName>
    <definedName name="OSRRefP22_7x_0" localSheetId="51">'306'!$P$48:$P$50</definedName>
    <definedName name="OSRRefP22_7x_0" localSheetId="53">'307'!$P$95:$P$96</definedName>
    <definedName name="OSRRefP22_7x_0" localSheetId="55">'308'!$P$93</definedName>
    <definedName name="OSRRefP22_7x_0" localSheetId="67">'309'!$P$49</definedName>
    <definedName name="OSRRefP22_7x_0" localSheetId="66">'310'!$P$57</definedName>
    <definedName name="OSRRefP22_7x_0" localSheetId="75">'310 &amp; 491'!$P$67</definedName>
    <definedName name="OSRRefP22_7x_0" localSheetId="56">'311'!$P$92</definedName>
    <definedName name="OSRRefP22_7x_0" localSheetId="68">'313'!$P$52</definedName>
    <definedName name="OSRRefP22_7x_0" localSheetId="54">'314'!$P$78</definedName>
    <definedName name="OSRRefP22_7x_0" localSheetId="59">'315'!$P$109:$P$110</definedName>
    <definedName name="OSRRefP22_7x_0" localSheetId="62">'316'!$P$56</definedName>
    <definedName name="OSRRefP22_7x_0" localSheetId="65">'317'!$P$85</definedName>
    <definedName name="OSRRefP22_7x_0" localSheetId="63">'320'!$P$51:$P$52</definedName>
    <definedName name="OSRRefP22_7x_0" localSheetId="69">'321'!$P$51</definedName>
    <definedName name="OSRRefP22_7x_0" localSheetId="70">'322'!$P$48</definedName>
    <definedName name="OSRRefP22_7x_0" localSheetId="72">'325'!$P$50</definedName>
    <definedName name="OSRRefP22_7x_0" localSheetId="60">'326'!$P$84</definedName>
    <definedName name="OSRRefP22_7x_0" localSheetId="52">'330'!$P$104</definedName>
    <definedName name="OSRRefP22_7x_0" localSheetId="58">'331'!$P$115:$P$116</definedName>
    <definedName name="OSRRefP22_7x_0" localSheetId="61">'332'!$P$65</definedName>
    <definedName name="OSRRefP22_7x_0" localSheetId="77">'405'!$P$49</definedName>
    <definedName name="OSRRefP22_7x_0" localSheetId="78">'406'!$P$49</definedName>
    <definedName name="OSRRefP22_7x_0" localSheetId="79">'411'!$P$49</definedName>
    <definedName name="OSRRefP22_7x_0" localSheetId="80">'412'!$P$49</definedName>
    <definedName name="OSRRefP22_7x_0" localSheetId="81">'413'!$P$48:$P$50</definedName>
    <definedName name="OSRRefP22_7x_0" localSheetId="82">'414'!$P$47</definedName>
    <definedName name="OSRRefP22_7x_0" localSheetId="83">'415'!$P$50</definedName>
    <definedName name="OSRRefP22_7x_0" localSheetId="84">'418'!$P$51</definedName>
    <definedName name="OSRRefP22_7x_0" localSheetId="87">'424'!$P$42</definedName>
    <definedName name="OSRRefP22_7x_0" localSheetId="88">'425'!$P$49</definedName>
    <definedName name="OSRRefP22_7x_0" localSheetId="91">'430'!$P$42</definedName>
    <definedName name="OSRRefP22_7x_0" localSheetId="92">'433'!$P$52</definedName>
    <definedName name="OSRRefP22_7x_0" localSheetId="93">'435'!$P$45</definedName>
    <definedName name="OSRRefP22_7x_0" localSheetId="94">'444'!$P$52</definedName>
    <definedName name="OSRRefP22_7x_0" localSheetId="95">'450'!$P$52</definedName>
    <definedName name="OSRRefP22_7x_0" localSheetId="76">'491'!$P$61</definedName>
    <definedName name="OSRRefP22_7x_0" localSheetId="90">'492'!$P$55</definedName>
    <definedName name="OSRRefP22_7x_0" localSheetId="97">'501'!$P$48</definedName>
    <definedName name="OSRRefP22_7x_0" localSheetId="39">'Div 2'!$P$50</definedName>
    <definedName name="OSRRefP22_7x_0" localSheetId="47">'Div 3'!$P$200</definedName>
    <definedName name="OSRRefP22_7x_0" localSheetId="74">'Div 4'!$P$62</definedName>
    <definedName name="OSRRefP22_7x_0" localSheetId="96">'Div 5'!$P$48</definedName>
    <definedName name="OSRRefP22_7x_0" localSheetId="64">'Div 6'!$P$85</definedName>
    <definedName name="OSRRefP22_7x_0" localSheetId="2">Summary!$P$233</definedName>
    <definedName name="OSRRefP22_8x_0" localSheetId="41">'201'!$P$45</definedName>
    <definedName name="OSRRefP22_8x_0" localSheetId="42">'202'!$P$49</definedName>
    <definedName name="OSRRefP22_8x_0" localSheetId="43">'203'!$P$48</definedName>
    <definedName name="OSRRefP22_8x_0" localSheetId="44">'204'!$P$51:$P$52</definedName>
    <definedName name="OSRRefP22_8x_0" localSheetId="45">'205'!$P$46</definedName>
    <definedName name="OSRRefP22_8x_0" localSheetId="48">'300'!$P$197</definedName>
    <definedName name="OSRRefP22_8x_0" localSheetId="49">'300 &amp; 317'!$P$222</definedName>
    <definedName name="OSRRefP22_8x_0" localSheetId="50">'301'!$P$54</definedName>
    <definedName name="OSRRefP22_8x_0" localSheetId="51">'306'!$P$52</definedName>
    <definedName name="OSRRefP22_8x_0" localSheetId="53">'307'!$P$98:$P$99</definedName>
    <definedName name="OSRRefP22_8x_0" localSheetId="55">'308'!$P$95</definedName>
    <definedName name="OSRRefP22_8x_0" localSheetId="67">'309'!$P$51</definedName>
    <definedName name="OSRRefP22_8x_0" localSheetId="66">'310'!$P$59</definedName>
    <definedName name="OSRRefP22_8x_0" localSheetId="75">'310 &amp; 491'!$P$69</definedName>
    <definedName name="OSRRefP22_8x_0" localSheetId="56">'311'!$P$94</definedName>
    <definedName name="OSRRefP22_8x_0" localSheetId="68">'313'!$P$54:$P$56</definedName>
    <definedName name="OSRRefP22_8x_0" localSheetId="59">'315'!$P$112:$P$113</definedName>
    <definedName name="OSRRefP22_8x_0" localSheetId="62">'316'!$P$58:$P$60</definedName>
    <definedName name="OSRRefP22_8x_0" localSheetId="65">'317'!$P$87</definedName>
    <definedName name="OSRRefP22_8x_0" localSheetId="63">'320'!$P$54</definedName>
    <definedName name="OSRRefP22_8x_0" localSheetId="69">'321'!$P$53:$P$55</definedName>
    <definedName name="OSRRefP22_8x_0" localSheetId="70">'322'!$P$50:$P$51</definedName>
    <definedName name="OSRRefP22_8x_0" localSheetId="72">'325'!$P$52</definedName>
    <definedName name="OSRRefP22_8x_0" localSheetId="60">'326'!$P$86</definedName>
    <definedName name="OSRRefP22_8x_0" localSheetId="52">'330'!$P$106:$P$107</definedName>
    <definedName name="OSRRefP22_8x_0" localSheetId="58">'331'!$P$118</definedName>
    <definedName name="OSRRefP22_8x_0" localSheetId="61">'332'!$P$67</definedName>
    <definedName name="OSRRefP22_8x_0" localSheetId="77">'405'!$P$51</definedName>
    <definedName name="OSRRefP22_8x_0" localSheetId="78">'406'!$P$51</definedName>
    <definedName name="OSRRefP22_8x_0" localSheetId="79">'411'!$P$51</definedName>
    <definedName name="OSRRefP22_8x_0" localSheetId="80">'412'!$P$51</definedName>
    <definedName name="OSRRefP22_8x_0" localSheetId="81">'413'!$P$52:$P$53</definedName>
    <definedName name="OSRRefP22_8x_0" localSheetId="82">'414'!$P$49</definedName>
    <definedName name="OSRRefP22_8x_0" localSheetId="83">'415'!$P$52</definedName>
    <definedName name="OSRRefP22_8x_0" localSheetId="84">'418'!$P$53</definedName>
    <definedName name="OSRRefP22_8x_0" localSheetId="87">'424'!$P$44:$P$45</definedName>
    <definedName name="OSRRefP22_8x_0" localSheetId="88">'425'!$P$51</definedName>
    <definedName name="OSRRefP22_8x_0" localSheetId="92">'433'!$P$54</definedName>
    <definedName name="OSRRefP22_8x_0" localSheetId="94">'444'!$P$54</definedName>
    <definedName name="OSRRefP22_8x_0" localSheetId="95">'450'!$P$54</definedName>
    <definedName name="OSRRefP22_8x_0" localSheetId="76">'491'!$P$63</definedName>
    <definedName name="OSRRefP22_8x_0" localSheetId="90">'492'!$P$57</definedName>
    <definedName name="OSRRefP22_8x_0" localSheetId="97">'501'!$P$50:$P$52</definedName>
    <definedName name="OSRRefP22_8x_0" localSheetId="39">'Div 2'!$P$52</definedName>
    <definedName name="OSRRefP22_8x_0" localSheetId="47">'Div 3'!$P$202</definedName>
    <definedName name="OSRRefP22_8x_0" localSheetId="74">'Div 4'!$P$64</definedName>
    <definedName name="OSRRefP22_8x_0" localSheetId="96">'Div 5'!$P$50:$P$52</definedName>
    <definedName name="OSRRefP22_8x_0" localSheetId="64">'Div 6'!$P$87</definedName>
    <definedName name="OSRRefP22_8x_0" localSheetId="2">Summary!$P$235</definedName>
    <definedName name="OSRRefP22_9x_0" localSheetId="41">'201'!$P$47:$P$49</definedName>
    <definedName name="OSRRefP22_9x_0" localSheetId="42">'202'!$P$51</definedName>
    <definedName name="OSRRefP22_9x_0" localSheetId="43">'203'!$P$50:$P$51</definedName>
    <definedName name="OSRRefP22_9x_0" localSheetId="44">'204'!$P$54</definedName>
    <definedName name="OSRRefP22_9x_0" localSheetId="48">'300'!$P$199</definedName>
    <definedName name="OSRRefP22_9x_0" localSheetId="49">'300 &amp; 317'!$P$224</definedName>
    <definedName name="OSRRefP22_9x_0" localSheetId="50">'301'!$P$56</definedName>
    <definedName name="OSRRefP22_9x_0" localSheetId="51">'306'!$P$54</definedName>
    <definedName name="OSRRefP22_9x_0" localSheetId="53">'307'!$P$101:$P$103</definedName>
    <definedName name="OSRRefP22_9x_0" localSheetId="55">'308'!$P$97:$P$98</definedName>
    <definedName name="OSRRefP22_9x_0" localSheetId="67">'309'!$P$53:$P$54</definedName>
    <definedName name="OSRRefP22_9x_0" localSheetId="66">'310'!$P$61</definedName>
    <definedName name="OSRRefP22_9x_0" localSheetId="75">'310 &amp; 491'!$P$71</definedName>
    <definedName name="OSRRefP22_9x_0" localSheetId="56">'311'!$P$96:$P$97</definedName>
    <definedName name="OSRRefP22_9x_0" localSheetId="68">'313'!$P$58</definedName>
    <definedName name="OSRRefP22_9x_0" localSheetId="59">'315'!$P$115:$P$119</definedName>
    <definedName name="OSRRefP22_9x_0" localSheetId="62">'316'!$P$62</definedName>
    <definedName name="OSRRefP22_9x_0" localSheetId="65">'317'!$P$89</definedName>
    <definedName name="OSRRefP22_9x_0" localSheetId="69">'321'!$P$57:$P$60</definedName>
    <definedName name="OSRRefP22_9x_0" localSheetId="70">'322'!$P$53:$P$55</definedName>
    <definedName name="OSRRefP22_9x_0" localSheetId="72">'325'!$P$54</definedName>
    <definedName name="OSRRefP22_9x_0" localSheetId="60">'326'!$P$88</definedName>
    <definedName name="OSRRefP22_9x_0" localSheetId="52">'330'!$P$109:$P$110</definedName>
    <definedName name="OSRRefP22_9x_0" localSheetId="58">'331'!$P$120</definedName>
    <definedName name="OSRRefP22_9x_0" localSheetId="61">'332'!$P$69:$P$71</definedName>
    <definedName name="OSRRefP22_9x_0" localSheetId="77">'405'!$P$53</definedName>
    <definedName name="OSRRefP22_9x_0" localSheetId="78">'406'!$P$53:$P$55</definedName>
    <definedName name="OSRRefP22_9x_0" localSheetId="79">'411'!$P$53</definedName>
    <definedName name="OSRRefP22_9x_0" localSheetId="80">'412'!$P$53:$P$54</definedName>
    <definedName name="OSRRefP22_9x_0" localSheetId="81">'413'!$P$55:$P$59</definedName>
    <definedName name="OSRRefP22_9x_0" localSheetId="82">'414'!$P$51:$P$52</definedName>
    <definedName name="OSRRefP22_9x_0" localSheetId="83">'415'!$P$54</definedName>
    <definedName name="OSRRefP22_9x_0" localSheetId="84">'418'!$P$55:$P$56</definedName>
    <definedName name="OSRRefP22_9x_0" localSheetId="87">'424'!$P$47</definedName>
    <definedName name="OSRRefP22_9x_0" localSheetId="88">'425'!$P$53:$P$55</definedName>
    <definedName name="OSRRefP22_9x_0" localSheetId="92">'433'!$P$56</definedName>
    <definedName name="OSRRefP22_9x_0" localSheetId="94">'444'!$P$56</definedName>
    <definedName name="OSRRefP22_9x_0" localSheetId="95">'450'!$P$56</definedName>
    <definedName name="OSRRefP22_9x_0" localSheetId="76">'491'!$P$65</definedName>
    <definedName name="OSRRefP22_9x_0" localSheetId="90">'492'!$P$59</definedName>
    <definedName name="OSRRefP22_9x_0" localSheetId="97">'501'!$P$54:$P$56</definedName>
    <definedName name="OSRRefP22_9x_0" localSheetId="39">'Div 2'!$P$54:$P$55</definedName>
    <definedName name="OSRRefP22_9x_0" localSheetId="47">'Div 3'!$P$204</definedName>
    <definedName name="OSRRefP22_9x_0" localSheetId="74">'Div 4'!$P$66</definedName>
    <definedName name="OSRRefP22_9x_0" localSheetId="96">'Div 5'!$P$54:$P$56</definedName>
    <definedName name="OSRRefP22_9x_0" localSheetId="64">'Div 6'!$P$89</definedName>
    <definedName name="OSRRefP22_9x_0" localSheetId="2">Summary!$P$237</definedName>
    <definedName name="OSRRefP22x_0" localSheetId="40">'200'!$P$20,'200'!$P$22,'200'!$P$24,'200'!$P$26,'200'!$P$28:$P$29</definedName>
    <definedName name="OSRRefP22x_0" localSheetId="41">'201'!$P$20:$P$27,'201'!$P$29:$P$31,'201'!$P$33,'201'!$P$35,'201'!$P$37,'201'!$P$39,'201'!$P$41,'201'!$P$43,'201'!$P$45,'201'!$P$47:$P$49,'201'!$P$51:$P$53,'201'!$P$55,'201'!$P$57:$P$60,'201'!$P$62,'201'!$P$64,'201'!$P$66</definedName>
    <definedName name="OSRRefP22x_0" localSheetId="42">'202'!$P$20:$P$27,'202'!$P$29:$P$32,'202'!$P$34,'202'!$P$36,'202'!$P$38:$P$39,'202'!$P$41,'202'!$P$43,'202'!$P$45:$P$47,'202'!$P$49,'202'!$P$51,'202'!$P$53:$P$55,'202'!$P$57,'202'!$P$59,'202'!$P$61</definedName>
    <definedName name="OSRRefP22x_0" localSheetId="43">'203'!$P$20:$P$29,'203'!$P$31:$P$34,'203'!$P$36,'203'!$P$38,'203'!$P$40,'203'!$P$42,'203'!$P$44,'203'!$P$46,'203'!$P$48,'203'!$P$50:$P$51,'203'!$P$53:$P$54,'203'!$P$56,'203'!$P$58:$P$61,'203'!$P$63,'203'!$P$65,'203'!$P$67</definedName>
    <definedName name="OSRRefP22x_0" localSheetId="44">'204'!$P$20:$P$29,'204'!$P$31:$P$35,'204'!$P$37,'204'!$P$39,'204'!$P$41,'204'!$P$43,'204'!$P$45:$P$47,'204'!$P$49,'204'!$P$51:$P$52,'204'!$P$54,'204'!$P$56:$P$57</definedName>
    <definedName name="OSRRefP22x_0" localSheetId="45">'205'!$P$20:$P$27,'205'!$P$29,'205'!$P$31,'205'!$P$33,'205'!$P$35:$P$36,'205'!$P$38,'205'!$P$40:$P$42,'205'!$P$44,'205'!$P$46</definedName>
    <definedName name="OSRRefP22x_0" localSheetId="46">'206'!$P$20:$P$26,'206'!$P$28:$P$31,'206'!$P$33,'206'!$P$35,'206'!$P$37,'206'!$P$39:$P$40,'206'!$P$42,'206'!$P$44</definedName>
    <definedName name="OSRRefP22x_0" localSheetId="48">'300'!$P$163:$P$172,'300'!$P$174:$P$180,'300'!$P$182,'300'!$P$184:$P$185,'300'!$P$187,'300'!$P$189:$P$190,'300'!$P$192:$P$193,'300'!$P$195,'300'!$P$197,'300'!$P$199,'300'!$P$201:$P$202,'300'!$P$204,'300'!$P$206,'300'!$P$208,'300'!$P$210,'300'!$P$212,'300'!$P$214:$P$217,'300'!$P$219:$P$221,'300'!$P$223:$P$226,'300'!$P$228:$P$229,'300'!$P$231:$P$237,'300'!$P$239:$P$240,'300'!$P$242,'300'!$P$244:$P$246,'300'!$P$248</definedName>
    <definedName name="OSRRefP22x_0" localSheetId="49">'300 &amp; 317'!$P$188:$P$197,'300 &amp; 317'!$P$199:$P$205,'300 &amp; 317'!$P$207,'300 &amp; 317'!$P$209:$P$210,'300 &amp; 317'!$P$212,'300 &amp; 317'!$P$214:$P$215,'300 &amp; 317'!$P$217:$P$218,'300 &amp; 317'!$P$220,'300 &amp; 317'!$P$222,'300 &amp; 317'!$P$224,'300 &amp; 317'!$P$226:$P$227,'300 &amp; 317'!$P$229,'300 &amp; 317'!$P$231,'300 &amp; 317'!$P$233,'300 &amp; 317'!$P$235,'300 &amp; 317'!$P$237,'300 &amp; 317'!$P$239:$P$242,'300 &amp; 317'!$P$244:$P$246,'300 &amp; 317'!$P$248:$P$251,'300 &amp; 317'!$P$253:$P$254,'300 &amp; 317'!$P$256:$P$262,'300 &amp; 317'!$P$264:$P$265,'300 &amp; 317'!$P$267,'300 &amp; 317'!$P$269:$P$271,'300 &amp; 317'!$P$273</definedName>
    <definedName name="OSRRefP22x_0" localSheetId="50">'301'!$P$20:$P$29,'301'!$P$31:$P$37,'301'!$P$39,'301'!$P$41:$P$42,'301'!$P$44,'301'!$P$46:$P$47,'301'!$P$49:$P$50,'301'!$P$52,'301'!$P$54,'301'!$P$56,'301'!$P$58,'301'!$P$60,'301'!$P$62,'301'!$P$64,'301'!$P$66,'301'!$P$68:$P$71,'301'!$P$73:$P$75,'301'!$P$77,'301'!$P$79:$P$84,'301'!$P$86,'301'!$P$88,'301'!$P$90:$P$92,'301'!$P$94</definedName>
    <definedName name="OSRRefP22x_0" localSheetId="51">'306'!$P$20:$P$28,'306'!$P$30:$P$35,'306'!$P$37,'306'!$P$39,'306'!$P$41,'306'!$P$43,'306'!$P$45:$P$46,'306'!$P$48:$P$50,'306'!$P$52,'306'!$P$54</definedName>
    <definedName name="OSRRefP22x_0" localSheetId="53">'307'!$P$70:$P$77,'307'!$P$79:$P$82,'307'!$P$84,'307'!$P$86,'307'!$P$88:$P$89,'307'!$P$91,'307'!$P$93,'307'!$P$95:$P$96,'307'!$P$98:$P$99,'307'!$P$101:$P$103,'307'!$P$105,'307'!$P$107</definedName>
    <definedName name="OSRRefP22x_0" localSheetId="55">'308'!$P$64:$P$72,'308'!$P$74:$P$79,'308'!$P$81,'308'!$P$83:$P$84,'308'!$P$86,'308'!$P$88,'308'!$P$90:$P$91,'308'!$P$93,'308'!$P$95,'308'!$P$97:$P$98,'308'!$P$100,'308'!$P$102:$P$104,'308'!$P$106:$P$107,'308'!$P$109,'308'!$P$111</definedName>
    <definedName name="OSRRefP22x_0" localSheetId="67">'309'!$P$24:$P$31,'309'!$P$33:$P$37,'309'!$P$39,'309'!$P$41,'309'!$P$43,'309'!$P$45,'309'!$P$47,'309'!$P$49,'309'!$P$51,'309'!$P$53:$P$54,'309'!$P$56:$P$58,'309'!$P$60:$P$62,'309'!$P$64</definedName>
    <definedName name="OSRRefP22x_0" localSheetId="66">'310'!$P$30:$P$37,'310'!$P$39:$P$44,'310'!$P$46,'310'!$P$48,'310'!$P$50,'310'!$P$52:$P$53,'310'!$P$55,'310'!$P$57,'310'!$P$59,'310'!$P$61,'310'!$P$63,'310'!$P$65,'310'!$P$67,'310'!$P$69,'310'!$P$71:$P$73,'310'!$P$75,'310'!$P$77:$P$80,'310'!$P$82,'310'!$P$84:$P$90,'310'!$P$92,'310'!$P$94,'310'!$P$96</definedName>
    <definedName name="OSRRefP22x_0" localSheetId="75">'310 &amp; 491'!$P$37:$P$45,'310 &amp; 491'!$P$47:$P$53,'310 &amp; 491'!$P$55,'310 &amp; 491'!$P$57,'310 &amp; 491'!$P$59,'310 &amp; 491'!$P$61:$P$63,'310 &amp; 491'!$P$65,'310 &amp; 491'!$P$67,'310 &amp; 491'!$P$69,'310 &amp; 491'!$P$71,'310 &amp; 491'!$P$73:$P$74,'310 &amp; 491'!$P$76:$P$77,'310 &amp; 491'!$P$79,'310 &amp; 491'!$P$81,'310 &amp; 491'!$P$83,'310 &amp; 491'!$P$85,'310 &amp; 491'!$P$87:$P$89,'310 &amp; 491'!$P$91:$P$92,'310 &amp; 491'!$P$94:$P$98,'310 &amp; 491'!$P$100:$P$101,'310 &amp; 491'!$P$103:$P$111,'310 &amp; 491'!$P$113,'310 &amp; 491'!$P$115,'310 &amp; 491'!$P$117:$P$119,'310 &amp; 491'!$P$121</definedName>
    <definedName name="OSRRefP22x_0" localSheetId="56">'311'!$P$63:$P$71,'311'!$P$73:$P$78,'311'!$P$80,'311'!$P$82:$P$83,'311'!$P$85,'311'!$P$87,'311'!$P$89:$P$90,'311'!$P$92,'311'!$P$94,'311'!$P$96:$P$97,'311'!$P$99,'311'!$P$101:$P$103,'311'!$P$105:$P$106,'311'!$P$108,'311'!$P$110</definedName>
    <definedName name="OSRRefP22x_0" localSheetId="68">'313'!$P$27:$P$34,'313'!$P$36:$P$40,'313'!$P$42,'313'!$P$44,'313'!$P$46,'313'!$P$48,'313'!$P$50,'313'!$P$52,'313'!$P$54:$P$56,'313'!$P$58,'313'!$P$60:$P$64,'313'!$P$66,'313'!$P$68</definedName>
    <definedName name="OSRRefP22x_0" localSheetId="54">'314'!$P$55:$P$61,'314'!$P$63:$P$65,'314'!$P$67,'314'!$P$69:$P$70,'314'!$P$72,'314'!$P$74,'314'!$P$76,'314'!$P$78</definedName>
    <definedName name="OSRRefP22x_0" localSheetId="59">'315'!$P$81:$P$88,'315'!$P$90:$P$95,'315'!$P$97,'315'!$P$99:$P$100,'315'!$P$102,'315'!$P$104:$P$105,'315'!$P$107,'315'!$P$109:$P$110,'315'!$P$112:$P$113,'315'!$P$115:$P$119,'315'!$P$121,'315'!$P$123,'315'!$P$125:$P$126</definedName>
    <definedName name="OSRRefP22x_0" localSheetId="62">'316'!$P$32:$P$39,'316'!$P$41:$P$43,'316'!$P$45,'316'!$P$47,'316'!$P$49,'316'!$P$51,'316'!$P$53:$P$54,'316'!$P$56,'316'!$P$58:$P$60,'316'!$P$62,'316'!$P$64:$P$69,'316'!$P$71,'316'!$P$73,'316'!$P$75</definedName>
    <definedName name="OSRRefP22x_0" localSheetId="65">'317'!$P$58:$P$66,'317'!$P$68:$P$72,'317'!$P$74,'317'!$P$76,'317'!$P$78,'317'!$P$80:$P$81,'317'!$P$83,'317'!$P$85,'317'!$P$87,'317'!$P$89,'317'!$P$91:$P$93,'317'!$P$95,'317'!$P$97,'317'!$P$99</definedName>
    <definedName name="OSRRefP22x_0" localSheetId="63">'320'!$P$28:$P$34,'320'!$P$36:$P$38,'320'!$P$40,'320'!$P$42,'320'!$P$44:$P$45,'320'!$P$47,'320'!$P$49,'320'!$P$51:$P$52,'320'!$P$54</definedName>
    <definedName name="OSRRefP22x_0" localSheetId="69">'321'!$P$24:$P$31,'321'!$P$33:$P$37,'321'!$P$39,'321'!$P$41,'321'!$P$43,'321'!$P$45,'321'!$P$47:$P$49,'321'!$P$51,'321'!$P$53:$P$55,'321'!$P$57:$P$60,'321'!$P$62,'321'!$P$64</definedName>
    <definedName name="OSRRefP22x_0" localSheetId="70">'322'!$P$24:$P$31,'322'!$P$33:$P$36,'322'!$P$38,'322'!$P$40,'322'!$P$42,'322'!$P$44,'322'!$P$46,'322'!$P$48,'322'!$P$50:$P$51,'322'!$P$53:$P$55,'322'!$P$57:$P$61,'322'!$P$63,'322'!$P$65</definedName>
    <definedName name="OSRRefP22x_0" localSheetId="72">'325'!$P$24:$P$31,'325'!$P$33:$P$37,'325'!$P$39,'325'!$P$41,'325'!$P$43,'325'!$P$45:$P$46,'325'!$P$48,'325'!$P$50,'325'!$P$52,'325'!$P$54,'325'!$P$56,'325'!$P$58:$P$60,'325'!$P$62:$P$64,'325'!$P$66,'325'!$P$68:$P$72,'325'!$P$74,'325'!$P$76</definedName>
    <definedName name="OSRRefP22x_0" localSheetId="60">'326'!$P$59:$P$66,'326'!$P$68:$P$72,'326'!$P$74,'326'!$P$76,'326'!$P$78,'326'!$P$80,'326'!$P$82,'326'!$P$84,'326'!$P$86,'326'!$P$88,'326'!$P$90,'326'!$P$92,'326'!$P$94:$P$95,'326'!$P$97:$P$99,'326'!$P$101:$P$102,'326'!$P$104:$P$107,'326'!$P$109,'326'!$P$111,'326'!$P$113</definedName>
    <definedName name="OSRRefP22x_0" localSheetId="73">'327'!$P$22,'327'!$P$24,'327'!$P$26</definedName>
    <definedName name="OSRRefP22x_0" localSheetId="52">'330'!$P$78:$P$85,'330'!$P$87:$P$91,'330'!$P$93,'330'!$P$95,'330'!$P$97:$P$98,'330'!$P$100,'330'!$P$102,'330'!$P$104,'330'!$P$106:$P$107,'330'!$P$109:$P$110,'330'!$P$112,'330'!$P$114:$P$116,'330'!$P$118,'330'!$P$120,'330'!$P$122</definedName>
    <definedName name="OSRRefP22x_0" localSheetId="58">'331'!$P$88:$P$95,'331'!$P$97:$P$102,'331'!$P$104,'331'!$P$106,'331'!$P$108,'331'!$P$110:$P$111,'331'!$P$113,'331'!$P$115:$P$116,'331'!$P$118,'331'!$P$120,'331'!$P$122,'331'!$P$124,'331'!$P$126,'331'!$P$128:$P$129,'331'!$P$131:$P$132,'331'!$P$134:$P$136,'331'!$P$138:$P$139,'331'!$P$141:$P$146,'331'!$P$148,'331'!$P$150,'331'!$P$152:$P$153,'331'!$P$155</definedName>
    <definedName name="OSRRefP22x_0" localSheetId="61">'332'!$P$40:$P$47,'332'!$P$49:$P$52,'332'!$P$54,'332'!$P$56,'332'!$P$58,'332'!$P$60,'332'!$P$62:$P$63,'332'!$P$65,'332'!$P$67,'332'!$P$69:$P$71,'332'!$P$73,'332'!$P$75:$P$80,'332'!$P$82,'332'!$P$84,'332'!$P$86</definedName>
    <definedName name="OSRRefP22x_0" localSheetId="77">'405'!$P$24:$P$31,'405'!$P$33:$P$36,'405'!$P$38,'405'!$P$40,'405'!$P$42,'405'!$P$44:$P$45,'405'!$P$47,'405'!$P$49,'405'!$P$51,'405'!$P$53,'405'!$P$55:$P$56,'405'!$P$58,'405'!$P$60:$P$62,'405'!$P$64:$P$65,'405'!$P$67:$P$73,'405'!$P$75,'405'!$P$77,'405'!$P$79</definedName>
    <definedName name="OSRRefP22x_0" localSheetId="78">'406'!$P$24:$P$31,'406'!$P$33:$P$37,'406'!$P$39,'406'!$P$41,'406'!$P$43,'406'!$P$45,'406'!$P$47,'406'!$P$49,'406'!$P$51,'406'!$P$53:$P$55,'406'!$P$57,'406'!$P$59:$P$63,'406'!$P$65,'406'!$P$67</definedName>
    <definedName name="OSRRefP22x_0" localSheetId="79">'411'!$P$20:$P$28,'411'!$P$30:$P$35,'411'!$P$37,'411'!$P$39,'411'!$P$41:$P$43,'411'!$P$45,'411'!$P$47,'411'!$P$49,'411'!$P$51,'411'!$P$53,'411'!$P$55,'411'!$P$57,'411'!$P$59:$P$60,'411'!$P$62:$P$66,'411'!$P$68,'411'!$P$70:$P$75,'411'!$P$77,'411'!$P$79,'411'!$P$81:$P$83,'411'!$P$85</definedName>
    <definedName name="OSRRefP22x_0" localSheetId="80">'412'!$P$23:$P$30,'412'!$P$32:$P$37,'412'!$P$39,'412'!$P$41,'412'!$P$43,'412'!$P$45,'412'!$P$47,'412'!$P$49,'412'!$P$51,'412'!$P$53:$P$54,'412'!$P$56:$P$57,'412'!$P$59:$P$64,'412'!$P$66,'412'!$P$68</definedName>
    <definedName name="OSRRefP22x_0" localSheetId="81">'413'!$P$24:$P$31,'413'!$P$33:$P$36,'413'!$P$38,'413'!$P$40,'413'!$P$42,'413'!$P$44,'413'!$P$46,'413'!$P$48:$P$50,'413'!$P$52:$P$53,'413'!$P$55:$P$59,'413'!$P$61</definedName>
    <definedName name="OSRRefP22x_0" localSheetId="82">'414'!$P$24:$P$30,'414'!$P$32:$P$35,'414'!$P$37,'414'!$P$39,'414'!$P$41,'414'!$P$43,'414'!$P$45,'414'!$P$47,'414'!$P$49,'414'!$P$51:$P$52,'414'!$P$54,'414'!$P$56,'414'!$P$58,'414'!$P$60:$P$66,'414'!$P$68,'414'!$P$70</definedName>
    <definedName name="OSRRefP22x_0" localSheetId="83">'415'!$P$24:$P$31,'415'!$P$33:$P$37,'415'!$P$39,'415'!$P$41,'415'!$P$43,'415'!$P$45:$P$46,'415'!$P$48,'415'!$P$50,'415'!$P$52,'415'!$P$54,'415'!$P$56,'415'!$P$58:$P$60,'415'!$P$62:$P$66,'415'!$P$68:$P$69,'415'!$P$71:$P$78,'415'!$P$80,'415'!$P$82,'415'!$P$84</definedName>
    <definedName name="OSRRefP22x_0" localSheetId="84">'418'!$P$24:$P$31,'418'!$P$33:$P$38,'418'!$P$40,'418'!$P$42,'418'!$P$44,'418'!$P$46:$P$47,'418'!$P$49,'418'!$P$51,'418'!$P$53,'418'!$P$55:$P$56,'418'!$P$58:$P$60,'418'!$P$62:$P$64,'418'!$P$66:$P$67,'418'!$P$69:$P$74,'418'!$P$76,'418'!$P$78</definedName>
    <definedName name="OSRRefP22x_0" localSheetId="85">'420'!$P$23:$P$29,'420'!$P$31:$P$34,'420'!$P$36,'420'!$P$38,'420'!$P$40:$P$41,'420'!$P$43</definedName>
    <definedName name="OSRRefP22x_0" localSheetId="86">'423'!$P$21:$P$28,'423'!$P$30,'423'!$P$32,'423'!$P$34,'423'!$P$36,'423'!$P$38</definedName>
    <definedName name="OSRRefP22x_0" localSheetId="87">'424'!$P$23:$P$24,'424'!$P$26:$P$30,'424'!$P$32,'424'!$P$34,'424'!$P$36,'424'!$P$38,'424'!$P$40,'424'!$P$42,'424'!$P$44:$P$45,'424'!$P$47,'424'!$P$49,'424'!$P$51:$P$53,'424'!$P$55</definedName>
    <definedName name="OSRRefP22x_0" localSheetId="88">'425'!$P$24:$P$31,'425'!$P$33:$P$37,'425'!$P$39,'425'!$P$41,'425'!$P$43,'425'!$P$45,'425'!$P$47,'425'!$P$49,'425'!$P$51,'425'!$P$53:$P$55,'425'!$P$57,'425'!$P$59:$P$60,'425'!$P$62:$P$68,'425'!$P$70,'425'!$P$72</definedName>
    <definedName name="OSRRefP22x_0" localSheetId="91">'430'!$P$20:$P$27,'430'!$P$29,'430'!$P$31,'430'!$P$33,'430'!$P$35:$P$36,'430'!$P$38,'430'!$P$40,'430'!$P$42</definedName>
    <definedName name="OSRRefP22x_0" localSheetId="92">'433'!$P$25:$P$33,'433'!$P$35:$P$40,'433'!$P$42,'433'!$P$44,'433'!$P$46,'433'!$P$48,'433'!$P$50,'433'!$P$52,'433'!$P$54,'433'!$P$56,'433'!$P$58,'433'!$P$60:$P$62,'433'!$P$64:$P$66,'433'!$P$68:$P$75,'433'!$P$77,'433'!$P$79,'433'!$P$81</definedName>
    <definedName name="OSRRefP22x_0" localSheetId="93">'435'!$P$25:$P$27,'435'!$P$29:$P$31,'435'!$P$33,'435'!$P$35,'435'!$P$37,'435'!$P$39,'435'!$P$41:$P$43,'435'!$P$45</definedName>
    <definedName name="OSRRefP22x_0" localSheetId="94">'444'!$P$25:$P$33,'444'!$P$35:$P$40,'444'!$P$42,'444'!$P$44,'444'!$P$46,'444'!$P$48,'444'!$P$50,'444'!$P$52,'444'!$P$54,'444'!$P$56,'444'!$P$58,'444'!$P$60:$P$62,'444'!$P$64:$P$67,'444'!$P$69,'444'!$P$71:$P$79,'444'!$P$81,'444'!$P$83,'444'!$P$85</definedName>
    <definedName name="OSRRefP22x_0" localSheetId="95">'450'!$P$25:$P$33,'450'!$P$35:$P$40,'450'!$P$42,'450'!$P$44,'450'!$P$46,'450'!$P$48,'450'!$P$50,'450'!$P$52,'450'!$P$54,'450'!$P$56,'450'!$P$58,'450'!$P$60,'450'!$P$62,'450'!$P$64:$P$66,'450'!$P$68:$P$73,'450'!$P$75,'450'!$P$77,'450'!$P$79</definedName>
    <definedName name="OSRRefP22x_0" localSheetId="89">'455'!$P$20:$P$26,'455'!$P$28:$P$29</definedName>
    <definedName name="OSRRefP22x_0" localSheetId="76">'491'!$P$31:$P$39,'491'!$P$41:$P$47,'491'!$P$49,'491'!$P$51,'491'!$P$53,'491'!$P$55:$P$57,'491'!$P$59,'491'!$P$61,'491'!$P$63,'491'!$P$65,'491'!$P$67:$P$68,'491'!$P$70,'491'!$P$72,'491'!$P$74,'491'!$P$76,'491'!$P$78:$P$80,'491'!$P$82:$P$83,'491'!$P$85:$P$89,'491'!$P$91:$P$92,'491'!$P$94:$P$102,'491'!$P$104,'491'!$P$106,'491'!$P$108:$P$110,'491'!$P$112</definedName>
    <definedName name="OSRRefP22x_0" localSheetId="90">'492'!$P$27:$P$35,'492'!$P$37:$P$43,'492'!$P$45,'492'!$P$47,'492'!$P$49,'492'!$P$51,'492'!$P$53,'492'!$P$55,'492'!$P$57,'492'!$P$59,'492'!$P$61,'492'!$P$63,'492'!$P$65:$P$67,'492'!$P$69:$P$72,'492'!$P$74,'492'!$P$76:$P$84,'492'!$P$86,'492'!$P$88,'492'!$P$90</definedName>
    <definedName name="OSRRefP22x_0" localSheetId="97">'501'!$P$21:$P$29,'501'!$P$31:$P$35,'501'!$P$37,'501'!$P$39,'501'!$P$41,'501'!$P$43:$P$44,'501'!$P$46,'501'!$P$48,'501'!$P$50:$P$52,'501'!$P$54:$P$56,'501'!$P$58</definedName>
    <definedName name="OSRRefP22x_0" localSheetId="39">'Div 2'!$P$20:$P$30,'Div 2'!$P$32:$P$38,'Div 2'!$P$40,'Div 2'!$P$42,'Div 2'!$P$44,'Div 2'!$P$46,'Div 2'!$P$48,'Div 2'!$P$50,'Div 2'!$P$52,'Div 2'!$P$54:$P$55,'Div 2'!$P$57,'Div 2'!$P$59,'Div 2'!$P$61:$P$64,'Div 2'!$P$66:$P$68,'Div 2'!$P$70:$P$71,'Div 2'!$P$73,'Div 2'!$P$75:$P$79,'Div 2'!$P$81:$P$82,'Div 2'!$P$84,'Div 2'!$P$86:$P$87</definedName>
    <definedName name="OSRRefP22x_0" localSheetId="47">'Div 3'!$P$168:$P$177,'Div 3'!$P$179:$P$185,'Div 3'!$P$187,'Div 3'!$P$189:$P$190,'Div 3'!$P$192,'Div 3'!$P$194:$P$195,'Div 3'!$P$197:$P$198,'Div 3'!$P$200,'Div 3'!$P$202,'Div 3'!$P$204,'Div 3'!$P$206:$P$207,'Div 3'!$P$209,'Div 3'!$P$211,'Div 3'!$P$213,'Div 3'!$P$215,'Div 3'!$P$217,'Div 3'!$P$219,'Div 3'!$P$221:$P$224,'Div 3'!$P$226:$P$228,'Div 3'!$P$230:$P$234,'Div 3'!$P$236:$P$237,'Div 3'!$P$239:$P$245,'Div 3'!$P$247:$P$248,'Div 3'!$P$250,'Div 3'!$P$252:$P$254,'Div 3'!$P$256</definedName>
    <definedName name="OSRRefP22x_0" localSheetId="74">'Div 4'!$P$32:$P$40,'Div 4'!$P$42:$P$48,'Div 4'!$P$50,'Div 4'!$P$52,'Div 4'!$P$54,'Div 4'!$P$56:$P$58,'Div 4'!$P$60,'Div 4'!$P$62,'Div 4'!$P$64,'Div 4'!$P$66,'Div 4'!$P$68:$P$69,'Div 4'!$P$71,'Div 4'!$P$73,'Div 4'!$P$75,'Div 4'!$P$77,'Div 4'!$P$79,'Div 4'!$P$81:$P$83,'Div 4'!$P$85:$P$86,'Div 4'!$P$88:$P$92,'Div 4'!$P$94:$P$95,'Div 4'!$P$97:$P$105,'Div 4'!$P$107,'Div 4'!$P$109,'Div 4'!$P$111:$P$113,'Div 4'!$P$115</definedName>
    <definedName name="OSRRefP22x_0" localSheetId="96">'Div 5'!$P$21:$P$29,'Div 5'!$P$31:$P$35,'Div 5'!$P$37,'Div 5'!$P$39,'Div 5'!$P$41,'Div 5'!$P$43:$P$44,'Div 5'!$P$46,'Div 5'!$P$48,'Div 5'!$P$50:$P$52,'Div 5'!$P$54:$P$56,'Div 5'!$P$58</definedName>
    <definedName name="OSRRefP22x_0" localSheetId="64">'Div 6'!$P$58:$P$66,'Div 6'!$P$68:$P$72,'Div 6'!$P$74,'Div 6'!$P$76,'Div 6'!$P$78,'Div 6'!$P$80:$P$81,'Div 6'!$P$83,'Div 6'!$P$85,'Div 6'!$P$87,'Div 6'!$P$89,'Div 6'!$P$91:$P$93,'Div 6'!$P$95,'Div 6'!$P$97,'Div 6'!$P$99</definedName>
    <definedName name="OSRRefP22x_0" localSheetId="2">Summary!$P$200:$P$209,Summary!$P$211:$P$217,Summary!$P$219,Summary!$P$221:$P$222,Summary!$P$224,Summary!$P$226:$P$228,Summary!$P$230:$P$231,Summary!$P$233,Summary!$P$235,Summary!$P$237,Summary!$P$239:$P$240,Summary!$P$242:$P$243,Summary!$P$245,Summary!$P$247,Summary!$P$249,Summary!$P$251,Summary!$P$253,Summary!$P$255,Summary!$P$257:$P$260,Summary!$P$262:$P$264,Summary!$P$266:$P$270,Summary!$P$272:$P$273,Summary!$P$275:$P$283,Summary!$P$285:$P$286,Summary!$P$288,Summary!$P$290:$P$292,Summary!$P$294</definedName>
    <definedName name="OSRRefP25x_0" localSheetId="48">'300'!$P$251:$P$259</definedName>
    <definedName name="OSRRefP25x_0" localSheetId="49">'300 &amp; 317'!$P$276:$P$287</definedName>
    <definedName name="OSRRefP25x_0" localSheetId="50">'301'!$P$97:$P$99</definedName>
    <definedName name="OSRRefP25x_0" localSheetId="53">'307'!$P$110</definedName>
    <definedName name="OSRRefP25x_0" localSheetId="55">'308'!$P$114:$P$116</definedName>
    <definedName name="OSRRefP25x_0" localSheetId="75">'310 &amp; 491'!$P$124:$P$126</definedName>
    <definedName name="OSRRefP25x_0" localSheetId="56">'311'!$P$113:$P$115</definedName>
    <definedName name="OSRRefP25x_0" localSheetId="59">'315'!$P$129:$P$130</definedName>
    <definedName name="OSRRefP25x_0" localSheetId="62">'316'!$P$78</definedName>
    <definedName name="OSRRefP25x_0" localSheetId="65">'317'!$P$102:$P$105</definedName>
    <definedName name="OSRRefP25x_0" localSheetId="63">'320'!$P$57:$P$61</definedName>
    <definedName name="OSRRefP25x_0" localSheetId="52">'330'!$P$125</definedName>
    <definedName name="OSRRefP25x_0" localSheetId="58">'331'!$P$158:$P$159</definedName>
    <definedName name="OSRRefP25x_0" localSheetId="61">'332'!$P$89:$P$94</definedName>
    <definedName name="OSRRefP25x_0" localSheetId="79">'411'!$P$88:$P$89</definedName>
    <definedName name="OSRRefP25x_0" localSheetId="81">'413'!$P$64</definedName>
    <definedName name="OSRRefP25x_0" localSheetId="83">'415'!$P$87</definedName>
    <definedName name="OSRRefP25x_0" localSheetId="84">'418'!$P$81</definedName>
    <definedName name="OSRRefP25x_0" localSheetId="86">'423'!$P$41</definedName>
    <definedName name="OSRRefP25x_0" localSheetId="87">'424'!$P$58</definedName>
    <definedName name="OSRRefP25x_0" localSheetId="88">'425'!$P$75</definedName>
    <definedName name="OSRRefP25x_0" localSheetId="89">'455'!$P$32:$P$33</definedName>
    <definedName name="OSRRefP25x_0" localSheetId="76">'491'!$P$115:$P$117</definedName>
    <definedName name="OSRRefP25x_0" localSheetId="97">'501'!$P$61</definedName>
    <definedName name="OSRRefP25x_0" localSheetId="47">'Div 3'!$P$259:$P$267</definedName>
    <definedName name="OSRRefP25x_0" localSheetId="74">'Div 4'!$P$118:$P$120</definedName>
    <definedName name="OSRRefP25x_0" localSheetId="96">'Div 5'!$P$61</definedName>
    <definedName name="OSRRefP25x_0" localSheetId="64">'Div 6'!$P$102:$P$105</definedName>
    <definedName name="OSRRefP25x_0" localSheetId="2">Summary!$P$297:$P$309</definedName>
    <definedName name="OSRRefT13x_0" localSheetId="48">'300'!$T$13:$T$105</definedName>
    <definedName name="OSRRefT13x_0" localSheetId="49">'300 &amp; 317'!$T$13:$T$123</definedName>
    <definedName name="OSRRefT13x_0" localSheetId="53">'307'!$T$13:$T$42</definedName>
    <definedName name="OSRRefT13x_0" localSheetId="55">'308'!$T$13:$T$41</definedName>
    <definedName name="OSRRefT13x_0" localSheetId="67">'309'!$T$13:$T$14</definedName>
    <definedName name="OSRRefT13x_0" localSheetId="66">'310'!$T$13:$T$20</definedName>
    <definedName name="OSRRefT13x_0" localSheetId="75">'310 &amp; 491'!$T$13:$T$27</definedName>
    <definedName name="OSRRefT13x_0" localSheetId="56">'311'!$T$13:$T$40</definedName>
    <definedName name="OSRRefT13x_0" localSheetId="68">'313'!$T$13:$T$17</definedName>
    <definedName name="OSRRefT13x_0" localSheetId="54">'314'!$T$13:$T$32</definedName>
    <definedName name="OSRRefT13x_0" localSheetId="59">'315'!$T$13:$T$50</definedName>
    <definedName name="OSRRefT13x_0" localSheetId="62">'316'!$T$13:$T$24</definedName>
    <definedName name="OSRRefT13x_0" localSheetId="65">'317'!$T$13:$T$37</definedName>
    <definedName name="OSRRefT13x_0" localSheetId="63">'320'!$T$13:$T$15</definedName>
    <definedName name="OSRRefT13x_0" localSheetId="69">'321'!$T$13:$T$14</definedName>
    <definedName name="OSRRefT13x_0" localSheetId="70">'322'!$T$13:$T$14</definedName>
    <definedName name="OSRRefT13x_0" localSheetId="57">'324'!$T$13:$T$15</definedName>
    <definedName name="OSRRefT13x_0" localSheetId="72">'325'!$T$13:$T$14</definedName>
    <definedName name="OSRRefT13x_0" localSheetId="60">'326'!$T$13:$T$37</definedName>
    <definedName name="OSRRefT13x_0" localSheetId="73">'327'!$T$13</definedName>
    <definedName name="OSRRefT13x_0" localSheetId="52">'330'!$T$13:$T$47</definedName>
    <definedName name="OSRRefT13x_0" localSheetId="58">'331'!$T$13:$T$53</definedName>
    <definedName name="OSRRefT13x_0" localSheetId="61">'332'!$T$13:$T$27</definedName>
    <definedName name="OSRRefT13x_0" localSheetId="77">'405'!$T$13:$T$14</definedName>
    <definedName name="OSRRefT13x_0" localSheetId="78">'406'!$T$13:$T$14</definedName>
    <definedName name="OSRRefT13x_0" localSheetId="80">'412'!$T$13:$T$14</definedName>
    <definedName name="OSRRefT13x_0" localSheetId="81">'413'!$T$13:$T$14</definedName>
    <definedName name="OSRRefT13x_0" localSheetId="82">'414'!$T$13:$T$14</definedName>
    <definedName name="OSRRefT13x_0" localSheetId="83">'415'!$T$13:$T$14</definedName>
    <definedName name="OSRRefT13x_0" localSheetId="84">'418'!$T$13:$T$14</definedName>
    <definedName name="OSRRefT13x_0" localSheetId="85">'420'!$T$13:$T$14</definedName>
    <definedName name="OSRRefT13x_0" localSheetId="87">'424'!$T$13</definedName>
    <definedName name="OSRRefT13x_0" localSheetId="88">'425'!$T$13:$T$14</definedName>
    <definedName name="OSRRefT13x_0" localSheetId="92">'433'!$T$13:$T$15</definedName>
    <definedName name="OSRRefT13x_0" localSheetId="93">'435'!$T$13:$T$15</definedName>
    <definedName name="OSRRefT13x_0" localSheetId="94">'444'!$T$13:$T$15</definedName>
    <definedName name="OSRRefT13x_0" localSheetId="95">'450'!$T$13:$T$15</definedName>
    <definedName name="OSRRefT13x_0" localSheetId="76">'491'!$T$13:$T$21</definedName>
    <definedName name="OSRRefT13x_0" localSheetId="90">'492'!$T$13:$T$17</definedName>
    <definedName name="OSRRefT13x_0" localSheetId="97">'501'!$T$13</definedName>
    <definedName name="OSRRefT13x_0" localSheetId="47">'Div 3'!$T$13:$T$108</definedName>
    <definedName name="OSRRefT13x_0" localSheetId="74">'Div 4'!$T$13:$T$22</definedName>
    <definedName name="OSRRefT13x_0" localSheetId="96">'Div 5'!$T$13</definedName>
    <definedName name="OSRRefT13x_0" localSheetId="64">'Div 6'!$T$13:$T$37</definedName>
    <definedName name="OSRRefT13x_0" localSheetId="2">Summary!$T$13:$T$133</definedName>
    <definedName name="OSRRefT16x_0" localSheetId="48">'300'!$T$108:$T$157</definedName>
    <definedName name="OSRRefT16x_0" localSheetId="49">'300 &amp; 317'!$T$126:$T$182</definedName>
    <definedName name="OSRRefT16x_0" localSheetId="53">'307'!$T$45:$T$64</definedName>
    <definedName name="OSRRefT16x_0" localSheetId="55">'308'!$T$44:$T$58</definedName>
    <definedName name="OSRRefT16x_0" localSheetId="67">'309'!$T$17:$T$18</definedName>
    <definedName name="OSRRefT16x_0" localSheetId="66">'310'!$T$23:$T$24</definedName>
    <definedName name="OSRRefT16x_0" localSheetId="75">'310 &amp; 491'!$T$30:$T$31</definedName>
    <definedName name="OSRRefT16x_0" localSheetId="56">'311'!$T$43:$T$57</definedName>
    <definedName name="OSRRefT16x_0" localSheetId="68">'313'!$T$20:$T$21</definedName>
    <definedName name="OSRRefT16x_0" localSheetId="54">'314'!$T$35:$T$49</definedName>
    <definedName name="OSRRefT16x_0" localSheetId="59">'315'!$T$53:$T$75</definedName>
    <definedName name="OSRRefT16x_0" localSheetId="65">'317'!$T$40:$T$52</definedName>
    <definedName name="OSRRefT16x_0" localSheetId="63">'320'!$T$18:$T$22</definedName>
    <definedName name="OSRRefT16x_0" localSheetId="69">'321'!$T$17:$T$18</definedName>
    <definedName name="OSRRefT16x_0" localSheetId="70">'322'!$T$17:$T$18</definedName>
    <definedName name="OSRRefT16x_0" localSheetId="57">'324'!$T$18:$T$19</definedName>
    <definedName name="OSRRefT16x_0" localSheetId="72">'325'!$T$17:$T$18</definedName>
    <definedName name="OSRRefT16x_0" localSheetId="60">'326'!$T$40:$T$53</definedName>
    <definedName name="OSRRefT16x_0" localSheetId="73">'327'!$T$16</definedName>
    <definedName name="OSRRefT16x_0" localSheetId="52">'330'!$T$50:$T$72</definedName>
    <definedName name="OSRRefT16x_0" localSheetId="58">'331'!$T$56:$T$82</definedName>
    <definedName name="OSRRefT16x_0" localSheetId="61">'332'!$T$30:$T$34</definedName>
    <definedName name="OSRRefT16x_0" localSheetId="77">'405'!$T$17:$T$18</definedName>
    <definedName name="OSRRefT16x_0" localSheetId="78">'406'!$T$17:$T$18</definedName>
    <definedName name="OSRRefT16x_0" localSheetId="80">'412'!$T$17</definedName>
    <definedName name="OSRRefT16x_0" localSheetId="81">'413'!$T$17:$T$18</definedName>
    <definedName name="OSRRefT16x_0" localSheetId="82">'414'!$T$17:$T$18</definedName>
    <definedName name="OSRRefT16x_0" localSheetId="83">'415'!$T$17:$T$18</definedName>
    <definedName name="OSRRefT16x_0" localSheetId="84">'418'!$T$17:$T$18</definedName>
    <definedName name="OSRRefT16x_0" localSheetId="85">'420'!$T$17</definedName>
    <definedName name="OSRRefT16x_0" localSheetId="86">'423'!$T$15</definedName>
    <definedName name="OSRRefT16x_0" localSheetId="87">'424'!$T$16:$T$17</definedName>
    <definedName name="OSRRefT16x_0" localSheetId="88">'425'!$T$17:$T$18</definedName>
    <definedName name="OSRRefT16x_0" localSheetId="92">'433'!$T$18:$T$19</definedName>
    <definedName name="OSRRefT16x_0" localSheetId="93">'435'!$T$18:$T$19</definedName>
    <definedName name="OSRRefT16x_0" localSheetId="94">'444'!$T$18:$T$19</definedName>
    <definedName name="OSRRefT16x_0" localSheetId="95">'450'!$T$18:$T$19</definedName>
    <definedName name="OSRRefT16x_0" localSheetId="76">'491'!$T$24:$T$25</definedName>
    <definedName name="OSRRefT16x_0" localSheetId="90">'492'!$T$20:$T$21</definedName>
    <definedName name="OSRRefT16x_0" localSheetId="47">'Div 3'!$T$111:$T$162</definedName>
    <definedName name="OSRRefT16x_0" localSheetId="74">'Div 4'!$T$25:$T$26</definedName>
    <definedName name="OSRRefT16x_0" localSheetId="64">'Div 6'!$T$40:$T$52</definedName>
    <definedName name="OSRRefT16x_0" localSheetId="2">Summary!$T$136:$T$194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'203'!$T$20:$T$29</definedName>
    <definedName name="OSRRefT22_0x_0" localSheetId="44">'204'!$T$20:$T$29</definedName>
    <definedName name="OSRRefT22_0x_0" localSheetId="45">'205'!$T$20:$T$27</definedName>
    <definedName name="OSRRefT22_0x_0" localSheetId="46">'206'!$T$20:$T$26</definedName>
    <definedName name="OSRRefT22_0x_0" localSheetId="48">'300'!$T$163:$T$172</definedName>
    <definedName name="OSRRefT22_0x_0" localSheetId="49">'300 &amp; 317'!$T$188:$T$197</definedName>
    <definedName name="OSRRefT22_0x_0" localSheetId="50">'301'!$T$20:$T$29</definedName>
    <definedName name="OSRRefT22_0x_0" localSheetId="51">'306'!$T$20:$T$28</definedName>
    <definedName name="OSRRefT22_0x_0" localSheetId="53">'307'!$T$70:$T$77</definedName>
    <definedName name="OSRRefT22_0x_0" localSheetId="55">'308'!$T$64:$T$72</definedName>
    <definedName name="OSRRefT22_0x_0" localSheetId="67">'309'!$T$24:$T$31</definedName>
    <definedName name="OSRRefT22_0x_0" localSheetId="66">'310'!$T$30:$T$37</definedName>
    <definedName name="OSRRefT22_0x_0" localSheetId="75">'310 &amp; 491'!$T$37:$T$45</definedName>
    <definedName name="OSRRefT22_0x_0" localSheetId="56">'311'!$T$63:$T$71</definedName>
    <definedName name="OSRRefT22_0x_0" localSheetId="68">'313'!$T$27:$T$34</definedName>
    <definedName name="OSRRefT22_0x_0" localSheetId="54">'314'!$T$55:$T$61</definedName>
    <definedName name="OSRRefT22_0x_0" localSheetId="59">'315'!$T$81:$T$88</definedName>
    <definedName name="OSRRefT22_0x_0" localSheetId="62">'316'!$T$32:$T$39</definedName>
    <definedName name="OSRRefT22_0x_0" localSheetId="65">'317'!$T$58:$T$66</definedName>
    <definedName name="OSRRefT22_0x_0" localSheetId="63">'320'!$T$28:$T$34</definedName>
    <definedName name="OSRRefT22_0x_0" localSheetId="69">'321'!$T$24:$T$31</definedName>
    <definedName name="OSRRefT22_0x_0" localSheetId="70">'322'!$T$24:$T$31</definedName>
    <definedName name="OSRRefT22_0x_0" localSheetId="72">'325'!$T$24:$T$31</definedName>
    <definedName name="OSRRefT22_0x_0" localSheetId="60">'326'!$T$59:$T$66</definedName>
    <definedName name="OSRRefT22_0x_0" localSheetId="73">'327'!$T$22</definedName>
    <definedName name="OSRRefT22_0x_0" localSheetId="52">'330'!$T$78:$T$85</definedName>
    <definedName name="OSRRefT22_0x_0" localSheetId="58">'331'!$T$88:$T$95</definedName>
    <definedName name="OSRRefT22_0x_0" localSheetId="61">'332'!$T$40:$T$47</definedName>
    <definedName name="OSRRefT22_0x_0" localSheetId="77">'405'!$T$24:$T$31</definedName>
    <definedName name="OSRRefT22_0x_0" localSheetId="78">'406'!$T$24:$T$31</definedName>
    <definedName name="OSRRefT22_0x_0" localSheetId="79">'411'!$T$20:$T$28</definedName>
    <definedName name="OSRRefT22_0x_0" localSheetId="80">'412'!$T$23:$T$30</definedName>
    <definedName name="OSRRefT22_0x_0" localSheetId="81">'413'!$T$24:$T$31</definedName>
    <definedName name="OSRRefT22_0x_0" localSheetId="82">'414'!$T$24:$T$30</definedName>
    <definedName name="OSRRefT22_0x_0" localSheetId="83">'415'!$T$24:$T$31</definedName>
    <definedName name="OSRRefT22_0x_0" localSheetId="84">'418'!$T$24:$T$31</definedName>
    <definedName name="OSRRefT22_0x_0" localSheetId="85">'420'!$T$23:$T$29</definedName>
    <definedName name="OSRRefT22_0x_0" localSheetId="86">'423'!$T$21:$T$28</definedName>
    <definedName name="OSRRefT22_0x_0" localSheetId="87">'424'!$T$23:$T$24</definedName>
    <definedName name="OSRRefT22_0x_0" localSheetId="88">'425'!$T$24:$T$31</definedName>
    <definedName name="OSRRefT22_0x_0" localSheetId="91">'430'!$T$20:$T$27</definedName>
    <definedName name="OSRRefT22_0x_0" localSheetId="92">'433'!$T$25:$T$33</definedName>
    <definedName name="OSRRefT22_0x_0" localSheetId="93">'435'!$T$25:$T$27</definedName>
    <definedName name="OSRRefT22_0x_0" localSheetId="94">'444'!$T$25:$T$33</definedName>
    <definedName name="OSRRefT22_0x_0" localSheetId="95">'450'!$T$25:$T$33</definedName>
    <definedName name="OSRRefT22_0x_0" localSheetId="89">'455'!$T$20:$T$26</definedName>
    <definedName name="OSRRefT22_0x_0" localSheetId="76">'491'!$T$31:$T$39</definedName>
    <definedName name="OSRRefT22_0x_0" localSheetId="90">'492'!$T$27:$T$35</definedName>
    <definedName name="OSRRefT22_0x_0" localSheetId="97">'501'!$T$21:$T$29</definedName>
    <definedName name="OSRRefT22_0x_0" localSheetId="39">'Div 2'!$T$20:$T$30</definedName>
    <definedName name="OSRRefT22_0x_0" localSheetId="47">'Div 3'!$T$168:$T$177</definedName>
    <definedName name="OSRRefT22_0x_0" localSheetId="74">'Div 4'!$T$32:$T$40</definedName>
    <definedName name="OSRRefT22_0x_0" localSheetId="96">'Div 5'!$T$21:$T$29</definedName>
    <definedName name="OSRRefT22_0x_0" localSheetId="64">'Div 6'!$T$58:$T$66</definedName>
    <definedName name="OSRRefT22_0x_0" localSheetId="2">Summary!$T$200:$T$209</definedName>
    <definedName name="OSRRefT22_10x_0" localSheetId="41">'201'!$T$51:$T$53</definedName>
    <definedName name="OSRRefT22_10x_0" localSheetId="42">'202'!$T$53:$T$55</definedName>
    <definedName name="OSRRefT22_10x_0" localSheetId="43">'203'!$T$53:$T$54</definedName>
    <definedName name="OSRRefT22_10x_0" localSheetId="44">'204'!$T$56:$T$57</definedName>
    <definedName name="OSRRefT22_10x_0" localSheetId="48">'300'!$T$201:$T$202</definedName>
    <definedName name="OSRRefT22_10x_0" localSheetId="49">'300 &amp; 317'!$T$226:$T$227</definedName>
    <definedName name="OSRRefT22_10x_0" localSheetId="50">'301'!$T$58</definedName>
    <definedName name="OSRRefT22_10x_0" localSheetId="53">'307'!$T$105</definedName>
    <definedName name="OSRRefT22_10x_0" localSheetId="55">'308'!$T$100</definedName>
    <definedName name="OSRRefT22_10x_0" localSheetId="67">'309'!$T$56:$T$58</definedName>
    <definedName name="OSRRefT22_10x_0" localSheetId="66">'310'!$T$63</definedName>
    <definedName name="OSRRefT22_10x_0" localSheetId="75">'310 &amp; 491'!$T$73:$T$74</definedName>
    <definedName name="OSRRefT22_10x_0" localSheetId="56">'311'!$T$99</definedName>
    <definedName name="OSRRefT22_10x_0" localSheetId="68">'313'!$T$60:$T$64</definedName>
    <definedName name="OSRRefT22_10x_0" localSheetId="59">'315'!$T$121</definedName>
    <definedName name="OSRRefT22_10x_0" localSheetId="62">'316'!$T$64:$T$69</definedName>
    <definedName name="OSRRefT22_10x_0" localSheetId="65">'317'!$T$91:$T$93</definedName>
    <definedName name="OSRRefT22_10x_0" localSheetId="69">'321'!$T$62</definedName>
    <definedName name="OSRRefT22_10x_0" localSheetId="70">'322'!$T$57:$T$61</definedName>
    <definedName name="OSRRefT22_10x_0" localSheetId="72">'325'!$T$56</definedName>
    <definedName name="OSRRefT22_10x_0" localSheetId="60">'326'!$T$90</definedName>
    <definedName name="OSRRefT22_10x_0" localSheetId="52">'330'!$T$112</definedName>
    <definedName name="OSRRefT22_10x_0" localSheetId="58">'331'!$T$122</definedName>
    <definedName name="OSRRefT22_10x_0" localSheetId="61">'332'!$T$73</definedName>
    <definedName name="OSRRefT22_10x_0" localSheetId="77">'405'!$T$55:$T$56</definedName>
    <definedName name="OSRRefT22_10x_0" localSheetId="78">'406'!$T$57</definedName>
    <definedName name="OSRRefT22_10x_0" localSheetId="79">'411'!$T$55</definedName>
    <definedName name="OSRRefT22_10x_0" localSheetId="80">'412'!$T$56:$T$57</definedName>
    <definedName name="OSRRefT22_10x_0" localSheetId="81">'413'!$T$61</definedName>
    <definedName name="OSRRefT22_10x_0" localSheetId="82">'414'!$T$54</definedName>
    <definedName name="OSRRefT22_10x_0" localSheetId="83">'415'!$T$56</definedName>
    <definedName name="OSRRefT22_10x_0" localSheetId="84">'418'!$T$58:$T$60</definedName>
    <definedName name="OSRRefT22_10x_0" localSheetId="87">'424'!$T$49</definedName>
    <definedName name="OSRRefT22_10x_0" localSheetId="88">'425'!$T$57</definedName>
    <definedName name="OSRRefT22_10x_0" localSheetId="92">'433'!$T$58</definedName>
    <definedName name="OSRRefT22_10x_0" localSheetId="94">'444'!$T$58</definedName>
    <definedName name="OSRRefT22_10x_0" localSheetId="95">'450'!$T$58</definedName>
    <definedName name="OSRRefT22_10x_0" localSheetId="76">'491'!$T$67:$T$68</definedName>
    <definedName name="OSRRefT22_10x_0" localSheetId="90">'492'!$T$61</definedName>
    <definedName name="OSRRefT22_10x_0" localSheetId="97">'501'!$T$58</definedName>
    <definedName name="OSRRefT22_10x_0" localSheetId="39">'Div 2'!$T$57</definedName>
    <definedName name="OSRRefT22_10x_0" localSheetId="47">'Div 3'!$T$206:$T$207</definedName>
    <definedName name="OSRRefT22_10x_0" localSheetId="74">'Div 4'!$T$68:$T$69</definedName>
    <definedName name="OSRRefT22_10x_0" localSheetId="96">'Div 5'!$T$58</definedName>
    <definedName name="OSRRefT22_10x_0" localSheetId="64">'Div 6'!$T$91:$T$93</definedName>
    <definedName name="OSRRefT22_10x_0" localSheetId="2">Summary!$T$239:$T$240</definedName>
    <definedName name="OSRRefT22_11x_0" localSheetId="41">'201'!$T$55</definedName>
    <definedName name="OSRRefT22_11x_0" localSheetId="42">'202'!$T$57</definedName>
    <definedName name="OSRRefT22_11x_0" localSheetId="43">'203'!$T$56</definedName>
    <definedName name="OSRRefT22_11x_0" localSheetId="48">'300'!$T$204</definedName>
    <definedName name="OSRRefT22_11x_0" localSheetId="49">'300 &amp; 317'!$T$229</definedName>
    <definedName name="OSRRefT22_11x_0" localSheetId="50">'301'!$T$60</definedName>
    <definedName name="OSRRefT22_11x_0" localSheetId="53">'307'!$T$107</definedName>
    <definedName name="OSRRefT22_11x_0" localSheetId="55">'308'!$T$102:$T$104</definedName>
    <definedName name="OSRRefT22_11x_0" localSheetId="67">'309'!$T$60:$T$62</definedName>
    <definedName name="OSRRefT22_11x_0" localSheetId="66">'310'!$T$65</definedName>
    <definedName name="OSRRefT22_11x_0" localSheetId="75">'310 &amp; 491'!$T$76:$T$77</definedName>
    <definedName name="OSRRefT22_11x_0" localSheetId="56">'311'!$T$101:$T$103</definedName>
    <definedName name="OSRRefT22_11x_0" localSheetId="68">'313'!$T$66</definedName>
    <definedName name="OSRRefT22_11x_0" localSheetId="59">'315'!$T$123</definedName>
    <definedName name="OSRRefT22_11x_0" localSheetId="62">'316'!$T$71</definedName>
    <definedName name="OSRRefT22_11x_0" localSheetId="65">'317'!$T$95</definedName>
    <definedName name="OSRRefT22_11x_0" localSheetId="69">'321'!$T$64</definedName>
    <definedName name="OSRRefT22_11x_0" localSheetId="70">'322'!$T$63</definedName>
    <definedName name="OSRRefT22_11x_0" localSheetId="72">'325'!$T$58:$T$60</definedName>
    <definedName name="OSRRefT22_11x_0" localSheetId="60">'326'!$T$92</definedName>
    <definedName name="OSRRefT22_11x_0" localSheetId="52">'330'!$T$114:$T$116</definedName>
    <definedName name="OSRRefT22_11x_0" localSheetId="58">'331'!$T$124</definedName>
    <definedName name="OSRRefT22_11x_0" localSheetId="61">'332'!$T$75:$T$80</definedName>
    <definedName name="OSRRefT22_11x_0" localSheetId="77">'405'!$T$58</definedName>
    <definedName name="OSRRefT22_11x_0" localSheetId="78">'406'!$T$59:$T$63</definedName>
    <definedName name="OSRRefT22_11x_0" localSheetId="79">'411'!$T$57</definedName>
    <definedName name="OSRRefT22_11x_0" localSheetId="80">'412'!$T$59:$T$64</definedName>
    <definedName name="OSRRefT22_11x_0" localSheetId="82">'414'!$T$56</definedName>
    <definedName name="OSRRefT22_11x_0" localSheetId="83">'415'!$T$58:$T$60</definedName>
    <definedName name="OSRRefT22_11x_0" localSheetId="84">'418'!$T$62:$T$64</definedName>
    <definedName name="OSRRefT22_11x_0" localSheetId="87">'424'!$T$51:$T$53</definedName>
    <definedName name="OSRRefT22_11x_0" localSheetId="88">'425'!$T$59:$T$60</definedName>
    <definedName name="OSRRefT22_11x_0" localSheetId="92">'433'!$T$60:$T$62</definedName>
    <definedName name="OSRRefT22_11x_0" localSheetId="94">'444'!$T$60:$T$62</definedName>
    <definedName name="OSRRefT22_11x_0" localSheetId="95">'450'!$T$60</definedName>
    <definedName name="OSRRefT22_11x_0" localSheetId="76">'491'!$T$70</definedName>
    <definedName name="OSRRefT22_11x_0" localSheetId="90">'492'!$T$63</definedName>
    <definedName name="OSRRefT22_11x_0" localSheetId="39">'Div 2'!$T$59</definedName>
    <definedName name="OSRRefT22_11x_0" localSheetId="47">'Div 3'!$T$209</definedName>
    <definedName name="OSRRefT22_11x_0" localSheetId="74">'Div 4'!$T$71</definedName>
    <definedName name="OSRRefT22_11x_0" localSheetId="64">'Div 6'!$T$95</definedName>
    <definedName name="OSRRefT22_11x_0" localSheetId="2">Summary!$T$242:$T$243</definedName>
    <definedName name="OSRRefT22_12x_0" localSheetId="41">'201'!$T$57:$T$60</definedName>
    <definedName name="OSRRefT22_12x_0" localSheetId="42">'202'!$T$59</definedName>
    <definedName name="OSRRefT22_12x_0" localSheetId="43">'203'!$T$58:$T$61</definedName>
    <definedName name="OSRRefT22_12x_0" localSheetId="48">'300'!$T$206</definedName>
    <definedName name="OSRRefT22_12x_0" localSheetId="49">'300 &amp; 317'!$T$231</definedName>
    <definedName name="OSRRefT22_12x_0" localSheetId="50">'301'!$T$62</definedName>
    <definedName name="OSRRefT22_12x_0" localSheetId="55">'308'!$T$106:$T$107</definedName>
    <definedName name="OSRRefT22_12x_0" localSheetId="67">'309'!$T$64</definedName>
    <definedName name="OSRRefT22_12x_0" localSheetId="66">'310'!$T$67</definedName>
    <definedName name="OSRRefT22_12x_0" localSheetId="75">'310 &amp; 491'!$T$79</definedName>
    <definedName name="OSRRefT22_12x_0" localSheetId="56">'311'!$T$105:$T$106</definedName>
    <definedName name="OSRRefT22_12x_0" localSheetId="68">'313'!$T$68</definedName>
    <definedName name="OSRRefT22_12x_0" localSheetId="59">'315'!$T$125:$T$126</definedName>
    <definedName name="OSRRefT22_12x_0" localSheetId="62">'316'!$T$73</definedName>
    <definedName name="OSRRefT22_12x_0" localSheetId="65">'317'!$T$97</definedName>
    <definedName name="OSRRefT22_12x_0" localSheetId="70">'322'!$T$65</definedName>
    <definedName name="OSRRefT22_12x_0" localSheetId="72">'325'!$T$62:$T$64</definedName>
    <definedName name="OSRRefT22_12x_0" localSheetId="60">'326'!$T$94:$T$95</definedName>
    <definedName name="OSRRefT22_12x_0" localSheetId="52">'330'!$T$118</definedName>
    <definedName name="OSRRefT22_12x_0" localSheetId="58">'331'!$T$126</definedName>
    <definedName name="OSRRefT22_12x_0" localSheetId="61">'332'!$T$82</definedName>
    <definedName name="OSRRefT22_12x_0" localSheetId="77">'405'!$T$60:$T$62</definedName>
    <definedName name="OSRRefT22_12x_0" localSheetId="78">'406'!$T$65</definedName>
    <definedName name="OSRRefT22_12x_0" localSheetId="79">'411'!$T$59:$T$60</definedName>
    <definedName name="OSRRefT22_12x_0" localSheetId="80">'412'!$T$66</definedName>
    <definedName name="OSRRefT22_12x_0" localSheetId="82">'414'!$T$58</definedName>
    <definedName name="OSRRefT22_12x_0" localSheetId="83">'415'!$T$62:$T$66</definedName>
    <definedName name="OSRRefT22_12x_0" localSheetId="84">'418'!$T$66:$T$67</definedName>
    <definedName name="OSRRefT22_12x_0" localSheetId="87">'424'!$T$55</definedName>
    <definedName name="OSRRefT22_12x_0" localSheetId="88">'425'!$T$62:$T$68</definedName>
    <definedName name="OSRRefT22_12x_0" localSheetId="92">'433'!$T$64:$T$66</definedName>
    <definedName name="OSRRefT22_12x_0" localSheetId="94">'444'!$T$64:$T$67</definedName>
    <definedName name="OSRRefT22_12x_0" localSheetId="95">'450'!$T$62</definedName>
    <definedName name="OSRRefT22_12x_0" localSheetId="76">'491'!$T$72</definedName>
    <definedName name="OSRRefT22_12x_0" localSheetId="90">'492'!$T$65:$T$67</definedName>
    <definedName name="OSRRefT22_12x_0" localSheetId="39">'Div 2'!$T$61:$T$64</definedName>
    <definedName name="OSRRefT22_12x_0" localSheetId="47">'Div 3'!$T$211</definedName>
    <definedName name="OSRRefT22_12x_0" localSheetId="74">'Div 4'!$T$73</definedName>
    <definedName name="OSRRefT22_12x_0" localSheetId="64">'Div 6'!$T$97</definedName>
    <definedName name="OSRRefT22_12x_0" localSheetId="2">Summary!$T$245</definedName>
    <definedName name="OSRRefT22_13x_0" localSheetId="41">'201'!$T$62</definedName>
    <definedName name="OSRRefT22_13x_0" localSheetId="42">'202'!$T$61</definedName>
    <definedName name="OSRRefT22_13x_0" localSheetId="43">'203'!$T$63</definedName>
    <definedName name="OSRRefT22_13x_0" localSheetId="48">'300'!$T$208</definedName>
    <definedName name="OSRRefT22_13x_0" localSheetId="49">'300 &amp; 317'!$T$233</definedName>
    <definedName name="OSRRefT22_13x_0" localSheetId="50">'301'!$T$64</definedName>
    <definedName name="OSRRefT22_13x_0" localSheetId="55">'308'!$T$109</definedName>
    <definedName name="OSRRefT22_13x_0" localSheetId="66">'310'!$T$69</definedName>
    <definedName name="OSRRefT22_13x_0" localSheetId="75">'310 &amp; 491'!$T$81</definedName>
    <definedName name="OSRRefT22_13x_0" localSheetId="56">'311'!$T$108</definedName>
    <definedName name="OSRRefT22_13x_0" localSheetId="62">'316'!$T$75</definedName>
    <definedName name="OSRRefT22_13x_0" localSheetId="65">'317'!$T$99</definedName>
    <definedName name="OSRRefT22_13x_0" localSheetId="72">'325'!$T$66</definedName>
    <definedName name="OSRRefT22_13x_0" localSheetId="60">'326'!$T$97:$T$99</definedName>
    <definedName name="OSRRefT22_13x_0" localSheetId="52">'330'!$T$120</definedName>
    <definedName name="OSRRefT22_13x_0" localSheetId="58">'331'!$T$128:$T$129</definedName>
    <definedName name="OSRRefT22_13x_0" localSheetId="61">'332'!$T$84</definedName>
    <definedName name="OSRRefT22_13x_0" localSheetId="77">'405'!$T$64:$T$65</definedName>
    <definedName name="OSRRefT22_13x_0" localSheetId="78">'406'!$T$67</definedName>
    <definedName name="OSRRefT22_13x_0" localSheetId="79">'411'!$T$62:$T$66</definedName>
    <definedName name="OSRRefT22_13x_0" localSheetId="80">'412'!$T$68</definedName>
    <definedName name="OSRRefT22_13x_0" localSheetId="82">'414'!$T$60:$T$66</definedName>
    <definedName name="OSRRefT22_13x_0" localSheetId="83">'415'!$T$68:$T$69</definedName>
    <definedName name="OSRRefT22_13x_0" localSheetId="84">'418'!$T$69:$T$74</definedName>
    <definedName name="OSRRefT22_13x_0" localSheetId="88">'425'!$T$70</definedName>
    <definedName name="OSRRefT22_13x_0" localSheetId="92">'433'!$T$68:$T$75</definedName>
    <definedName name="OSRRefT22_13x_0" localSheetId="94">'444'!$T$69</definedName>
    <definedName name="OSRRefT22_13x_0" localSheetId="95">'450'!$T$64:$T$66</definedName>
    <definedName name="OSRRefT22_13x_0" localSheetId="76">'491'!$T$74</definedName>
    <definedName name="OSRRefT22_13x_0" localSheetId="90">'492'!$T$69:$T$72</definedName>
    <definedName name="OSRRefT22_13x_0" localSheetId="39">'Div 2'!$T$66:$T$68</definedName>
    <definedName name="OSRRefT22_13x_0" localSheetId="47">'Div 3'!$T$213</definedName>
    <definedName name="OSRRefT22_13x_0" localSheetId="74">'Div 4'!$T$75</definedName>
    <definedName name="OSRRefT22_13x_0" localSheetId="64">'Div 6'!$T$99</definedName>
    <definedName name="OSRRefT22_13x_0" localSheetId="2">Summary!$T$247</definedName>
    <definedName name="OSRRefT22_14x_0" localSheetId="41">'201'!$T$64</definedName>
    <definedName name="OSRRefT22_14x_0" localSheetId="43">'203'!$T$65</definedName>
    <definedName name="OSRRefT22_14x_0" localSheetId="48">'300'!$T$210</definedName>
    <definedName name="OSRRefT22_14x_0" localSheetId="49">'300 &amp; 317'!$T$235</definedName>
    <definedName name="OSRRefT22_14x_0" localSheetId="50">'301'!$T$66</definedName>
    <definedName name="OSRRefT22_14x_0" localSheetId="55">'308'!$T$111</definedName>
    <definedName name="OSRRefT22_14x_0" localSheetId="66">'310'!$T$71:$T$73</definedName>
    <definedName name="OSRRefT22_14x_0" localSheetId="75">'310 &amp; 491'!$T$83</definedName>
    <definedName name="OSRRefT22_14x_0" localSheetId="56">'311'!$T$110</definedName>
    <definedName name="OSRRefT22_14x_0" localSheetId="72">'325'!$T$68:$T$72</definedName>
    <definedName name="OSRRefT22_14x_0" localSheetId="60">'326'!$T$101:$T$102</definedName>
    <definedName name="OSRRefT22_14x_0" localSheetId="52">'330'!$T$122</definedName>
    <definedName name="OSRRefT22_14x_0" localSheetId="58">'331'!$T$131:$T$132</definedName>
    <definedName name="OSRRefT22_14x_0" localSheetId="61">'332'!$T$86</definedName>
    <definedName name="OSRRefT22_14x_0" localSheetId="77">'405'!$T$67:$T$73</definedName>
    <definedName name="OSRRefT22_14x_0" localSheetId="79">'411'!$T$68</definedName>
    <definedName name="OSRRefT22_14x_0" localSheetId="82">'414'!$T$68</definedName>
    <definedName name="OSRRefT22_14x_0" localSheetId="83">'415'!$T$71:$T$78</definedName>
    <definedName name="OSRRefT22_14x_0" localSheetId="84">'418'!$T$76</definedName>
    <definedName name="OSRRefT22_14x_0" localSheetId="88">'425'!$T$72</definedName>
    <definedName name="OSRRefT22_14x_0" localSheetId="92">'433'!$T$77</definedName>
    <definedName name="OSRRefT22_14x_0" localSheetId="94">'444'!$T$71:$T$79</definedName>
    <definedName name="OSRRefT22_14x_0" localSheetId="95">'450'!$T$68:$T$73</definedName>
    <definedName name="OSRRefT22_14x_0" localSheetId="76">'491'!$T$76</definedName>
    <definedName name="OSRRefT22_14x_0" localSheetId="90">'492'!$T$74</definedName>
    <definedName name="OSRRefT22_14x_0" localSheetId="39">'Div 2'!$T$70:$T$71</definedName>
    <definedName name="OSRRefT22_14x_0" localSheetId="47">'Div 3'!$T$215</definedName>
    <definedName name="OSRRefT22_14x_0" localSheetId="74">'Div 4'!$T$77</definedName>
    <definedName name="OSRRefT22_14x_0" localSheetId="2">Summary!$T$249</definedName>
    <definedName name="OSRRefT22_15x_0" localSheetId="41">'201'!$T$66</definedName>
    <definedName name="OSRRefT22_15x_0" localSheetId="43">'203'!$T$67</definedName>
    <definedName name="OSRRefT22_15x_0" localSheetId="48">'300'!$T$212</definedName>
    <definedName name="OSRRefT22_15x_0" localSheetId="49">'300 &amp; 317'!$T$237</definedName>
    <definedName name="OSRRefT22_15x_0" localSheetId="50">'301'!$T$68:$T$71</definedName>
    <definedName name="OSRRefT22_15x_0" localSheetId="66">'310'!$T$75</definedName>
    <definedName name="OSRRefT22_15x_0" localSheetId="75">'310 &amp; 491'!$T$85</definedName>
    <definedName name="OSRRefT22_15x_0" localSheetId="72">'325'!$T$74</definedName>
    <definedName name="OSRRefT22_15x_0" localSheetId="60">'326'!$T$104:$T$107</definedName>
    <definedName name="OSRRefT22_15x_0" localSheetId="58">'331'!$T$134:$T$136</definedName>
    <definedName name="OSRRefT22_15x_0" localSheetId="77">'405'!$T$75</definedName>
    <definedName name="OSRRefT22_15x_0" localSheetId="79">'411'!$T$70:$T$75</definedName>
    <definedName name="OSRRefT22_15x_0" localSheetId="82">'414'!$T$70</definedName>
    <definedName name="OSRRefT22_15x_0" localSheetId="83">'415'!$T$80</definedName>
    <definedName name="OSRRefT22_15x_0" localSheetId="84">'418'!$T$78</definedName>
    <definedName name="OSRRefT22_15x_0" localSheetId="92">'433'!$T$79</definedName>
    <definedName name="OSRRefT22_15x_0" localSheetId="94">'444'!$T$81</definedName>
    <definedName name="OSRRefT22_15x_0" localSheetId="95">'450'!$T$75</definedName>
    <definedName name="OSRRefT22_15x_0" localSheetId="76">'491'!$T$78:$T$80</definedName>
    <definedName name="OSRRefT22_15x_0" localSheetId="90">'492'!$T$76:$T$84</definedName>
    <definedName name="OSRRefT22_15x_0" localSheetId="39">'Div 2'!$T$73</definedName>
    <definedName name="OSRRefT22_15x_0" localSheetId="47">'Div 3'!$T$217</definedName>
    <definedName name="OSRRefT22_15x_0" localSheetId="74">'Div 4'!$T$79</definedName>
    <definedName name="OSRRefT22_15x_0" localSheetId="2">Summary!$T$251</definedName>
    <definedName name="OSRRefT22_16x_0" localSheetId="48">'300'!$T$214:$T$217</definedName>
    <definedName name="OSRRefT22_16x_0" localSheetId="49">'300 &amp; 317'!$T$239:$T$242</definedName>
    <definedName name="OSRRefT22_16x_0" localSheetId="50">'301'!$T$73:$T$75</definedName>
    <definedName name="OSRRefT22_16x_0" localSheetId="66">'310'!$T$77:$T$80</definedName>
    <definedName name="OSRRefT22_16x_0" localSheetId="75">'310 &amp; 491'!$T$87:$T$89</definedName>
    <definedName name="OSRRefT22_16x_0" localSheetId="72">'325'!$T$76</definedName>
    <definedName name="OSRRefT22_16x_0" localSheetId="60">'326'!$T$109</definedName>
    <definedName name="OSRRefT22_16x_0" localSheetId="58">'331'!$T$138:$T$139</definedName>
    <definedName name="OSRRefT22_16x_0" localSheetId="77">'405'!$T$77</definedName>
    <definedName name="OSRRefT22_16x_0" localSheetId="79">'411'!$T$77</definedName>
    <definedName name="OSRRefT22_16x_0" localSheetId="83">'415'!$T$82</definedName>
    <definedName name="OSRRefT22_16x_0" localSheetId="92">'433'!$T$81</definedName>
    <definedName name="OSRRefT22_16x_0" localSheetId="94">'444'!$T$83</definedName>
    <definedName name="OSRRefT22_16x_0" localSheetId="95">'450'!$T$77</definedName>
    <definedName name="OSRRefT22_16x_0" localSheetId="76">'491'!$T$82:$T$83</definedName>
    <definedName name="OSRRefT22_16x_0" localSheetId="90">'492'!$T$86</definedName>
    <definedName name="OSRRefT22_16x_0" localSheetId="39">'Div 2'!$T$75:$T$79</definedName>
    <definedName name="OSRRefT22_16x_0" localSheetId="47">'Div 3'!$T$219</definedName>
    <definedName name="OSRRefT22_16x_0" localSheetId="74">'Div 4'!$T$81:$T$83</definedName>
    <definedName name="OSRRefT22_16x_0" localSheetId="2">Summary!$T$253</definedName>
    <definedName name="OSRRefT22_17x_0" localSheetId="48">'300'!$T$219:$T$221</definedName>
    <definedName name="OSRRefT22_17x_0" localSheetId="49">'300 &amp; 317'!$T$244:$T$246</definedName>
    <definedName name="OSRRefT22_17x_0" localSheetId="50">'301'!$T$77</definedName>
    <definedName name="OSRRefT22_17x_0" localSheetId="66">'310'!$T$82</definedName>
    <definedName name="OSRRefT22_17x_0" localSheetId="75">'310 &amp; 491'!$T$91:$T$92</definedName>
    <definedName name="OSRRefT22_17x_0" localSheetId="60">'326'!$T$111</definedName>
    <definedName name="OSRRefT22_17x_0" localSheetId="58">'331'!$T$141:$T$146</definedName>
    <definedName name="OSRRefT22_17x_0" localSheetId="77">'405'!$T$79</definedName>
    <definedName name="OSRRefT22_17x_0" localSheetId="79">'411'!$T$79</definedName>
    <definedName name="OSRRefT22_17x_0" localSheetId="83">'415'!$T$84</definedName>
    <definedName name="OSRRefT22_17x_0" localSheetId="94">'444'!$T$85</definedName>
    <definedName name="OSRRefT22_17x_0" localSheetId="95">'450'!$T$79</definedName>
    <definedName name="OSRRefT22_17x_0" localSheetId="76">'491'!$T$85:$T$89</definedName>
    <definedName name="OSRRefT22_17x_0" localSheetId="90">'492'!$T$88</definedName>
    <definedName name="OSRRefT22_17x_0" localSheetId="39">'Div 2'!$T$81:$T$82</definedName>
    <definedName name="OSRRefT22_17x_0" localSheetId="47">'Div 3'!$T$221:$T$224</definedName>
    <definedName name="OSRRefT22_17x_0" localSheetId="74">'Div 4'!$T$85:$T$86</definedName>
    <definedName name="OSRRefT22_17x_0" localSheetId="2">Summary!$T$255</definedName>
    <definedName name="OSRRefT22_18x_0" localSheetId="48">'300'!$T$223:$T$226</definedName>
    <definedName name="OSRRefT22_18x_0" localSheetId="49">'300 &amp; 317'!$T$248:$T$251</definedName>
    <definedName name="OSRRefT22_18x_0" localSheetId="50">'301'!$T$79:$T$84</definedName>
    <definedName name="OSRRefT22_18x_0" localSheetId="66">'310'!$T$84:$T$90</definedName>
    <definedName name="OSRRefT22_18x_0" localSheetId="75">'310 &amp; 491'!$T$94:$T$98</definedName>
    <definedName name="OSRRefT22_18x_0" localSheetId="60">'326'!$T$113</definedName>
    <definedName name="OSRRefT22_18x_0" localSheetId="58">'331'!$T$148</definedName>
    <definedName name="OSRRefT22_18x_0" localSheetId="79">'411'!$T$81:$T$83</definedName>
    <definedName name="OSRRefT22_18x_0" localSheetId="76">'491'!$T$91:$T$92</definedName>
    <definedName name="OSRRefT22_18x_0" localSheetId="90">'492'!$T$90</definedName>
    <definedName name="OSRRefT22_18x_0" localSheetId="39">'Div 2'!$T$84</definedName>
    <definedName name="OSRRefT22_18x_0" localSheetId="47">'Div 3'!$T$226:$T$228</definedName>
    <definedName name="OSRRefT22_18x_0" localSheetId="74">'Div 4'!$T$88:$T$92</definedName>
    <definedName name="OSRRefT22_18x_0" localSheetId="2">Summary!$T$257:$T$260</definedName>
    <definedName name="OSRRefT22_19x_0" localSheetId="48">'300'!$T$228:$T$229</definedName>
    <definedName name="OSRRefT22_19x_0" localSheetId="49">'300 &amp; 317'!$T$253:$T$254</definedName>
    <definedName name="OSRRefT22_19x_0" localSheetId="50">'301'!$T$86</definedName>
    <definedName name="OSRRefT22_19x_0" localSheetId="66">'310'!$T$92</definedName>
    <definedName name="OSRRefT22_19x_0" localSheetId="75">'310 &amp; 491'!$T$100:$T$101</definedName>
    <definedName name="OSRRefT22_19x_0" localSheetId="58">'331'!$T$150</definedName>
    <definedName name="OSRRefT22_19x_0" localSheetId="79">'411'!$T$85</definedName>
    <definedName name="OSRRefT22_19x_0" localSheetId="76">'491'!$T$94:$T$102</definedName>
    <definedName name="OSRRefT22_19x_0" localSheetId="39">'Div 2'!$T$86:$T$87</definedName>
    <definedName name="OSRRefT22_19x_0" localSheetId="47">'Div 3'!$T$230:$T$234</definedName>
    <definedName name="OSRRefT22_19x_0" localSheetId="74">'Div 4'!$T$94:$T$95</definedName>
    <definedName name="OSRRefT22_19x_0" localSheetId="2">Summary!$T$262:$T$264</definedName>
    <definedName name="OSRRefT22_1x_0" localSheetId="40">'200'!$T$22</definedName>
    <definedName name="OSRRefT22_1x_0" localSheetId="41">'201'!$T$29:$T$31</definedName>
    <definedName name="OSRRefT22_1x_0" localSheetId="42">'202'!$T$29:$T$32</definedName>
    <definedName name="OSRRefT22_1x_0" localSheetId="43">'203'!$T$31:$T$34</definedName>
    <definedName name="OSRRefT22_1x_0" localSheetId="44">'204'!$T$31:$T$35</definedName>
    <definedName name="OSRRefT22_1x_0" localSheetId="45">'205'!$T$29</definedName>
    <definedName name="OSRRefT22_1x_0" localSheetId="46">'206'!$T$28:$T$31</definedName>
    <definedName name="OSRRefT22_1x_0" localSheetId="48">'300'!$T$174:$T$180</definedName>
    <definedName name="OSRRefT22_1x_0" localSheetId="49">'300 &amp; 317'!$T$199:$T$205</definedName>
    <definedName name="OSRRefT22_1x_0" localSheetId="50">'301'!$T$31:$T$37</definedName>
    <definedName name="OSRRefT22_1x_0" localSheetId="51">'306'!$T$30:$T$35</definedName>
    <definedName name="OSRRefT22_1x_0" localSheetId="53">'307'!$T$79:$T$82</definedName>
    <definedName name="OSRRefT22_1x_0" localSheetId="55">'308'!$T$74:$T$79</definedName>
    <definedName name="OSRRefT22_1x_0" localSheetId="67">'309'!$T$33:$T$37</definedName>
    <definedName name="OSRRefT22_1x_0" localSheetId="66">'310'!$T$39:$T$44</definedName>
    <definedName name="OSRRefT22_1x_0" localSheetId="75">'310 &amp; 491'!$T$47:$T$53</definedName>
    <definedName name="OSRRefT22_1x_0" localSheetId="56">'311'!$T$73:$T$78</definedName>
    <definedName name="OSRRefT22_1x_0" localSheetId="68">'313'!$T$36:$T$40</definedName>
    <definedName name="OSRRefT22_1x_0" localSheetId="54">'314'!$T$63:$T$65</definedName>
    <definedName name="OSRRefT22_1x_0" localSheetId="59">'315'!$T$90:$T$95</definedName>
    <definedName name="OSRRefT22_1x_0" localSheetId="62">'316'!$T$41:$T$43</definedName>
    <definedName name="OSRRefT22_1x_0" localSheetId="65">'317'!$T$68:$T$72</definedName>
    <definedName name="OSRRefT22_1x_0" localSheetId="63">'320'!$T$36:$T$38</definedName>
    <definedName name="OSRRefT22_1x_0" localSheetId="69">'321'!$T$33:$T$37</definedName>
    <definedName name="OSRRefT22_1x_0" localSheetId="70">'322'!$T$33:$T$36</definedName>
    <definedName name="OSRRefT22_1x_0" localSheetId="72">'325'!$T$33:$T$37</definedName>
    <definedName name="OSRRefT22_1x_0" localSheetId="60">'326'!$T$68:$T$72</definedName>
    <definedName name="OSRRefT22_1x_0" localSheetId="73">'327'!$T$24</definedName>
    <definedName name="OSRRefT22_1x_0" localSheetId="52">'330'!$T$87:$T$91</definedName>
    <definedName name="OSRRefT22_1x_0" localSheetId="58">'331'!$T$97:$T$102</definedName>
    <definedName name="OSRRefT22_1x_0" localSheetId="61">'332'!$T$49:$T$52</definedName>
    <definedName name="OSRRefT22_1x_0" localSheetId="77">'405'!$T$33:$T$36</definedName>
    <definedName name="OSRRefT22_1x_0" localSheetId="78">'406'!$T$33:$T$37</definedName>
    <definedName name="OSRRefT22_1x_0" localSheetId="79">'411'!$T$30:$T$35</definedName>
    <definedName name="OSRRefT22_1x_0" localSheetId="80">'412'!$T$32:$T$37</definedName>
    <definedName name="OSRRefT22_1x_0" localSheetId="81">'413'!$T$33:$T$36</definedName>
    <definedName name="OSRRefT22_1x_0" localSheetId="82">'414'!$T$32:$T$35</definedName>
    <definedName name="OSRRefT22_1x_0" localSheetId="83">'415'!$T$33:$T$37</definedName>
    <definedName name="OSRRefT22_1x_0" localSheetId="84">'418'!$T$33:$T$38</definedName>
    <definedName name="OSRRefT22_1x_0" localSheetId="85">'420'!$T$31:$T$34</definedName>
    <definedName name="OSRRefT22_1x_0" localSheetId="86">'423'!$T$30</definedName>
    <definedName name="OSRRefT22_1x_0" localSheetId="87">'424'!$T$26:$T$30</definedName>
    <definedName name="OSRRefT22_1x_0" localSheetId="88">'425'!$T$33:$T$37</definedName>
    <definedName name="OSRRefT22_1x_0" localSheetId="91">'430'!$T$29</definedName>
    <definedName name="OSRRefT22_1x_0" localSheetId="92">'433'!$T$35:$T$40</definedName>
    <definedName name="OSRRefT22_1x_0" localSheetId="93">'435'!$T$29:$T$31</definedName>
    <definedName name="OSRRefT22_1x_0" localSheetId="94">'444'!$T$35:$T$40</definedName>
    <definedName name="OSRRefT22_1x_0" localSheetId="95">'450'!$T$35:$T$40</definedName>
    <definedName name="OSRRefT22_1x_0" localSheetId="89">'455'!$T$28:$T$29</definedName>
    <definedName name="OSRRefT22_1x_0" localSheetId="76">'491'!$T$41:$T$47</definedName>
    <definedName name="OSRRefT22_1x_0" localSheetId="90">'492'!$T$37:$T$43</definedName>
    <definedName name="OSRRefT22_1x_0" localSheetId="97">'501'!$T$31:$T$35</definedName>
    <definedName name="OSRRefT22_1x_0" localSheetId="39">'Div 2'!$T$32:$T$38</definedName>
    <definedName name="OSRRefT22_1x_0" localSheetId="47">'Div 3'!$T$179:$T$185</definedName>
    <definedName name="OSRRefT22_1x_0" localSheetId="74">'Div 4'!$T$42:$T$48</definedName>
    <definedName name="OSRRefT22_1x_0" localSheetId="96">'Div 5'!$T$31:$T$35</definedName>
    <definedName name="OSRRefT22_1x_0" localSheetId="64">'Div 6'!$T$68:$T$72</definedName>
    <definedName name="OSRRefT22_1x_0" localSheetId="2">Summary!$T$211:$T$217</definedName>
    <definedName name="OSRRefT22_20x_0" localSheetId="48">'300'!$T$231:$T$237</definedName>
    <definedName name="OSRRefT22_20x_0" localSheetId="49">'300 &amp; 317'!$T$256:$T$262</definedName>
    <definedName name="OSRRefT22_20x_0" localSheetId="50">'301'!$T$88</definedName>
    <definedName name="OSRRefT22_20x_0" localSheetId="66">'310'!$T$94</definedName>
    <definedName name="OSRRefT22_20x_0" localSheetId="75">'310 &amp; 491'!$T$103:$T$111</definedName>
    <definedName name="OSRRefT22_20x_0" localSheetId="58">'331'!$T$152:$T$153</definedName>
    <definedName name="OSRRefT22_20x_0" localSheetId="76">'491'!$T$104</definedName>
    <definedName name="OSRRefT22_20x_0" localSheetId="47">'Div 3'!$T$236:$T$237</definedName>
    <definedName name="OSRRefT22_20x_0" localSheetId="74">'Div 4'!$T$97:$T$105</definedName>
    <definedName name="OSRRefT22_20x_0" localSheetId="2">Summary!$T$266:$T$270</definedName>
    <definedName name="OSRRefT22_21x_0" localSheetId="48">'300'!$T$239:$T$240</definedName>
    <definedName name="OSRRefT22_21x_0" localSheetId="49">'300 &amp; 317'!$T$264:$T$265</definedName>
    <definedName name="OSRRefT22_21x_0" localSheetId="50">'301'!$T$90:$T$92</definedName>
    <definedName name="OSRRefT22_21x_0" localSheetId="66">'310'!$T$96</definedName>
    <definedName name="OSRRefT22_21x_0" localSheetId="75">'310 &amp; 491'!$T$113</definedName>
    <definedName name="OSRRefT22_21x_0" localSheetId="58">'331'!$T$155</definedName>
    <definedName name="OSRRefT22_21x_0" localSheetId="76">'491'!$T$106</definedName>
    <definedName name="OSRRefT22_21x_0" localSheetId="47">'Div 3'!$T$239:$T$245</definedName>
    <definedName name="OSRRefT22_21x_0" localSheetId="74">'Div 4'!$T$107</definedName>
    <definedName name="OSRRefT22_21x_0" localSheetId="2">Summary!$T$272:$T$273</definedName>
    <definedName name="OSRRefT22_22x_0" localSheetId="48">'300'!$T$242</definedName>
    <definedName name="OSRRefT22_22x_0" localSheetId="49">'300 &amp; 317'!$T$267</definedName>
    <definedName name="OSRRefT22_22x_0" localSheetId="50">'301'!$T$94</definedName>
    <definedName name="OSRRefT22_22x_0" localSheetId="75">'310 &amp; 491'!$T$115</definedName>
    <definedName name="OSRRefT22_22x_0" localSheetId="76">'491'!$T$108:$T$110</definedName>
    <definedName name="OSRRefT22_22x_0" localSheetId="47">'Div 3'!$T$247:$T$248</definedName>
    <definedName name="OSRRefT22_22x_0" localSheetId="74">'Div 4'!$T$109</definedName>
    <definedName name="OSRRefT22_22x_0" localSheetId="2">Summary!$T$275:$T$283</definedName>
    <definedName name="OSRRefT22_23x_0" localSheetId="48">'300'!$T$244:$T$246</definedName>
    <definedName name="OSRRefT22_23x_0" localSheetId="49">'300 &amp; 317'!$T$269:$T$271</definedName>
    <definedName name="OSRRefT22_23x_0" localSheetId="75">'310 &amp; 491'!$T$117:$T$119</definedName>
    <definedName name="OSRRefT22_23x_0" localSheetId="76">'491'!$T$112</definedName>
    <definedName name="OSRRefT22_23x_0" localSheetId="47">'Div 3'!$T$250</definedName>
    <definedName name="OSRRefT22_23x_0" localSheetId="74">'Div 4'!$T$111:$T$113</definedName>
    <definedName name="OSRRefT22_23x_0" localSheetId="2">Summary!$T$285:$T$286</definedName>
    <definedName name="OSRRefT22_24x_0" localSheetId="48">'300'!$T$248</definedName>
    <definedName name="OSRRefT22_24x_0" localSheetId="49">'300 &amp; 317'!$T$273</definedName>
    <definedName name="OSRRefT22_24x_0" localSheetId="75">'310 &amp; 491'!$T$121</definedName>
    <definedName name="OSRRefT22_24x_0" localSheetId="47">'Div 3'!$T$252:$T$254</definedName>
    <definedName name="OSRRefT22_24x_0" localSheetId="74">'Div 4'!$T$115</definedName>
    <definedName name="OSRRefT22_24x_0" localSheetId="2">Summary!$T$288</definedName>
    <definedName name="OSRRefT22_25x_0" localSheetId="47">'Div 3'!$T$256</definedName>
    <definedName name="OSRRefT22_25x_0" localSheetId="2">Summary!$T$290:$T$292</definedName>
    <definedName name="OSRRefT22_26x_0" localSheetId="2">Summary!$T$294</definedName>
    <definedName name="OSRRefT22_2x_0" localSheetId="40">'200'!$T$24</definedName>
    <definedName name="OSRRefT22_2x_0" localSheetId="41">'201'!$T$33</definedName>
    <definedName name="OSRRefT22_2x_0" localSheetId="42">'202'!$T$34</definedName>
    <definedName name="OSRRefT22_2x_0" localSheetId="43">'203'!$T$36</definedName>
    <definedName name="OSRRefT22_2x_0" localSheetId="44">'204'!$T$37</definedName>
    <definedName name="OSRRefT22_2x_0" localSheetId="45">'205'!$T$31</definedName>
    <definedName name="OSRRefT22_2x_0" localSheetId="46">'206'!$T$33</definedName>
    <definedName name="OSRRefT22_2x_0" localSheetId="48">'300'!$T$182</definedName>
    <definedName name="OSRRefT22_2x_0" localSheetId="49">'300 &amp; 317'!$T$207</definedName>
    <definedName name="OSRRefT22_2x_0" localSheetId="50">'301'!$T$39</definedName>
    <definedName name="OSRRefT22_2x_0" localSheetId="51">'306'!$T$37</definedName>
    <definedName name="OSRRefT22_2x_0" localSheetId="53">'307'!$T$84</definedName>
    <definedName name="OSRRefT22_2x_0" localSheetId="55">'308'!$T$81</definedName>
    <definedName name="OSRRefT22_2x_0" localSheetId="67">'309'!$T$39</definedName>
    <definedName name="OSRRefT22_2x_0" localSheetId="66">'310'!$T$46</definedName>
    <definedName name="OSRRefT22_2x_0" localSheetId="75">'310 &amp; 491'!$T$55</definedName>
    <definedName name="OSRRefT22_2x_0" localSheetId="56">'311'!$T$80</definedName>
    <definedName name="OSRRefT22_2x_0" localSheetId="68">'313'!$T$42</definedName>
    <definedName name="OSRRefT22_2x_0" localSheetId="54">'314'!$T$67</definedName>
    <definedName name="OSRRefT22_2x_0" localSheetId="59">'315'!$T$97</definedName>
    <definedName name="OSRRefT22_2x_0" localSheetId="62">'316'!$T$45</definedName>
    <definedName name="OSRRefT22_2x_0" localSheetId="65">'317'!$T$74</definedName>
    <definedName name="OSRRefT22_2x_0" localSheetId="63">'320'!$T$40</definedName>
    <definedName name="OSRRefT22_2x_0" localSheetId="69">'321'!$T$39</definedName>
    <definedName name="OSRRefT22_2x_0" localSheetId="70">'322'!$T$38</definedName>
    <definedName name="OSRRefT22_2x_0" localSheetId="72">'325'!$T$39</definedName>
    <definedName name="OSRRefT22_2x_0" localSheetId="60">'326'!$T$74</definedName>
    <definedName name="OSRRefT22_2x_0" localSheetId="73">'327'!$T$26</definedName>
    <definedName name="OSRRefT22_2x_0" localSheetId="52">'330'!$T$93</definedName>
    <definedName name="OSRRefT22_2x_0" localSheetId="58">'331'!$T$104</definedName>
    <definedName name="OSRRefT22_2x_0" localSheetId="61">'332'!$T$54</definedName>
    <definedName name="OSRRefT22_2x_0" localSheetId="77">'405'!$T$38</definedName>
    <definedName name="OSRRefT22_2x_0" localSheetId="78">'406'!$T$39</definedName>
    <definedName name="OSRRefT22_2x_0" localSheetId="79">'411'!$T$37</definedName>
    <definedName name="OSRRefT22_2x_0" localSheetId="80">'412'!$T$39</definedName>
    <definedName name="OSRRefT22_2x_0" localSheetId="81">'413'!$T$38</definedName>
    <definedName name="OSRRefT22_2x_0" localSheetId="82">'414'!$T$37</definedName>
    <definedName name="OSRRefT22_2x_0" localSheetId="83">'415'!$T$39</definedName>
    <definedName name="OSRRefT22_2x_0" localSheetId="84">'418'!$T$40</definedName>
    <definedName name="OSRRefT22_2x_0" localSheetId="85">'420'!$T$36</definedName>
    <definedName name="OSRRefT22_2x_0" localSheetId="86">'423'!$T$32</definedName>
    <definedName name="OSRRefT22_2x_0" localSheetId="87">'424'!$T$32</definedName>
    <definedName name="OSRRefT22_2x_0" localSheetId="88">'425'!$T$39</definedName>
    <definedName name="OSRRefT22_2x_0" localSheetId="91">'430'!$T$31</definedName>
    <definedName name="OSRRefT22_2x_0" localSheetId="92">'433'!$T$42</definedName>
    <definedName name="OSRRefT22_2x_0" localSheetId="93">'435'!$T$33</definedName>
    <definedName name="OSRRefT22_2x_0" localSheetId="94">'444'!$T$42</definedName>
    <definedName name="OSRRefT22_2x_0" localSheetId="95">'450'!$T$42</definedName>
    <definedName name="OSRRefT22_2x_0" localSheetId="76">'491'!$T$49</definedName>
    <definedName name="OSRRefT22_2x_0" localSheetId="90">'492'!$T$45</definedName>
    <definedName name="OSRRefT22_2x_0" localSheetId="97">'501'!$T$37</definedName>
    <definedName name="OSRRefT22_2x_0" localSheetId="39">'Div 2'!$T$40</definedName>
    <definedName name="OSRRefT22_2x_0" localSheetId="47">'Div 3'!$T$187</definedName>
    <definedName name="OSRRefT22_2x_0" localSheetId="74">'Div 4'!$T$50</definedName>
    <definedName name="OSRRefT22_2x_0" localSheetId="96">'Div 5'!$T$37</definedName>
    <definedName name="OSRRefT22_2x_0" localSheetId="64">'Div 6'!$T$74</definedName>
    <definedName name="OSRRefT22_2x_0" localSheetId="2">Summary!$T$219</definedName>
    <definedName name="OSRRefT22_3x_0" localSheetId="40">'200'!$T$26</definedName>
    <definedName name="OSRRefT22_3x_0" localSheetId="41">'201'!$T$35</definedName>
    <definedName name="OSRRefT22_3x_0" localSheetId="42">'202'!$T$36</definedName>
    <definedName name="OSRRefT22_3x_0" localSheetId="43">'203'!$T$38</definedName>
    <definedName name="OSRRefT22_3x_0" localSheetId="44">'204'!$T$39</definedName>
    <definedName name="OSRRefT22_3x_0" localSheetId="45">'205'!$T$33</definedName>
    <definedName name="OSRRefT22_3x_0" localSheetId="46">'206'!$T$35</definedName>
    <definedName name="OSRRefT22_3x_0" localSheetId="48">'300'!$T$184:$T$185</definedName>
    <definedName name="OSRRefT22_3x_0" localSheetId="49">'300 &amp; 317'!$T$209:$T$210</definedName>
    <definedName name="OSRRefT22_3x_0" localSheetId="50">'301'!$T$41:$T$42</definedName>
    <definedName name="OSRRefT22_3x_0" localSheetId="51">'306'!$T$39</definedName>
    <definedName name="OSRRefT22_3x_0" localSheetId="53">'307'!$T$86</definedName>
    <definedName name="OSRRefT22_3x_0" localSheetId="55">'308'!$T$83:$T$84</definedName>
    <definedName name="OSRRefT22_3x_0" localSheetId="67">'309'!$T$41</definedName>
    <definedName name="OSRRefT22_3x_0" localSheetId="66">'310'!$T$48</definedName>
    <definedName name="OSRRefT22_3x_0" localSheetId="75">'310 &amp; 491'!$T$57</definedName>
    <definedName name="OSRRefT22_3x_0" localSheetId="56">'311'!$T$82:$T$83</definedName>
    <definedName name="OSRRefT22_3x_0" localSheetId="68">'313'!$T$44</definedName>
    <definedName name="OSRRefT22_3x_0" localSheetId="54">'314'!$T$69:$T$70</definedName>
    <definedName name="OSRRefT22_3x_0" localSheetId="59">'315'!$T$99:$T$100</definedName>
    <definedName name="OSRRefT22_3x_0" localSheetId="62">'316'!$T$47</definedName>
    <definedName name="OSRRefT22_3x_0" localSheetId="65">'317'!$T$76</definedName>
    <definedName name="OSRRefT22_3x_0" localSheetId="63">'320'!$T$42</definedName>
    <definedName name="OSRRefT22_3x_0" localSheetId="69">'321'!$T$41</definedName>
    <definedName name="OSRRefT22_3x_0" localSheetId="70">'322'!$T$40</definedName>
    <definedName name="OSRRefT22_3x_0" localSheetId="72">'325'!$T$41</definedName>
    <definedName name="OSRRefT22_3x_0" localSheetId="60">'326'!$T$76</definedName>
    <definedName name="OSRRefT22_3x_0" localSheetId="52">'330'!$T$95</definedName>
    <definedName name="OSRRefT22_3x_0" localSheetId="58">'331'!$T$106</definedName>
    <definedName name="OSRRefT22_3x_0" localSheetId="61">'332'!$T$56</definedName>
    <definedName name="OSRRefT22_3x_0" localSheetId="77">'405'!$T$40</definedName>
    <definedName name="OSRRefT22_3x_0" localSheetId="78">'406'!$T$41</definedName>
    <definedName name="OSRRefT22_3x_0" localSheetId="79">'411'!$T$39</definedName>
    <definedName name="OSRRefT22_3x_0" localSheetId="80">'412'!$T$41</definedName>
    <definedName name="OSRRefT22_3x_0" localSheetId="81">'413'!$T$40</definedName>
    <definedName name="OSRRefT22_3x_0" localSheetId="82">'414'!$T$39</definedName>
    <definedName name="OSRRefT22_3x_0" localSheetId="83">'415'!$T$41</definedName>
    <definedName name="OSRRefT22_3x_0" localSheetId="84">'418'!$T$42</definedName>
    <definedName name="OSRRefT22_3x_0" localSheetId="85">'420'!$T$38</definedName>
    <definedName name="OSRRefT22_3x_0" localSheetId="86">'423'!$T$34</definedName>
    <definedName name="OSRRefT22_3x_0" localSheetId="87">'424'!$T$34</definedName>
    <definedName name="OSRRefT22_3x_0" localSheetId="88">'425'!$T$41</definedName>
    <definedName name="OSRRefT22_3x_0" localSheetId="91">'430'!$T$33</definedName>
    <definedName name="OSRRefT22_3x_0" localSheetId="92">'433'!$T$44</definedName>
    <definedName name="OSRRefT22_3x_0" localSheetId="93">'435'!$T$35</definedName>
    <definedName name="OSRRefT22_3x_0" localSheetId="94">'444'!$T$44</definedName>
    <definedName name="OSRRefT22_3x_0" localSheetId="95">'450'!$T$44</definedName>
    <definedName name="OSRRefT22_3x_0" localSheetId="76">'491'!$T$51</definedName>
    <definedName name="OSRRefT22_3x_0" localSheetId="90">'492'!$T$47</definedName>
    <definedName name="OSRRefT22_3x_0" localSheetId="97">'501'!$T$39</definedName>
    <definedName name="OSRRefT22_3x_0" localSheetId="39">'Div 2'!$T$42</definedName>
    <definedName name="OSRRefT22_3x_0" localSheetId="47">'Div 3'!$T$189:$T$190</definedName>
    <definedName name="OSRRefT22_3x_0" localSheetId="74">'Div 4'!$T$52</definedName>
    <definedName name="OSRRefT22_3x_0" localSheetId="96">'Div 5'!$T$39</definedName>
    <definedName name="OSRRefT22_3x_0" localSheetId="64">'Div 6'!$T$76</definedName>
    <definedName name="OSRRefT22_3x_0" localSheetId="2">Summary!$T$221:$T$222</definedName>
    <definedName name="OSRRefT22_4x_0" localSheetId="40">'200'!$T$28:$T$29</definedName>
    <definedName name="OSRRefT22_4x_0" localSheetId="41">'201'!$T$37</definedName>
    <definedName name="OSRRefT22_4x_0" localSheetId="42">'202'!$T$38:$T$39</definedName>
    <definedName name="OSRRefT22_4x_0" localSheetId="43">'203'!$T$40</definedName>
    <definedName name="OSRRefT22_4x_0" localSheetId="44">'204'!$T$41</definedName>
    <definedName name="OSRRefT22_4x_0" localSheetId="45">'205'!$T$35:$T$36</definedName>
    <definedName name="OSRRefT22_4x_0" localSheetId="46">'206'!$T$37</definedName>
    <definedName name="OSRRefT22_4x_0" localSheetId="48">'300'!$T$187</definedName>
    <definedName name="OSRRefT22_4x_0" localSheetId="49">'300 &amp; 317'!$T$212</definedName>
    <definedName name="OSRRefT22_4x_0" localSheetId="50">'301'!$T$44</definedName>
    <definedName name="OSRRefT22_4x_0" localSheetId="51">'306'!$T$41</definedName>
    <definedName name="OSRRefT22_4x_0" localSheetId="53">'307'!$T$88:$T$89</definedName>
    <definedName name="OSRRefT22_4x_0" localSheetId="55">'308'!$T$86</definedName>
    <definedName name="OSRRefT22_4x_0" localSheetId="67">'309'!$T$43</definedName>
    <definedName name="OSRRefT22_4x_0" localSheetId="66">'310'!$T$50</definedName>
    <definedName name="OSRRefT22_4x_0" localSheetId="75">'310 &amp; 491'!$T$59</definedName>
    <definedName name="OSRRefT22_4x_0" localSheetId="56">'311'!$T$85</definedName>
    <definedName name="OSRRefT22_4x_0" localSheetId="68">'313'!$T$46</definedName>
    <definedName name="OSRRefT22_4x_0" localSheetId="54">'314'!$T$72</definedName>
    <definedName name="OSRRefT22_4x_0" localSheetId="59">'315'!$T$102</definedName>
    <definedName name="OSRRefT22_4x_0" localSheetId="62">'316'!$T$49</definedName>
    <definedName name="OSRRefT22_4x_0" localSheetId="65">'317'!$T$78</definedName>
    <definedName name="OSRRefT22_4x_0" localSheetId="63">'320'!$T$44:$T$45</definedName>
    <definedName name="OSRRefT22_4x_0" localSheetId="69">'321'!$T$43</definedName>
    <definedName name="OSRRefT22_4x_0" localSheetId="70">'322'!$T$42</definedName>
    <definedName name="OSRRefT22_4x_0" localSheetId="72">'325'!$T$43</definedName>
    <definedName name="OSRRefT22_4x_0" localSheetId="60">'326'!$T$78</definedName>
    <definedName name="OSRRefT22_4x_0" localSheetId="52">'330'!$T$97:$T$98</definedName>
    <definedName name="OSRRefT22_4x_0" localSheetId="58">'331'!$T$108</definedName>
    <definedName name="OSRRefT22_4x_0" localSheetId="61">'332'!$T$58</definedName>
    <definedName name="OSRRefT22_4x_0" localSheetId="77">'405'!$T$42</definedName>
    <definedName name="OSRRefT22_4x_0" localSheetId="78">'406'!$T$43</definedName>
    <definedName name="OSRRefT22_4x_0" localSheetId="79">'411'!$T$41:$T$43</definedName>
    <definedName name="OSRRefT22_4x_0" localSheetId="80">'412'!$T$43</definedName>
    <definedName name="OSRRefT22_4x_0" localSheetId="81">'413'!$T$42</definedName>
    <definedName name="OSRRefT22_4x_0" localSheetId="82">'414'!$T$41</definedName>
    <definedName name="OSRRefT22_4x_0" localSheetId="83">'415'!$T$43</definedName>
    <definedName name="OSRRefT22_4x_0" localSheetId="84">'418'!$T$44</definedName>
    <definedName name="OSRRefT22_4x_0" localSheetId="85">'420'!$T$40:$T$41</definedName>
    <definedName name="OSRRefT22_4x_0" localSheetId="86">'423'!$T$36</definedName>
    <definedName name="OSRRefT22_4x_0" localSheetId="87">'424'!$T$36</definedName>
    <definedName name="OSRRefT22_4x_0" localSheetId="88">'425'!$T$43</definedName>
    <definedName name="OSRRefT22_4x_0" localSheetId="91">'430'!$T$35:$T$36</definedName>
    <definedName name="OSRRefT22_4x_0" localSheetId="92">'433'!$T$46</definedName>
    <definedName name="OSRRefT22_4x_0" localSheetId="93">'435'!$T$37</definedName>
    <definedName name="OSRRefT22_4x_0" localSheetId="94">'444'!$T$46</definedName>
    <definedName name="OSRRefT22_4x_0" localSheetId="95">'450'!$T$46</definedName>
    <definedName name="OSRRefT22_4x_0" localSheetId="76">'491'!$T$53</definedName>
    <definedName name="OSRRefT22_4x_0" localSheetId="90">'492'!$T$49</definedName>
    <definedName name="OSRRefT22_4x_0" localSheetId="97">'501'!$T$41</definedName>
    <definedName name="OSRRefT22_4x_0" localSheetId="39">'Div 2'!$T$44</definedName>
    <definedName name="OSRRefT22_4x_0" localSheetId="47">'Div 3'!$T$192</definedName>
    <definedName name="OSRRefT22_4x_0" localSheetId="74">'Div 4'!$T$54</definedName>
    <definedName name="OSRRefT22_4x_0" localSheetId="96">'Div 5'!$T$41</definedName>
    <definedName name="OSRRefT22_4x_0" localSheetId="64">'Div 6'!$T$78</definedName>
    <definedName name="OSRRefT22_4x_0" localSheetId="2">Summary!$T$224</definedName>
    <definedName name="OSRRefT22_5x_0" localSheetId="41">'201'!$T$39</definedName>
    <definedName name="OSRRefT22_5x_0" localSheetId="42">'202'!$T$41</definedName>
    <definedName name="OSRRefT22_5x_0" localSheetId="43">'203'!$T$42</definedName>
    <definedName name="OSRRefT22_5x_0" localSheetId="44">'204'!$T$43</definedName>
    <definedName name="OSRRefT22_5x_0" localSheetId="45">'205'!$T$38</definedName>
    <definedName name="OSRRefT22_5x_0" localSheetId="46">'206'!$T$39:$T$40</definedName>
    <definedName name="OSRRefT22_5x_0" localSheetId="48">'300'!$T$189:$T$190</definedName>
    <definedName name="OSRRefT22_5x_0" localSheetId="49">'300 &amp; 317'!$T$214:$T$215</definedName>
    <definedName name="OSRRefT22_5x_0" localSheetId="50">'301'!$T$46:$T$47</definedName>
    <definedName name="OSRRefT22_5x_0" localSheetId="51">'306'!$T$43</definedName>
    <definedName name="OSRRefT22_5x_0" localSheetId="53">'307'!$T$91</definedName>
    <definedName name="OSRRefT22_5x_0" localSheetId="55">'308'!$T$88</definedName>
    <definedName name="OSRRefT22_5x_0" localSheetId="67">'309'!$T$45</definedName>
    <definedName name="OSRRefT22_5x_0" localSheetId="66">'310'!$T$52:$T$53</definedName>
    <definedName name="OSRRefT22_5x_0" localSheetId="75">'310 &amp; 491'!$T$61:$T$63</definedName>
    <definedName name="OSRRefT22_5x_0" localSheetId="56">'311'!$T$87</definedName>
    <definedName name="OSRRefT22_5x_0" localSheetId="68">'313'!$T$48</definedName>
    <definedName name="OSRRefT22_5x_0" localSheetId="54">'314'!$T$74</definedName>
    <definedName name="OSRRefT22_5x_0" localSheetId="59">'315'!$T$104:$T$105</definedName>
    <definedName name="OSRRefT22_5x_0" localSheetId="62">'316'!$T$51</definedName>
    <definedName name="OSRRefT22_5x_0" localSheetId="65">'317'!$T$80:$T$81</definedName>
    <definedName name="OSRRefT22_5x_0" localSheetId="63">'320'!$T$47</definedName>
    <definedName name="OSRRefT22_5x_0" localSheetId="69">'321'!$T$45</definedName>
    <definedName name="OSRRefT22_5x_0" localSheetId="70">'322'!$T$44</definedName>
    <definedName name="OSRRefT22_5x_0" localSheetId="72">'325'!$T$45:$T$46</definedName>
    <definedName name="OSRRefT22_5x_0" localSheetId="60">'326'!$T$80</definedName>
    <definedName name="OSRRefT22_5x_0" localSheetId="52">'330'!$T$100</definedName>
    <definedName name="OSRRefT22_5x_0" localSheetId="58">'331'!$T$110:$T$111</definedName>
    <definedName name="OSRRefT22_5x_0" localSheetId="61">'332'!$T$60</definedName>
    <definedName name="OSRRefT22_5x_0" localSheetId="77">'405'!$T$44:$T$45</definedName>
    <definedName name="OSRRefT22_5x_0" localSheetId="78">'406'!$T$45</definedName>
    <definedName name="OSRRefT22_5x_0" localSheetId="79">'411'!$T$45</definedName>
    <definedName name="OSRRefT22_5x_0" localSheetId="80">'412'!$T$45</definedName>
    <definedName name="OSRRefT22_5x_0" localSheetId="81">'413'!$T$44</definedName>
    <definedName name="OSRRefT22_5x_0" localSheetId="82">'414'!$T$43</definedName>
    <definedName name="OSRRefT22_5x_0" localSheetId="83">'415'!$T$45:$T$46</definedName>
    <definedName name="OSRRefT22_5x_0" localSheetId="84">'418'!$T$46:$T$47</definedName>
    <definedName name="OSRRefT22_5x_0" localSheetId="85">'420'!$T$43</definedName>
    <definedName name="OSRRefT22_5x_0" localSheetId="86">'423'!$T$38</definedName>
    <definedName name="OSRRefT22_5x_0" localSheetId="87">'424'!$T$38</definedName>
    <definedName name="OSRRefT22_5x_0" localSheetId="88">'425'!$T$45</definedName>
    <definedName name="OSRRefT22_5x_0" localSheetId="91">'430'!$T$38</definedName>
    <definedName name="OSRRefT22_5x_0" localSheetId="92">'433'!$T$48</definedName>
    <definedName name="OSRRefT22_5x_0" localSheetId="93">'435'!$T$39</definedName>
    <definedName name="OSRRefT22_5x_0" localSheetId="94">'444'!$T$48</definedName>
    <definedName name="OSRRefT22_5x_0" localSheetId="95">'450'!$T$48</definedName>
    <definedName name="OSRRefT22_5x_0" localSheetId="76">'491'!$T$55:$T$57</definedName>
    <definedName name="OSRRefT22_5x_0" localSheetId="90">'492'!$T$51</definedName>
    <definedName name="OSRRefT22_5x_0" localSheetId="97">'501'!$T$43:$T$44</definedName>
    <definedName name="OSRRefT22_5x_0" localSheetId="39">'Div 2'!$T$46</definedName>
    <definedName name="OSRRefT22_5x_0" localSheetId="47">'Div 3'!$T$194:$T$195</definedName>
    <definedName name="OSRRefT22_5x_0" localSheetId="74">'Div 4'!$T$56:$T$58</definedName>
    <definedName name="OSRRefT22_5x_0" localSheetId="96">'Div 5'!$T$43:$T$44</definedName>
    <definedName name="OSRRefT22_5x_0" localSheetId="64">'Div 6'!$T$80:$T$81</definedName>
    <definedName name="OSRRefT22_5x_0" localSheetId="2">Summary!$T$226:$T$228</definedName>
    <definedName name="OSRRefT22_6x_0" localSheetId="41">'201'!$T$41</definedName>
    <definedName name="OSRRefT22_6x_0" localSheetId="42">'202'!$T$43</definedName>
    <definedName name="OSRRefT22_6x_0" localSheetId="43">'203'!$T$44</definedName>
    <definedName name="OSRRefT22_6x_0" localSheetId="44">'204'!$T$45:$T$47</definedName>
    <definedName name="OSRRefT22_6x_0" localSheetId="45">'205'!$T$40:$T$42</definedName>
    <definedName name="OSRRefT22_6x_0" localSheetId="46">'206'!$T$42</definedName>
    <definedName name="OSRRefT22_6x_0" localSheetId="48">'300'!$T$192:$T$193</definedName>
    <definedName name="OSRRefT22_6x_0" localSheetId="49">'300 &amp; 317'!$T$217:$T$218</definedName>
    <definedName name="OSRRefT22_6x_0" localSheetId="50">'301'!$T$49:$T$50</definedName>
    <definedName name="OSRRefT22_6x_0" localSheetId="51">'306'!$T$45:$T$46</definedName>
    <definedName name="OSRRefT22_6x_0" localSheetId="53">'307'!$T$93</definedName>
    <definedName name="OSRRefT22_6x_0" localSheetId="55">'308'!$T$90:$T$91</definedName>
    <definedName name="OSRRefT22_6x_0" localSheetId="67">'309'!$T$47</definedName>
    <definedName name="OSRRefT22_6x_0" localSheetId="66">'310'!$T$55</definedName>
    <definedName name="OSRRefT22_6x_0" localSheetId="75">'310 &amp; 491'!$T$65</definedName>
    <definedName name="OSRRefT22_6x_0" localSheetId="56">'311'!$T$89:$T$90</definedName>
    <definedName name="OSRRefT22_6x_0" localSheetId="68">'313'!$T$50</definedName>
    <definedName name="OSRRefT22_6x_0" localSheetId="54">'314'!$T$76</definedName>
    <definedName name="OSRRefT22_6x_0" localSheetId="59">'315'!$T$107</definedName>
    <definedName name="OSRRefT22_6x_0" localSheetId="62">'316'!$T$53:$T$54</definedName>
    <definedName name="OSRRefT22_6x_0" localSheetId="65">'317'!$T$83</definedName>
    <definedName name="OSRRefT22_6x_0" localSheetId="63">'320'!$T$49</definedName>
    <definedName name="OSRRefT22_6x_0" localSheetId="69">'321'!$T$47:$T$49</definedName>
    <definedName name="OSRRefT22_6x_0" localSheetId="70">'322'!$T$46</definedName>
    <definedName name="OSRRefT22_6x_0" localSheetId="72">'325'!$T$48</definedName>
    <definedName name="OSRRefT22_6x_0" localSheetId="60">'326'!$T$82</definedName>
    <definedName name="OSRRefT22_6x_0" localSheetId="52">'330'!$T$102</definedName>
    <definedName name="OSRRefT22_6x_0" localSheetId="58">'331'!$T$113</definedName>
    <definedName name="OSRRefT22_6x_0" localSheetId="61">'332'!$T$62:$T$63</definedName>
    <definedName name="OSRRefT22_6x_0" localSheetId="77">'405'!$T$47</definedName>
    <definedName name="OSRRefT22_6x_0" localSheetId="78">'406'!$T$47</definedName>
    <definedName name="OSRRefT22_6x_0" localSheetId="79">'411'!$T$47</definedName>
    <definedName name="OSRRefT22_6x_0" localSheetId="80">'412'!$T$47</definedName>
    <definedName name="OSRRefT22_6x_0" localSheetId="81">'413'!$T$46</definedName>
    <definedName name="OSRRefT22_6x_0" localSheetId="82">'414'!$T$45</definedName>
    <definedName name="OSRRefT22_6x_0" localSheetId="83">'415'!$T$48</definedName>
    <definedName name="OSRRefT22_6x_0" localSheetId="84">'418'!$T$49</definedName>
    <definedName name="OSRRefT22_6x_0" localSheetId="87">'424'!$T$40</definedName>
    <definedName name="OSRRefT22_6x_0" localSheetId="88">'425'!$T$47</definedName>
    <definedName name="OSRRefT22_6x_0" localSheetId="91">'430'!$T$40</definedName>
    <definedName name="OSRRefT22_6x_0" localSheetId="92">'433'!$T$50</definedName>
    <definedName name="OSRRefT22_6x_0" localSheetId="93">'435'!$T$41:$T$43</definedName>
    <definedName name="OSRRefT22_6x_0" localSheetId="94">'444'!$T$50</definedName>
    <definedName name="OSRRefT22_6x_0" localSheetId="95">'450'!$T$50</definedName>
    <definedName name="OSRRefT22_6x_0" localSheetId="76">'491'!$T$59</definedName>
    <definedName name="OSRRefT22_6x_0" localSheetId="90">'492'!$T$53</definedName>
    <definedName name="OSRRefT22_6x_0" localSheetId="97">'501'!$T$46</definedName>
    <definedName name="OSRRefT22_6x_0" localSheetId="39">'Div 2'!$T$48</definedName>
    <definedName name="OSRRefT22_6x_0" localSheetId="47">'Div 3'!$T$197:$T$198</definedName>
    <definedName name="OSRRefT22_6x_0" localSheetId="74">'Div 4'!$T$60</definedName>
    <definedName name="OSRRefT22_6x_0" localSheetId="96">'Div 5'!$T$46</definedName>
    <definedName name="OSRRefT22_6x_0" localSheetId="64">'Div 6'!$T$83</definedName>
    <definedName name="OSRRefT22_6x_0" localSheetId="2">Summary!$T$230:$T$231</definedName>
    <definedName name="OSRRefT22_7x_0" localSheetId="41">'201'!$T$43</definedName>
    <definedName name="OSRRefT22_7x_0" localSheetId="42">'202'!$T$45:$T$47</definedName>
    <definedName name="OSRRefT22_7x_0" localSheetId="43">'203'!$T$46</definedName>
    <definedName name="OSRRefT22_7x_0" localSheetId="44">'204'!$T$49</definedName>
    <definedName name="OSRRefT22_7x_0" localSheetId="45">'205'!$T$44</definedName>
    <definedName name="OSRRefT22_7x_0" localSheetId="46">'206'!$T$44</definedName>
    <definedName name="OSRRefT22_7x_0" localSheetId="48">'300'!$T$195</definedName>
    <definedName name="OSRRefT22_7x_0" localSheetId="49">'300 &amp; 317'!$T$220</definedName>
    <definedName name="OSRRefT22_7x_0" localSheetId="50">'301'!$T$52</definedName>
    <definedName name="OSRRefT22_7x_0" localSheetId="51">'306'!$T$48:$T$50</definedName>
    <definedName name="OSRRefT22_7x_0" localSheetId="53">'307'!$T$95:$T$96</definedName>
    <definedName name="OSRRefT22_7x_0" localSheetId="55">'308'!$T$93</definedName>
    <definedName name="OSRRefT22_7x_0" localSheetId="67">'309'!$T$49</definedName>
    <definedName name="OSRRefT22_7x_0" localSheetId="66">'310'!$T$57</definedName>
    <definedName name="OSRRefT22_7x_0" localSheetId="75">'310 &amp; 491'!$T$67</definedName>
    <definedName name="OSRRefT22_7x_0" localSheetId="56">'311'!$T$92</definedName>
    <definedName name="OSRRefT22_7x_0" localSheetId="68">'313'!$T$52</definedName>
    <definedName name="OSRRefT22_7x_0" localSheetId="54">'314'!$T$78</definedName>
    <definedName name="OSRRefT22_7x_0" localSheetId="59">'315'!$T$109:$T$110</definedName>
    <definedName name="OSRRefT22_7x_0" localSheetId="62">'316'!$T$56</definedName>
    <definedName name="OSRRefT22_7x_0" localSheetId="65">'317'!$T$85</definedName>
    <definedName name="OSRRefT22_7x_0" localSheetId="63">'320'!$T$51:$T$52</definedName>
    <definedName name="OSRRefT22_7x_0" localSheetId="69">'321'!$T$51</definedName>
    <definedName name="OSRRefT22_7x_0" localSheetId="70">'322'!$T$48</definedName>
    <definedName name="OSRRefT22_7x_0" localSheetId="72">'325'!$T$50</definedName>
    <definedName name="OSRRefT22_7x_0" localSheetId="60">'326'!$T$84</definedName>
    <definedName name="OSRRefT22_7x_0" localSheetId="52">'330'!$T$104</definedName>
    <definedName name="OSRRefT22_7x_0" localSheetId="58">'331'!$T$115:$T$116</definedName>
    <definedName name="OSRRefT22_7x_0" localSheetId="61">'332'!$T$65</definedName>
    <definedName name="OSRRefT22_7x_0" localSheetId="77">'405'!$T$49</definedName>
    <definedName name="OSRRefT22_7x_0" localSheetId="78">'406'!$T$49</definedName>
    <definedName name="OSRRefT22_7x_0" localSheetId="79">'411'!$T$49</definedName>
    <definedName name="OSRRefT22_7x_0" localSheetId="80">'412'!$T$49</definedName>
    <definedName name="OSRRefT22_7x_0" localSheetId="81">'413'!$T$48:$T$50</definedName>
    <definedName name="OSRRefT22_7x_0" localSheetId="82">'414'!$T$47</definedName>
    <definedName name="OSRRefT22_7x_0" localSheetId="83">'415'!$T$50</definedName>
    <definedName name="OSRRefT22_7x_0" localSheetId="84">'418'!$T$51</definedName>
    <definedName name="OSRRefT22_7x_0" localSheetId="87">'424'!$T$42</definedName>
    <definedName name="OSRRefT22_7x_0" localSheetId="88">'425'!$T$49</definedName>
    <definedName name="OSRRefT22_7x_0" localSheetId="91">'430'!$T$42</definedName>
    <definedName name="OSRRefT22_7x_0" localSheetId="92">'433'!$T$52</definedName>
    <definedName name="OSRRefT22_7x_0" localSheetId="93">'435'!$T$45</definedName>
    <definedName name="OSRRefT22_7x_0" localSheetId="94">'444'!$T$52</definedName>
    <definedName name="OSRRefT22_7x_0" localSheetId="95">'450'!$T$52</definedName>
    <definedName name="OSRRefT22_7x_0" localSheetId="76">'491'!$T$61</definedName>
    <definedName name="OSRRefT22_7x_0" localSheetId="90">'492'!$T$55</definedName>
    <definedName name="OSRRefT22_7x_0" localSheetId="97">'501'!$T$48</definedName>
    <definedName name="OSRRefT22_7x_0" localSheetId="39">'Div 2'!$T$50</definedName>
    <definedName name="OSRRefT22_7x_0" localSheetId="47">'Div 3'!$T$200</definedName>
    <definedName name="OSRRefT22_7x_0" localSheetId="74">'Div 4'!$T$62</definedName>
    <definedName name="OSRRefT22_7x_0" localSheetId="96">'Div 5'!$T$48</definedName>
    <definedName name="OSRRefT22_7x_0" localSheetId="64">'Div 6'!$T$85</definedName>
    <definedName name="OSRRefT22_7x_0" localSheetId="2">Summary!$T$233</definedName>
    <definedName name="OSRRefT22_8x_0" localSheetId="41">'201'!$T$45</definedName>
    <definedName name="OSRRefT22_8x_0" localSheetId="42">'202'!$T$49</definedName>
    <definedName name="OSRRefT22_8x_0" localSheetId="43">'203'!$T$48</definedName>
    <definedName name="OSRRefT22_8x_0" localSheetId="44">'204'!$T$51:$T$52</definedName>
    <definedName name="OSRRefT22_8x_0" localSheetId="45">'205'!$T$46</definedName>
    <definedName name="OSRRefT22_8x_0" localSheetId="48">'300'!$T$197</definedName>
    <definedName name="OSRRefT22_8x_0" localSheetId="49">'300 &amp; 317'!$T$222</definedName>
    <definedName name="OSRRefT22_8x_0" localSheetId="50">'301'!$T$54</definedName>
    <definedName name="OSRRefT22_8x_0" localSheetId="51">'306'!$T$52</definedName>
    <definedName name="OSRRefT22_8x_0" localSheetId="53">'307'!$T$98:$T$99</definedName>
    <definedName name="OSRRefT22_8x_0" localSheetId="55">'308'!$T$95</definedName>
    <definedName name="OSRRefT22_8x_0" localSheetId="67">'309'!$T$51</definedName>
    <definedName name="OSRRefT22_8x_0" localSheetId="66">'310'!$T$59</definedName>
    <definedName name="OSRRefT22_8x_0" localSheetId="75">'310 &amp; 491'!$T$69</definedName>
    <definedName name="OSRRefT22_8x_0" localSheetId="56">'311'!$T$94</definedName>
    <definedName name="OSRRefT22_8x_0" localSheetId="68">'313'!$T$54:$T$56</definedName>
    <definedName name="OSRRefT22_8x_0" localSheetId="59">'315'!$T$112:$T$113</definedName>
    <definedName name="OSRRefT22_8x_0" localSheetId="62">'316'!$T$58:$T$60</definedName>
    <definedName name="OSRRefT22_8x_0" localSheetId="65">'317'!$T$87</definedName>
    <definedName name="OSRRefT22_8x_0" localSheetId="63">'320'!$T$54</definedName>
    <definedName name="OSRRefT22_8x_0" localSheetId="69">'321'!$T$53:$T$55</definedName>
    <definedName name="OSRRefT22_8x_0" localSheetId="70">'322'!$T$50:$T$51</definedName>
    <definedName name="OSRRefT22_8x_0" localSheetId="72">'325'!$T$52</definedName>
    <definedName name="OSRRefT22_8x_0" localSheetId="60">'326'!$T$86</definedName>
    <definedName name="OSRRefT22_8x_0" localSheetId="52">'330'!$T$106:$T$107</definedName>
    <definedName name="OSRRefT22_8x_0" localSheetId="58">'331'!$T$118</definedName>
    <definedName name="OSRRefT22_8x_0" localSheetId="61">'332'!$T$67</definedName>
    <definedName name="OSRRefT22_8x_0" localSheetId="77">'405'!$T$51</definedName>
    <definedName name="OSRRefT22_8x_0" localSheetId="78">'406'!$T$51</definedName>
    <definedName name="OSRRefT22_8x_0" localSheetId="79">'411'!$T$51</definedName>
    <definedName name="OSRRefT22_8x_0" localSheetId="80">'412'!$T$51</definedName>
    <definedName name="OSRRefT22_8x_0" localSheetId="81">'413'!$T$52:$T$53</definedName>
    <definedName name="OSRRefT22_8x_0" localSheetId="82">'414'!$T$49</definedName>
    <definedName name="OSRRefT22_8x_0" localSheetId="83">'415'!$T$52</definedName>
    <definedName name="OSRRefT22_8x_0" localSheetId="84">'418'!$T$53</definedName>
    <definedName name="OSRRefT22_8x_0" localSheetId="87">'424'!$T$44:$T$45</definedName>
    <definedName name="OSRRefT22_8x_0" localSheetId="88">'425'!$T$51</definedName>
    <definedName name="OSRRefT22_8x_0" localSheetId="92">'433'!$T$54</definedName>
    <definedName name="OSRRefT22_8x_0" localSheetId="94">'444'!$T$54</definedName>
    <definedName name="OSRRefT22_8x_0" localSheetId="95">'450'!$T$54</definedName>
    <definedName name="OSRRefT22_8x_0" localSheetId="76">'491'!$T$63</definedName>
    <definedName name="OSRRefT22_8x_0" localSheetId="90">'492'!$T$57</definedName>
    <definedName name="OSRRefT22_8x_0" localSheetId="97">'501'!$T$50:$T$52</definedName>
    <definedName name="OSRRefT22_8x_0" localSheetId="39">'Div 2'!$T$52</definedName>
    <definedName name="OSRRefT22_8x_0" localSheetId="47">'Div 3'!$T$202</definedName>
    <definedName name="OSRRefT22_8x_0" localSheetId="74">'Div 4'!$T$64</definedName>
    <definedName name="OSRRefT22_8x_0" localSheetId="96">'Div 5'!$T$50:$T$52</definedName>
    <definedName name="OSRRefT22_8x_0" localSheetId="64">'Div 6'!$T$87</definedName>
    <definedName name="OSRRefT22_8x_0" localSheetId="2">Summary!$T$235</definedName>
    <definedName name="OSRRefT22_9x_0" localSheetId="41">'201'!$T$47:$T$49</definedName>
    <definedName name="OSRRefT22_9x_0" localSheetId="42">'202'!$T$51</definedName>
    <definedName name="OSRRefT22_9x_0" localSheetId="43">'203'!$T$50:$T$51</definedName>
    <definedName name="OSRRefT22_9x_0" localSheetId="44">'204'!$T$54</definedName>
    <definedName name="OSRRefT22_9x_0" localSheetId="48">'300'!$T$199</definedName>
    <definedName name="OSRRefT22_9x_0" localSheetId="49">'300 &amp; 317'!$T$224</definedName>
    <definedName name="OSRRefT22_9x_0" localSheetId="50">'301'!$T$56</definedName>
    <definedName name="OSRRefT22_9x_0" localSheetId="51">'306'!$T$54</definedName>
    <definedName name="OSRRefT22_9x_0" localSheetId="53">'307'!$T$101:$T$103</definedName>
    <definedName name="OSRRefT22_9x_0" localSheetId="55">'308'!$T$97:$T$98</definedName>
    <definedName name="OSRRefT22_9x_0" localSheetId="67">'309'!$T$53:$T$54</definedName>
    <definedName name="OSRRefT22_9x_0" localSheetId="66">'310'!$T$61</definedName>
    <definedName name="OSRRefT22_9x_0" localSheetId="75">'310 &amp; 491'!$T$71</definedName>
    <definedName name="OSRRefT22_9x_0" localSheetId="56">'311'!$T$96:$T$97</definedName>
    <definedName name="OSRRefT22_9x_0" localSheetId="68">'313'!$T$58</definedName>
    <definedName name="OSRRefT22_9x_0" localSheetId="59">'315'!$T$115:$T$119</definedName>
    <definedName name="OSRRefT22_9x_0" localSheetId="62">'316'!$T$62</definedName>
    <definedName name="OSRRefT22_9x_0" localSheetId="65">'317'!$T$89</definedName>
    <definedName name="OSRRefT22_9x_0" localSheetId="69">'321'!$T$57:$T$60</definedName>
    <definedName name="OSRRefT22_9x_0" localSheetId="70">'322'!$T$53:$T$55</definedName>
    <definedName name="OSRRefT22_9x_0" localSheetId="72">'325'!$T$54</definedName>
    <definedName name="OSRRefT22_9x_0" localSheetId="60">'326'!$T$88</definedName>
    <definedName name="OSRRefT22_9x_0" localSheetId="52">'330'!$T$109:$T$110</definedName>
    <definedName name="OSRRefT22_9x_0" localSheetId="58">'331'!$T$120</definedName>
    <definedName name="OSRRefT22_9x_0" localSheetId="61">'332'!$T$69:$T$71</definedName>
    <definedName name="OSRRefT22_9x_0" localSheetId="77">'405'!$T$53</definedName>
    <definedName name="OSRRefT22_9x_0" localSheetId="78">'406'!$T$53:$T$55</definedName>
    <definedName name="OSRRefT22_9x_0" localSheetId="79">'411'!$T$53</definedName>
    <definedName name="OSRRefT22_9x_0" localSheetId="80">'412'!$T$53:$T$54</definedName>
    <definedName name="OSRRefT22_9x_0" localSheetId="81">'413'!$T$55:$T$59</definedName>
    <definedName name="OSRRefT22_9x_0" localSheetId="82">'414'!$T$51:$T$52</definedName>
    <definedName name="OSRRefT22_9x_0" localSheetId="83">'415'!$T$54</definedName>
    <definedName name="OSRRefT22_9x_0" localSheetId="84">'418'!$T$55:$T$56</definedName>
    <definedName name="OSRRefT22_9x_0" localSheetId="87">'424'!$T$47</definedName>
    <definedName name="OSRRefT22_9x_0" localSheetId="88">'425'!$T$53:$T$55</definedName>
    <definedName name="OSRRefT22_9x_0" localSheetId="92">'433'!$T$56</definedName>
    <definedName name="OSRRefT22_9x_0" localSheetId="94">'444'!$T$56</definedName>
    <definedName name="OSRRefT22_9x_0" localSheetId="95">'450'!$T$56</definedName>
    <definedName name="OSRRefT22_9x_0" localSheetId="76">'491'!$T$65</definedName>
    <definedName name="OSRRefT22_9x_0" localSheetId="90">'492'!$T$59</definedName>
    <definedName name="OSRRefT22_9x_0" localSheetId="97">'501'!$T$54:$T$56</definedName>
    <definedName name="OSRRefT22_9x_0" localSheetId="39">'Div 2'!$T$54:$T$55</definedName>
    <definedName name="OSRRefT22_9x_0" localSheetId="47">'Div 3'!$T$204</definedName>
    <definedName name="OSRRefT22_9x_0" localSheetId="74">'Div 4'!$T$66</definedName>
    <definedName name="OSRRefT22_9x_0" localSheetId="96">'Div 5'!$T$54:$T$56</definedName>
    <definedName name="OSRRefT22_9x_0" localSheetId="64">'Div 6'!$T$89</definedName>
    <definedName name="OSRRefT22_9x_0" localSheetId="2">Summary!$T$237</definedName>
    <definedName name="OSRRefT22x_0" localSheetId="40">'200'!$T$20,'200'!$T$22,'200'!$T$24,'200'!$T$26,'200'!$T$28:$T$29</definedName>
    <definedName name="OSRRefT22x_0" localSheetId="41">'201'!$T$20:$T$27,'201'!$T$29:$T$31,'201'!$T$33,'201'!$T$35,'201'!$T$37,'201'!$T$39,'201'!$T$41,'201'!$T$43,'201'!$T$45,'201'!$T$47:$T$49,'201'!$T$51:$T$53,'201'!$T$55,'201'!$T$57:$T$60,'201'!$T$62,'201'!$T$64,'201'!$T$66</definedName>
    <definedName name="OSRRefT22x_0" localSheetId="42">'202'!$T$20:$T$27,'202'!$T$29:$T$32,'202'!$T$34,'202'!$T$36,'202'!$T$38:$T$39,'202'!$T$41,'202'!$T$43,'202'!$T$45:$T$47,'202'!$T$49,'202'!$T$51,'202'!$T$53:$T$55,'202'!$T$57,'202'!$T$59,'202'!$T$61</definedName>
    <definedName name="OSRRefT22x_0" localSheetId="43">'203'!$T$20:$T$29,'203'!$T$31:$T$34,'203'!$T$36,'203'!$T$38,'203'!$T$40,'203'!$T$42,'203'!$T$44,'203'!$T$46,'203'!$T$48,'203'!$T$50:$T$51,'203'!$T$53:$T$54,'203'!$T$56,'203'!$T$58:$T$61,'203'!$T$63,'203'!$T$65,'203'!$T$67</definedName>
    <definedName name="OSRRefT22x_0" localSheetId="44">'204'!$T$20:$T$29,'204'!$T$31:$T$35,'204'!$T$37,'204'!$T$39,'204'!$T$41,'204'!$T$43,'204'!$T$45:$T$47,'204'!$T$49,'204'!$T$51:$T$52,'204'!$T$54,'204'!$T$56:$T$57</definedName>
    <definedName name="OSRRefT22x_0" localSheetId="45">'205'!$T$20:$T$27,'205'!$T$29,'205'!$T$31,'205'!$T$33,'205'!$T$35:$T$36,'205'!$T$38,'205'!$T$40:$T$42,'205'!$T$44,'205'!$T$46</definedName>
    <definedName name="OSRRefT22x_0" localSheetId="46">'206'!$T$20:$T$26,'206'!$T$28:$T$31,'206'!$T$33,'206'!$T$35,'206'!$T$37,'206'!$T$39:$T$40,'206'!$T$42,'206'!$T$44</definedName>
    <definedName name="OSRRefT22x_0" localSheetId="48">'300'!$T$163:$T$172,'300'!$T$174:$T$180,'300'!$T$182,'300'!$T$184:$T$185,'300'!$T$187,'300'!$T$189:$T$190,'300'!$T$192:$T$193,'300'!$T$195,'300'!$T$197,'300'!$T$199,'300'!$T$201:$T$202,'300'!$T$204,'300'!$T$206,'300'!$T$208,'300'!$T$210,'300'!$T$212,'300'!$T$214:$T$217,'300'!$T$219:$T$221,'300'!$T$223:$T$226,'300'!$T$228:$T$229,'300'!$T$231:$T$237,'300'!$T$239:$T$240,'300'!$T$242,'300'!$T$244:$T$246,'300'!$T$248</definedName>
    <definedName name="OSRRefT22x_0" localSheetId="49">'300 &amp; 317'!$T$188:$T$197,'300 &amp; 317'!$T$199:$T$205,'300 &amp; 317'!$T$207,'300 &amp; 317'!$T$209:$T$210,'300 &amp; 317'!$T$212,'300 &amp; 317'!$T$214:$T$215,'300 &amp; 317'!$T$217:$T$218,'300 &amp; 317'!$T$220,'300 &amp; 317'!$T$222,'300 &amp; 317'!$T$224,'300 &amp; 317'!$T$226:$T$227,'300 &amp; 317'!$T$229,'300 &amp; 317'!$T$231,'300 &amp; 317'!$T$233,'300 &amp; 317'!$T$235,'300 &amp; 317'!$T$237,'300 &amp; 317'!$T$239:$T$242,'300 &amp; 317'!$T$244:$T$246,'300 &amp; 317'!$T$248:$T$251,'300 &amp; 317'!$T$253:$T$254,'300 &amp; 317'!$T$256:$T$262,'300 &amp; 317'!$T$264:$T$265,'300 &amp; 317'!$T$267,'300 &amp; 317'!$T$269:$T$271,'300 &amp; 317'!$T$273</definedName>
    <definedName name="OSRRefT22x_0" localSheetId="50">'301'!$T$20:$T$29,'301'!$T$31:$T$37,'301'!$T$39,'301'!$T$41:$T$42,'301'!$T$44,'301'!$T$46:$T$47,'301'!$T$49:$T$50,'301'!$T$52,'301'!$T$54,'301'!$T$56,'301'!$T$58,'301'!$T$60,'301'!$T$62,'301'!$T$64,'301'!$T$66,'301'!$T$68:$T$71,'301'!$T$73:$T$75,'301'!$T$77,'301'!$T$79:$T$84,'301'!$T$86,'301'!$T$88,'301'!$T$90:$T$92,'301'!$T$94</definedName>
    <definedName name="OSRRefT22x_0" localSheetId="51">'306'!$T$20:$T$28,'306'!$T$30:$T$35,'306'!$T$37,'306'!$T$39,'306'!$T$41,'306'!$T$43,'306'!$T$45:$T$46,'306'!$T$48:$T$50,'306'!$T$52,'306'!$T$54</definedName>
    <definedName name="OSRRefT22x_0" localSheetId="53">'307'!$T$70:$T$77,'307'!$T$79:$T$82,'307'!$T$84,'307'!$T$86,'307'!$T$88:$T$89,'307'!$T$91,'307'!$T$93,'307'!$T$95:$T$96,'307'!$T$98:$T$99,'307'!$T$101:$T$103,'307'!$T$105,'307'!$T$107</definedName>
    <definedName name="OSRRefT22x_0" localSheetId="55">'308'!$T$64:$T$72,'308'!$T$74:$T$79,'308'!$T$81,'308'!$T$83:$T$84,'308'!$T$86,'308'!$T$88,'308'!$T$90:$T$91,'308'!$T$93,'308'!$T$95,'308'!$T$97:$T$98,'308'!$T$100,'308'!$T$102:$T$104,'308'!$T$106:$T$107,'308'!$T$109,'308'!$T$111</definedName>
    <definedName name="OSRRefT22x_0" localSheetId="67">'309'!$T$24:$T$31,'309'!$T$33:$T$37,'309'!$T$39,'309'!$T$41,'309'!$T$43,'309'!$T$45,'309'!$T$47,'309'!$T$49,'309'!$T$51,'309'!$T$53:$T$54,'309'!$T$56:$T$58,'309'!$T$60:$T$62,'309'!$T$64</definedName>
    <definedName name="OSRRefT22x_0" localSheetId="66">'310'!$T$30:$T$37,'310'!$T$39:$T$44,'310'!$T$46,'310'!$T$48,'310'!$T$50,'310'!$T$52:$T$53,'310'!$T$55,'310'!$T$57,'310'!$T$59,'310'!$T$61,'310'!$T$63,'310'!$T$65,'310'!$T$67,'310'!$T$69,'310'!$T$71:$T$73,'310'!$T$75,'310'!$T$77:$T$80,'310'!$T$82,'310'!$T$84:$T$90,'310'!$T$92,'310'!$T$94,'310'!$T$96</definedName>
    <definedName name="OSRRefT22x_0" localSheetId="75">'310 &amp; 491'!$T$37:$T$45,'310 &amp; 491'!$T$47:$T$53,'310 &amp; 491'!$T$55,'310 &amp; 491'!$T$57,'310 &amp; 491'!$T$59,'310 &amp; 491'!$T$61:$T$63,'310 &amp; 491'!$T$65,'310 &amp; 491'!$T$67,'310 &amp; 491'!$T$69,'310 &amp; 491'!$T$71,'310 &amp; 491'!$T$73:$T$74,'310 &amp; 491'!$T$76:$T$77,'310 &amp; 491'!$T$79,'310 &amp; 491'!$T$81,'310 &amp; 491'!$T$83,'310 &amp; 491'!$T$85,'310 &amp; 491'!$T$87:$T$89,'310 &amp; 491'!$T$91:$T$92,'310 &amp; 491'!$T$94:$T$98,'310 &amp; 491'!$T$100:$T$101,'310 &amp; 491'!$T$103:$T$111,'310 &amp; 491'!$T$113,'310 &amp; 491'!$T$115,'310 &amp; 491'!$T$117:$T$119,'310 &amp; 491'!$T$121</definedName>
    <definedName name="OSRRefT22x_0" localSheetId="56">'311'!$T$63:$T$71,'311'!$T$73:$T$78,'311'!$T$80,'311'!$T$82:$T$83,'311'!$T$85,'311'!$T$87,'311'!$T$89:$T$90,'311'!$T$92,'311'!$T$94,'311'!$T$96:$T$97,'311'!$T$99,'311'!$T$101:$T$103,'311'!$T$105:$T$106,'311'!$T$108,'311'!$T$110</definedName>
    <definedName name="OSRRefT22x_0" localSheetId="68">'313'!$T$27:$T$34,'313'!$T$36:$T$40,'313'!$T$42,'313'!$T$44,'313'!$T$46,'313'!$T$48,'313'!$T$50,'313'!$T$52,'313'!$T$54:$T$56,'313'!$T$58,'313'!$T$60:$T$64,'313'!$T$66,'313'!$T$68</definedName>
    <definedName name="OSRRefT22x_0" localSheetId="54">'314'!$T$55:$T$61,'314'!$T$63:$T$65,'314'!$T$67,'314'!$T$69:$T$70,'314'!$T$72,'314'!$T$74,'314'!$T$76,'314'!$T$78</definedName>
    <definedName name="OSRRefT22x_0" localSheetId="59">'315'!$T$81:$T$88,'315'!$T$90:$T$95,'315'!$T$97,'315'!$T$99:$T$100,'315'!$T$102,'315'!$T$104:$T$105,'315'!$T$107,'315'!$T$109:$T$110,'315'!$T$112:$T$113,'315'!$T$115:$T$119,'315'!$T$121,'315'!$T$123,'315'!$T$125:$T$126</definedName>
    <definedName name="OSRRefT22x_0" localSheetId="62">'316'!$T$32:$T$39,'316'!$T$41:$T$43,'316'!$T$45,'316'!$T$47,'316'!$T$49,'316'!$T$51,'316'!$T$53:$T$54,'316'!$T$56,'316'!$T$58:$T$60,'316'!$T$62,'316'!$T$64:$T$69,'316'!$T$71,'316'!$T$73,'316'!$T$75</definedName>
    <definedName name="OSRRefT22x_0" localSheetId="65">'317'!$T$58:$T$66,'317'!$T$68:$T$72,'317'!$T$74,'317'!$T$76,'317'!$T$78,'317'!$T$80:$T$81,'317'!$T$83,'317'!$T$85,'317'!$T$87,'317'!$T$89,'317'!$T$91:$T$93,'317'!$T$95,'317'!$T$97,'317'!$T$99</definedName>
    <definedName name="OSRRefT22x_0" localSheetId="63">'320'!$T$28:$T$34,'320'!$T$36:$T$38,'320'!$T$40,'320'!$T$42,'320'!$T$44:$T$45,'320'!$T$47,'320'!$T$49,'320'!$T$51:$T$52,'320'!$T$54</definedName>
    <definedName name="OSRRefT22x_0" localSheetId="69">'321'!$T$24:$T$31,'321'!$T$33:$T$37,'321'!$T$39,'321'!$T$41,'321'!$T$43,'321'!$T$45,'321'!$T$47:$T$49,'321'!$T$51,'321'!$T$53:$T$55,'321'!$T$57:$T$60,'321'!$T$62,'321'!$T$64</definedName>
    <definedName name="OSRRefT22x_0" localSheetId="70">'322'!$T$24:$T$31,'322'!$T$33:$T$36,'322'!$T$38,'322'!$T$40,'322'!$T$42,'322'!$T$44,'322'!$T$46,'322'!$T$48,'322'!$T$50:$T$51,'322'!$T$53:$T$55,'322'!$T$57:$T$61,'322'!$T$63,'322'!$T$65</definedName>
    <definedName name="OSRRefT22x_0" localSheetId="72">'325'!$T$24:$T$31,'325'!$T$33:$T$37,'325'!$T$39,'325'!$T$41,'325'!$T$43,'325'!$T$45:$T$46,'325'!$T$48,'325'!$T$50,'325'!$T$52,'325'!$T$54,'325'!$T$56,'325'!$T$58:$T$60,'325'!$T$62:$T$64,'325'!$T$66,'325'!$T$68:$T$72,'325'!$T$74,'325'!$T$76</definedName>
    <definedName name="OSRRefT22x_0" localSheetId="60">'326'!$T$59:$T$66,'326'!$T$68:$T$72,'326'!$T$74,'326'!$T$76,'326'!$T$78,'326'!$T$80,'326'!$T$82,'326'!$T$84,'326'!$T$86,'326'!$T$88,'326'!$T$90,'326'!$T$92,'326'!$T$94:$T$95,'326'!$T$97:$T$99,'326'!$T$101:$T$102,'326'!$T$104:$T$107,'326'!$T$109,'326'!$T$111,'326'!$T$113</definedName>
    <definedName name="OSRRefT22x_0" localSheetId="73">'327'!$T$22,'327'!$T$24,'327'!$T$26</definedName>
    <definedName name="OSRRefT22x_0" localSheetId="52">'330'!$T$78:$T$85,'330'!$T$87:$T$91,'330'!$T$93,'330'!$T$95,'330'!$T$97:$T$98,'330'!$T$100,'330'!$T$102,'330'!$T$104,'330'!$T$106:$T$107,'330'!$T$109:$T$110,'330'!$T$112,'330'!$T$114:$T$116,'330'!$T$118,'330'!$T$120,'330'!$T$122</definedName>
    <definedName name="OSRRefT22x_0" localSheetId="58">'331'!$T$88:$T$95,'331'!$T$97:$T$102,'331'!$T$104,'331'!$T$106,'331'!$T$108,'331'!$T$110:$T$111,'331'!$T$113,'331'!$T$115:$T$116,'331'!$T$118,'331'!$T$120,'331'!$T$122,'331'!$T$124,'331'!$T$126,'331'!$T$128:$T$129,'331'!$T$131:$T$132,'331'!$T$134:$T$136,'331'!$T$138:$T$139,'331'!$T$141:$T$146,'331'!$T$148,'331'!$T$150,'331'!$T$152:$T$153,'331'!$T$155</definedName>
    <definedName name="OSRRefT22x_0" localSheetId="61">'332'!$T$40:$T$47,'332'!$T$49:$T$52,'332'!$T$54,'332'!$T$56,'332'!$T$58,'332'!$T$60,'332'!$T$62:$T$63,'332'!$T$65,'332'!$T$67,'332'!$T$69:$T$71,'332'!$T$73,'332'!$T$75:$T$80,'332'!$T$82,'332'!$T$84,'332'!$T$86</definedName>
    <definedName name="OSRRefT22x_0" localSheetId="77">'405'!$T$24:$T$31,'405'!$T$33:$T$36,'405'!$T$38,'405'!$T$40,'405'!$T$42,'405'!$T$44:$T$45,'405'!$T$47,'405'!$T$49,'405'!$T$51,'405'!$T$53,'405'!$T$55:$T$56,'405'!$T$58,'405'!$T$60:$T$62,'405'!$T$64:$T$65,'405'!$T$67:$T$73,'405'!$T$75,'405'!$T$77,'405'!$T$79</definedName>
    <definedName name="OSRRefT22x_0" localSheetId="78">'406'!$T$24:$T$31,'406'!$T$33:$T$37,'406'!$T$39,'406'!$T$41,'406'!$T$43,'406'!$T$45,'406'!$T$47,'406'!$T$49,'406'!$T$51,'406'!$T$53:$T$55,'406'!$T$57,'406'!$T$59:$T$63,'406'!$T$65,'406'!$T$67</definedName>
    <definedName name="OSRRefT22x_0" localSheetId="79">'411'!$T$20:$T$28,'411'!$T$30:$T$35,'411'!$T$37,'411'!$T$39,'411'!$T$41:$T$43,'411'!$T$45,'411'!$T$47,'411'!$T$49,'411'!$T$51,'411'!$T$53,'411'!$T$55,'411'!$T$57,'411'!$T$59:$T$60,'411'!$T$62:$T$66,'411'!$T$68,'411'!$T$70:$T$75,'411'!$T$77,'411'!$T$79,'411'!$T$81:$T$83,'411'!$T$85</definedName>
    <definedName name="OSRRefT22x_0" localSheetId="80">'412'!$T$23:$T$30,'412'!$T$32:$T$37,'412'!$T$39,'412'!$T$41,'412'!$T$43,'412'!$T$45,'412'!$T$47,'412'!$T$49,'412'!$T$51,'412'!$T$53:$T$54,'412'!$T$56:$T$57,'412'!$T$59:$T$64,'412'!$T$66,'412'!$T$68</definedName>
    <definedName name="OSRRefT22x_0" localSheetId="81">'413'!$T$24:$T$31,'413'!$T$33:$T$36,'413'!$T$38,'413'!$T$40,'413'!$T$42,'413'!$T$44,'413'!$T$46,'413'!$T$48:$T$50,'413'!$T$52:$T$53,'413'!$T$55:$T$59,'413'!$T$61</definedName>
    <definedName name="OSRRefT22x_0" localSheetId="82">'414'!$T$24:$T$30,'414'!$T$32:$T$35,'414'!$T$37,'414'!$T$39,'414'!$T$41,'414'!$T$43,'414'!$T$45,'414'!$T$47,'414'!$T$49,'414'!$T$51:$T$52,'414'!$T$54,'414'!$T$56,'414'!$T$58,'414'!$T$60:$T$66,'414'!$T$68,'414'!$T$70</definedName>
    <definedName name="OSRRefT22x_0" localSheetId="83">'415'!$T$24:$T$31,'415'!$T$33:$T$37,'415'!$T$39,'415'!$T$41,'415'!$T$43,'415'!$T$45:$T$46,'415'!$T$48,'415'!$T$50,'415'!$T$52,'415'!$T$54,'415'!$T$56,'415'!$T$58:$T$60,'415'!$T$62:$T$66,'415'!$T$68:$T$69,'415'!$T$71:$T$78,'415'!$T$80,'415'!$T$82,'415'!$T$84</definedName>
    <definedName name="OSRRefT22x_0" localSheetId="84">'418'!$T$24:$T$31,'418'!$T$33:$T$38,'418'!$T$40,'418'!$T$42,'418'!$T$44,'418'!$T$46:$T$47,'418'!$T$49,'418'!$T$51,'418'!$T$53,'418'!$T$55:$T$56,'418'!$T$58:$T$60,'418'!$T$62:$T$64,'418'!$T$66:$T$67,'418'!$T$69:$T$74,'418'!$T$76,'418'!$T$78</definedName>
    <definedName name="OSRRefT22x_0" localSheetId="85">'420'!$T$23:$T$29,'420'!$T$31:$T$34,'420'!$T$36,'420'!$T$38,'420'!$T$40:$T$41,'420'!$T$43</definedName>
    <definedName name="OSRRefT22x_0" localSheetId="86">'423'!$T$21:$T$28,'423'!$T$30,'423'!$T$32,'423'!$T$34,'423'!$T$36,'423'!$T$38</definedName>
    <definedName name="OSRRefT22x_0" localSheetId="87">'424'!$T$23:$T$24,'424'!$T$26:$T$30,'424'!$T$32,'424'!$T$34,'424'!$T$36,'424'!$T$38,'424'!$T$40,'424'!$T$42,'424'!$T$44:$T$45,'424'!$T$47,'424'!$T$49,'424'!$T$51:$T$53,'424'!$T$55</definedName>
    <definedName name="OSRRefT22x_0" localSheetId="88">'425'!$T$24:$T$31,'425'!$T$33:$T$37,'425'!$T$39,'425'!$T$41,'425'!$T$43,'425'!$T$45,'425'!$T$47,'425'!$T$49,'425'!$T$51,'425'!$T$53:$T$55,'425'!$T$57,'425'!$T$59:$T$60,'425'!$T$62:$T$68,'425'!$T$70,'425'!$T$72</definedName>
    <definedName name="OSRRefT22x_0" localSheetId="91">'430'!$T$20:$T$27,'430'!$T$29,'430'!$T$31,'430'!$T$33,'430'!$T$35:$T$36,'430'!$T$38,'430'!$T$40,'430'!$T$42</definedName>
    <definedName name="OSRRefT22x_0" localSheetId="92">'433'!$T$25:$T$33,'433'!$T$35:$T$40,'433'!$T$42,'433'!$T$44,'433'!$T$46,'433'!$T$48,'433'!$T$50,'433'!$T$52,'433'!$T$54,'433'!$T$56,'433'!$T$58,'433'!$T$60:$T$62,'433'!$T$64:$T$66,'433'!$T$68:$T$75,'433'!$T$77,'433'!$T$79,'433'!$T$81</definedName>
    <definedName name="OSRRefT22x_0" localSheetId="93">'435'!$T$25:$T$27,'435'!$T$29:$T$31,'435'!$T$33,'435'!$T$35,'435'!$T$37,'435'!$T$39,'435'!$T$41:$T$43,'435'!$T$45</definedName>
    <definedName name="OSRRefT22x_0" localSheetId="94">'444'!$T$25:$T$33,'444'!$T$35:$T$40,'444'!$T$42,'444'!$T$44,'444'!$T$46,'444'!$T$48,'444'!$T$50,'444'!$T$52,'444'!$T$54,'444'!$T$56,'444'!$T$58,'444'!$T$60:$T$62,'444'!$T$64:$T$67,'444'!$T$69,'444'!$T$71:$T$79,'444'!$T$81,'444'!$T$83,'444'!$T$85</definedName>
    <definedName name="OSRRefT22x_0" localSheetId="95">'450'!$T$25:$T$33,'450'!$T$35:$T$40,'450'!$T$42,'450'!$T$44,'450'!$T$46,'450'!$T$48,'450'!$T$50,'450'!$T$52,'450'!$T$54,'450'!$T$56,'450'!$T$58,'450'!$T$60,'450'!$T$62,'450'!$T$64:$T$66,'450'!$T$68:$T$73,'450'!$T$75,'450'!$T$77,'450'!$T$79</definedName>
    <definedName name="OSRRefT22x_0" localSheetId="89">'455'!$T$20:$T$26,'455'!$T$28:$T$29</definedName>
    <definedName name="OSRRefT22x_0" localSheetId="76">'491'!$T$31:$T$39,'491'!$T$41:$T$47,'491'!$T$49,'491'!$T$51,'491'!$T$53,'491'!$T$55:$T$57,'491'!$T$59,'491'!$T$61,'491'!$T$63,'491'!$T$65,'491'!$T$67:$T$68,'491'!$T$70,'491'!$T$72,'491'!$T$74,'491'!$T$76,'491'!$T$78:$T$80,'491'!$T$82:$T$83,'491'!$T$85:$T$89,'491'!$T$91:$T$92,'491'!$T$94:$T$102,'491'!$T$104,'491'!$T$106,'491'!$T$108:$T$110,'491'!$T$112</definedName>
    <definedName name="OSRRefT22x_0" localSheetId="90">'492'!$T$27:$T$35,'492'!$T$37:$T$43,'492'!$T$45,'492'!$T$47,'492'!$T$49,'492'!$T$51,'492'!$T$53,'492'!$T$55,'492'!$T$57,'492'!$T$59,'492'!$T$61,'492'!$T$63,'492'!$T$65:$T$67,'492'!$T$69:$T$72,'492'!$T$74,'492'!$T$76:$T$84,'492'!$T$86,'492'!$T$88,'492'!$T$90</definedName>
    <definedName name="OSRRefT22x_0" localSheetId="97">'501'!$T$21:$T$29,'501'!$T$31:$T$35,'501'!$T$37,'501'!$T$39,'501'!$T$41,'501'!$T$43:$T$44,'501'!$T$46,'501'!$T$48,'501'!$T$50:$T$52,'501'!$T$54:$T$56,'501'!$T$58</definedName>
    <definedName name="OSRRefT22x_0" localSheetId="39">'Div 2'!$T$20:$T$30,'Div 2'!$T$32:$T$38,'Div 2'!$T$40,'Div 2'!$T$42,'Div 2'!$T$44,'Div 2'!$T$46,'Div 2'!$T$48,'Div 2'!$T$50,'Div 2'!$T$52,'Div 2'!$T$54:$T$55,'Div 2'!$T$57,'Div 2'!$T$59,'Div 2'!$T$61:$T$64,'Div 2'!$T$66:$T$68,'Div 2'!$T$70:$T$71,'Div 2'!$T$73,'Div 2'!$T$75:$T$79,'Div 2'!$T$81:$T$82,'Div 2'!$T$84,'Div 2'!$T$86:$T$87</definedName>
    <definedName name="OSRRefT22x_0" localSheetId="47">'Div 3'!$T$168:$T$177,'Div 3'!$T$179:$T$185,'Div 3'!$T$187,'Div 3'!$T$189:$T$190,'Div 3'!$T$192,'Div 3'!$T$194:$T$195,'Div 3'!$T$197:$T$198,'Div 3'!$T$200,'Div 3'!$T$202,'Div 3'!$T$204,'Div 3'!$T$206:$T$207,'Div 3'!$T$209,'Div 3'!$T$211,'Div 3'!$T$213,'Div 3'!$T$215,'Div 3'!$T$217,'Div 3'!$T$219,'Div 3'!$T$221:$T$224,'Div 3'!$T$226:$T$228,'Div 3'!$T$230:$T$234,'Div 3'!$T$236:$T$237,'Div 3'!$T$239:$T$245,'Div 3'!$T$247:$T$248,'Div 3'!$T$250,'Div 3'!$T$252:$T$254,'Div 3'!$T$256</definedName>
    <definedName name="OSRRefT22x_0" localSheetId="74">'Div 4'!$T$32:$T$40,'Div 4'!$T$42:$T$48,'Div 4'!$T$50,'Div 4'!$T$52,'Div 4'!$T$54,'Div 4'!$T$56:$T$58,'Div 4'!$T$60,'Div 4'!$T$62,'Div 4'!$T$64,'Div 4'!$T$66,'Div 4'!$T$68:$T$69,'Div 4'!$T$71,'Div 4'!$T$73,'Div 4'!$T$75,'Div 4'!$T$77,'Div 4'!$T$79,'Div 4'!$T$81:$T$83,'Div 4'!$T$85:$T$86,'Div 4'!$T$88:$T$92,'Div 4'!$T$94:$T$95,'Div 4'!$T$97:$T$105,'Div 4'!$T$107,'Div 4'!$T$109,'Div 4'!$T$111:$T$113,'Div 4'!$T$115</definedName>
    <definedName name="OSRRefT22x_0" localSheetId="96">'Div 5'!$T$21:$T$29,'Div 5'!$T$31:$T$35,'Div 5'!$T$37,'Div 5'!$T$39,'Div 5'!$T$41,'Div 5'!$T$43:$T$44,'Div 5'!$T$46,'Div 5'!$T$48,'Div 5'!$T$50:$T$52,'Div 5'!$T$54:$T$56,'Div 5'!$T$58</definedName>
    <definedName name="OSRRefT22x_0" localSheetId="64">'Div 6'!$T$58:$T$66,'Div 6'!$T$68:$T$72,'Div 6'!$T$74,'Div 6'!$T$76,'Div 6'!$T$78,'Div 6'!$T$80:$T$81,'Div 6'!$T$83,'Div 6'!$T$85,'Div 6'!$T$87,'Div 6'!$T$89,'Div 6'!$T$91:$T$93,'Div 6'!$T$95,'Div 6'!$T$97,'Div 6'!$T$99</definedName>
    <definedName name="OSRRefT22x_0" localSheetId="2">Summary!$T$200:$T$209,Summary!$T$211:$T$217,Summary!$T$219,Summary!$T$221:$T$222,Summary!$T$224,Summary!$T$226:$T$228,Summary!$T$230:$T$231,Summary!$T$233,Summary!$T$235,Summary!$T$237,Summary!$T$239:$T$240,Summary!$T$242:$T$243,Summary!$T$245,Summary!$T$247,Summary!$T$249,Summary!$T$251,Summary!$T$253,Summary!$T$255,Summary!$T$257:$T$260,Summary!$T$262:$T$264,Summary!$T$266:$T$270,Summary!$T$272:$T$273,Summary!$T$275:$T$283,Summary!$T$285:$T$286,Summary!$T$288,Summary!$T$290:$T$292,Summary!$T$294</definedName>
    <definedName name="OSRRefT25x_0" localSheetId="48">'300'!$T$251:$T$259</definedName>
    <definedName name="OSRRefT25x_0" localSheetId="49">'300 &amp; 317'!$T$276:$T$287</definedName>
    <definedName name="OSRRefT25x_0" localSheetId="50">'301'!$T$97:$T$99</definedName>
    <definedName name="OSRRefT25x_0" localSheetId="53">'307'!$T$110</definedName>
    <definedName name="OSRRefT25x_0" localSheetId="55">'308'!$T$114:$T$116</definedName>
    <definedName name="OSRRefT25x_0" localSheetId="75">'310 &amp; 491'!$T$124:$T$126</definedName>
    <definedName name="OSRRefT25x_0" localSheetId="56">'311'!$T$113:$T$115</definedName>
    <definedName name="OSRRefT25x_0" localSheetId="59">'315'!$T$129:$T$130</definedName>
    <definedName name="OSRRefT25x_0" localSheetId="62">'316'!$T$78</definedName>
    <definedName name="OSRRefT25x_0" localSheetId="65">'317'!$T$102:$T$105</definedName>
    <definedName name="OSRRefT25x_0" localSheetId="63">'320'!$T$57:$T$61</definedName>
    <definedName name="OSRRefT25x_0" localSheetId="52">'330'!$T$125</definedName>
    <definedName name="OSRRefT25x_0" localSheetId="58">'331'!$T$158:$T$159</definedName>
    <definedName name="OSRRefT25x_0" localSheetId="61">'332'!$T$89:$T$94</definedName>
    <definedName name="OSRRefT25x_0" localSheetId="79">'411'!$T$88:$T$89</definedName>
    <definedName name="OSRRefT25x_0" localSheetId="81">'413'!$T$64</definedName>
    <definedName name="OSRRefT25x_0" localSheetId="83">'415'!$T$87</definedName>
    <definedName name="OSRRefT25x_0" localSheetId="84">'418'!$T$81</definedName>
    <definedName name="OSRRefT25x_0" localSheetId="86">'423'!$T$41</definedName>
    <definedName name="OSRRefT25x_0" localSheetId="87">'424'!$T$58</definedName>
    <definedName name="OSRRefT25x_0" localSheetId="88">'425'!$T$75</definedName>
    <definedName name="OSRRefT25x_0" localSheetId="89">'455'!$T$32:$T$33</definedName>
    <definedName name="OSRRefT25x_0" localSheetId="76">'491'!$T$115:$T$117</definedName>
    <definedName name="OSRRefT25x_0" localSheetId="97">'501'!$T$61</definedName>
    <definedName name="OSRRefT25x_0" localSheetId="47">'Div 3'!$T$259:$T$267</definedName>
    <definedName name="OSRRefT25x_0" localSheetId="74">'Div 4'!$T$118:$T$120</definedName>
    <definedName name="OSRRefT25x_0" localSheetId="96">'Div 5'!$T$61</definedName>
    <definedName name="OSRRefT25x_0" localSheetId="64">'Div 6'!$T$102:$T$105</definedName>
    <definedName name="OSRRefT25x_0" localSheetId="2">Summary!$T$297:$T$309</definedName>
    <definedName name="_xlnm.Print_Area" localSheetId="38">'100'!$A$1:$Z$34</definedName>
    <definedName name="_xlnm.Print_Area" localSheetId="40">'200'!$A$1:$Z$43</definedName>
    <definedName name="_xlnm.Print_Area" localSheetId="41">'201'!$A$1:$Z$80</definedName>
    <definedName name="_xlnm.Print_Area" localSheetId="42">'202'!$A$1:$Z$75</definedName>
    <definedName name="_xlnm.Print_Area" localSheetId="43">'203'!$A$1:$Z$81</definedName>
    <definedName name="_xlnm.Print_Area" localSheetId="44">'204'!$A$1:$Z$71</definedName>
    <definedName name="_xlnm.Print_Area" localSheetId="45">'205'!$A$1:$Z$60</definedName>
    <definedName name="_xlnm.Print_Area" localSheetId="46">'206'!$A$1:$Z$58</definedName>
    <definedName name="_xlnm.Print_Area" localSheetId="48">'300'!$A$1:$Z$271</definedName>
    <definedName name="_xlnm.Print_Area" localSheetId="49">'300 &amp; 317'!$A$1:$Z$299</definedName>
    <definedName name="_xlnm.Print_Area" localSheetId="50">'301'!$A$1:$Z$111</definedName>
    <definedName name="_xlnm.Print_Area" localSheetId="51">'306'!$A$1:$Z$68</definedName>
    <definedName name="_xlnm.Print_Area" localSheetId="53">'307'!$A$1:$Z$122</definedName>
    <definedName name="_xlnm.Print_Area" localSheetId="55">'308'!$A$1:$Z$128</definedName>
    <definedName name="_xlnm.Print_Area" localSheetId="67">'309'!$A$1:$Z$78</definedName>
    <definedName name="_xlnm.Print_Area" localSheetId="66">'310'!$A$1:$Z$110</definedName>
    <definedName name="_xlnm.Print_Area" localSheetId="75">'310 &amp; 491'!$A$1:$Z$138</definedName>
    <definedName name="_xlnm.Print_Area" localSheetId="56">'311'!$A$1:$Z$127</definedName>
    <definedName name="_xlnm.Print_Area" localSheetId="68">'313'!$A$1:$Z$82</definedName>
    <definedName name="_xlnm.Print_Area" localSheetId="54">'314'!$A$1:$Z$92</definedName>
    <definedName name="_xlnm.Print_Area" localSheetId="59">'315'!$A$1:$Z$142</definedName>
    <definedName name="_xlnm.Print_Area" localSheetId="62">'316'!$A$1:$Z$90</definedName>
    <definedName name="_xlnm.Print_Area" localSheetId="65">'317'!$A$1:$Z$117</definedName>
    <definedName name="_xlnm.Print_Area" localSheetId="63">'320'!$A$1:$Z$73</definedName>
    <definedName name="_xlnm.Print_Area" localSheetId="69">'321'!$A$1:$Z$78</definedName>
    <definedName name="_xlnm.Print_Area" localSheetId="70">'322'!$A$1:$Z$79</definedName>
    <definedName name="_xlnm.Print_Area" localSheetId="71">'323'!$A$1:$Z$32</definedName>
    <definedName name="_xlnm.Print_Area" localSheetId="57">'324'!$A$1:$Z$37</definedName>
    <definedName name="_xlnm.Print_Area" localSheetId="72">'325'!$A$1:$Z$90</definedName>
    <definedName name="_xlnm.Print_Area" localSheetId="60">'326'!$A$1:$Z$127</definedName>
    <definedName name="_xlnm.Print_Area" localSheetId="73">'327'!$A$1:$Z$40</definedName>
    <definedName name="_xlnm.Print_Area" localSheetId="52">'330'!$A$1:$Z$137</definedName>
    <definedName name="_xlnm.Print_Area" localSheetId="58">'331'!$A$1:$Z$171</definedName>
    <definedName name="_xlnm.Print_Area" localSheetId="61">'332'!$A$1:$Z$106</definedName>
    <definedName name="_xlnm.Print_Area" localSheetId="77">'405'!$A$1:$Z$93</definedName>
    <definedName name="_xlnm.Print_Area" localSheetId="78">'406'!$A$1:$Z$81</definedName>
    <definedName name="_xlnm.Print_Area" localSheetId="79">'411'!$A$1:$Z$101</definedName>
    <definedName name="_xlnm.Print_Area" localSheetId="80">'412'!$A$1:$Z$82</definedName>
    <definedName name="_xlnm.Print_Area" localSheetId="81">'413'!$A$1:$Z$76</definedName>
    <definedName name="_xlnm.Print_Area" localSheetId="82">'414'!$A$1:$Z$84</definedName>
    <definedName name="_xlnm.Print_Area" localSheetId="83">'415'!$A$1:$Z$99</definedName>
    <definedName name="_xlnm.Print_Area" localSheetId="84">'418'!$A$1:$Z$93</definedName>
    <definedName name="_xlnm.Print_Area" localSheetId="85">'420'!$A$1:$Z$57</definedName>
    <definedName name="_xlnm.Print_Area" localSheetId="86">'423'!$A$1:$Z$53</definedName>
    <definedName name="_xlnm.Print_Area" localSheetId="87">'424'!$A$1:$Z$70</definedName>
    <definedName name="_xlnm.Print_Area" localSheetId="88">'425'!$A$1:$Z$87</definedName>
    <definedName name="_xlnm.Print_Area" localSheetId="91">'430'!$A$1:$Z$56</definedName>
    <definedName name="_xlnm.Print_Area" localSheetId="92">'433'!$A$1:$Z$95</definedName>
    <definedName name="_xlnm.Print_Area" localSheetId="93">'435'!$A$1:$Z$59</definedName>
    <definedName name="_xlnm.Print_Area" localSheetId="94">'444'!$A$1:$Z$99</definedName>
    <definedName name="_xlnm.Print_Area" localSheetId="95">'450'!$A$1:$Z$93</definedName>
    <definedName name="_xlnm.Print_Area" localSheetId="89">'455'!$A$1:$Z$45</definedName>
    <definedName name="_xlnm.Print_Area" localSheetId="76">'491'!$A$1:$Z$129</definedName>
    <definedName name="_xlnm.Print_Area" localSheetId="90">'492'!$A$1:$Z$104</definedName>
    <definedName name="_xlnm.Print_Area" localSheetId="97">'501'!$A$1:$Z$73</definedName>
    <definedName name="_xlnm.Print_Area" localSheetId="98">Dept!$A$1:$Z$39</definedName>
    <definedName name="_xlnm.Print_Area" localSheetId="5">'Div 1'!$A$1:$Z$34</definedName>
    <definedName name="_xlnm.Print_Area" localSheetId="39">'Div 2'!$A$1:$Z$101</definedName>
    <definedName name="_xlnm.Print_Area" localSheetId="47">'Div 3'!$A$1:$Z$279</definedName>
    <definedName name="_xlnm.Print_Area" localSheetId="74">'Div 4'!$A$1:$Z$132</definedName>
    <definedName name="_xlnm.Print_Area" localSheetId="96">'Div 5'!$A$1:$Z$73</definedName>
    <definedName name="_xlnm.Print_Area" localSheetId="64">'Div 6'!$A$1:$Z$117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9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100">'OSR_Summary (...56e5d78f_5JEYZH'!$A$1:$Z$39</definedName>
    <definedName name="_xlnm.Print_Area" localSheetId="3">OSR_Summary_18VAVWG!$A$1:$Z$39</definedName>
    <definedName name="_xlnm.Print_Area" localSheetId="2">Summary!$A$1:$Z$323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5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71">'323'!$A:$C,'323'!$1:$10</definedName>
    <definedName name="_xlnm.Print_Titles" localSheetId="57">'324'!$A:$C,'324'!$1:$10</definedName>
    <definedName name="_xlnm.Print_Titles" localSheetId="72">'325'!$A:$C,'325'!$1:$10</definedName>
    <definedName name="_xlnm.Print_Titles" localSheetId="60">'326'!$A:$C,'326'!$1:$10</definedName>
    <definedName name="_xlnm.Print_Titles" localSheetId="73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7">'405'!$A:$C,'405'!$1:$10</definedName>
    <definedName name="_xlnm.Print_Titles" localSheetId="78">'406'!$A:$C,'406'!$1:$10</definedName>
    <definedName name="_xlnm.Print_Titles" localSheetId="79">'411'!$A:$C,'411'!$1:$10</definedName>
    <definedName name="_xlnm.Print_Titles" localSheetId="80">'412'!$A:$C,'412'!$1:$10</definedName>
    <definedName name="_xlnm.Print_Titles" localSheetId="81">'413'!$A:$C,'413'!$1:$10</definedName>
    <definedName name="_xlnm.Print_Titles" localSheetId="82">'414'!$A:$C,'414'!$1:$10</definedName>
    <definedName name="_xlnm.Print_Titles" localSheetId="83">'415'!$A:$C,'415'!$1:$10</definedName>
    <definedName name="_xlnm.Print_Titles" localSheetId="84">'418'!$A:$C,'418'!$1:$10</definedName>
    <definedName name="_xlnm.Print_Titles" localSheetId="85">'420'!$A:$C,'420'!$1:$10</definedName>
    <definedName name="_xlnm.Print_Titles" localSheetId="86">'423'!$A:$C,'423'!$1:$10</definedName>
    <definedName name="_xlnm.Print_Titles" localSheetId="87">'424'!$A:$C,'424'!$1:$10</definedName>
    <definedName name="_xlnm.Print_Titles" localSheetId="88">'425'!$A:$C,'425'!$1:$10</definedName>
    <definedName name="_xlnm.Print_Titles" localSheetId="91">'430'!$A:$C,'430'!$1:$10</definedName>
    <definedName name="_xlnm.Print_Titles" localSheetId="92">'433'!$A:$C,'433'!$1:$10</definedName>
    <definedName name="_xlnm.Print_Titles" localSheetId="93">'435'!$A:$C,'435'!$1:$10</definedName>
    <definedName name="_xlnm.Print_Titles" localSheetId="94">'444'!$A:$C,'444'!$1:$10</definedName>
    <definedName name="_xlnm.Print_Titles" localSheetId="95">'450'!$A:$C,'450'!$1:$10</definedName>
    <definedName name="_xlnm.Print_Titles" localSheetId="89">'455'!$A:$C,'455'!$1:$10</definedName>
    <definedName name="_xlnm.Print_Titles" localSheetId="76">'491'!$A:$C,'491'!$1:$10</definedName>
    <definedName name="_xlnm.Print_Titles" localSheetId="90">'492'!$A:$C,'492'!$1:$10</definedName>
    <definedName name="_xlnm.Print_Titles" localSheetId="97">'501'!$A:$C,'501'!$1:$10</definedName>
    <definedName name="_xlnm.Print_Titles" localSheetId="98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4">'Div 4'!$A:$C,'Div 4'!$1:$10</definedName>
    <definedName name="_xlnm.Print_Titles" localSheetId="96">'Div 5'!$A:$C,'Div 5'!$1:$10</definedName>
    <definedName name="_xlnm.Print_Titles" localSheetId="64">'Div 6'!$A:$C,'Div 6'!$1:$10</definedName>
    <definedName name="_xlnm.Print_Titles" localSheetId="14">'OSR_300 &amp; 317_1C00ID4'!$A:$C,'OSR_300 &amp; 317_1C00ID4'!$1:$10</definedName>
    <definedName name="_xlnm.Print_Titles" localSheetId="11">'OSR_300 (2)_7...54cb56fc_UFX0O2'!$A:$C,'OSR_300 (2)_7...54cb56fc_UFX0O2'!$1:$10</definedName>
    <definedName name="_xlnm.Print_Titles" localSheetId="15">'OSR_300 (2)_c...79cd3046_1TJM0H'!$A:$C,'OSR_300 (2)_c...79cd3046_1TJM0H'!$1:$10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(2)_0...c51cc666_QIOT67'!$A:$C,'OSR_491 (2)_0...c51cc666_QIOT67'!$1:$10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9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3">'OSR_Div 3 (2)...b7db256a_40ITCB'!$A:$C,'OSR_Div 3 (2)...b7db256a_40ITCB'!$1:$10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(2...09141158_1BG9FGV'!$A:$C,'OSR_Div 5 (2...09141158_1BG9FGV'!$1:$10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100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65" i="109" l="1"/>
  <c r="X65" i="109"/>
  <c r="L65" i="109"/>
  <c r="N65" i="109" s="1"/>
  <c r="T61" i="109"/>
  <c r="Z61" i="109" s="1"/>
  <c r="P61" i="109"/>
  <c r="X61" i="109" s="1"/>
  <c r="H61" i="109"/>
  <c r="D61" i="109"/>
  <c r="B61" i="109"/>
  <c r="T60" i="109"/>
  <c r="D60" i="109"/>
  <c r="X58" i="109"/>
  <c r="Z58" i="109" s="1"/>
  <c r="N58" i="109"/>
  <c r="L58" i="109"/>
  <c r="B58" i="109"/>
  <c r="T57" i="109"/>
  <c r="Z57" i="109" s="1"/>
  <c r="P57" i="109"/>
  <c r="X57" i="109" s="1"/>
  <c r="H57" i="109"/>
  <c r="D57" i="109"/>
  <c r="L57" i="109" s="1"/>
  <c r="N57" i="109" s="1"/>
  <c r="B57" i="109"/>
  <c r="X56" i="109"/>
  <c r="Z56" i="109" s="1"/>
  <c r="N56" i="109"/>
  <c r="L56" i="109"/>
  <c r="B56" i="109"/>
  <c r="X55" i="109"/>
  <c r="Z55" i="109" s="1"/>
  <c r="N55" i="109"/>
  <c r="L55" i="109"/>
  <c r="B55" i="109"/>
  <c r="X54" i="109"/>
  <c r="Z54" i="109" s="1"/>
  <c r="N54" i="109"/>
  <c r="L54" i="109"/>
  <c r="B54" i="109"/>
  <c r="T53" i="109"/>
  <c r="Z53" i="109" s="1"/>
  <c r="P53" i="109"/>
  <c r="X53" i="109" s="1"/>
  <c r="L53" i="109"/>
  <c r="H53" i="109"/>
  <c r="N53" i="109" s="1"/>
  <c r="D53" i="109"/>
  <c r="B53" i="109"/>
  <c r="X52" i="109"/>
  <c r="Z52" i="109" s="1"/>
  <c r="N52" i="109"/>
  <c r="L52" i="109"/>
  <c r="B52" i="109"/>
  <c r="Z51" i="109"/>
  <c r="X51" i="109"/>
  <c r="N51" i="109"/>
  <c r="L51" i="109"/>
  <c r="B51" i="109"/>
  <c r="Z50" i="109"/>
  <c r="X50" i="109"/>
  <c r="N50" i="109"/>
  <c r="L50" i="109"/>
  <c r="B50" i="109"/>
  <c r="T49" i="109"/>
  <c r="P49" i="109"/>
  <c r="N49" i="109"/>
  <c r="L49" i="109"/>
  <c r="H49" i="109"/>
  <c r="D49" i="109"/>
  <c r="B49" i="109"/>
  <c r="Z48" i="109"/>
  <c r="X48" i="109"/>
  <c r="V48" i="109"/>
  <c r="L48" i="109"/>
  <c r="N48" i="109" s="1"/>
  <c r="B48" i="109"/>
  <c r="T47" i="109"/>
  <c r="P47" i="109"/>
  <c r="X47" i="109" s="1"/>
  <c r="H47" i="109"/>
  <c r="D47" i="109"/>
  <c r="L47" i="109" s="1"/>
  <c r="B47" i="109"/>
  <c r="Z46" i="109"/>
  <c r="X46" i="109"/>
  <c r="N46" i="109"/>
  <c r="L46" i="109"/>
  <c r="B46" i="109"/>
  <c r="T45" i="109"/>
  <c r="P45" i="109"/>
  <c r="X45" i="109" s="1"/>
  <c r="Z45" i="109" s="1"/>
  <c r="L45" i="109"/>
  <c r="H45" i="109"/>
  <c r="N45" i="109" s="1"/>
  <c r="D45" i="109"/>
  <c r="B45" i="109"/>
  <c r="Z44" i="109"/>
  <c r="X44" i="109"/>
  <c r="N44" i="109"/>
  <c r="L44" i="109"/>
  <c r="B44" i="109"/>
  <c r="Z43" i="109"/>
  <c r="X43" i="109"/>
  <c r="N43" i="109"/>
  <c r="L43" i="109"/>
  <c r="B43" i="109"/>
  <c r="Z42" i="109"/>
  <c r="T42" i="109"/>
  <c r="P42" i="109"/>
  <c r="X42" i="109" s="1"/>
  <c r="N42" i="109"/>
  <c r="L42" i="109"/>
  <c r="H42" i="109"/>
  <c r="D42" i="109"/>
  <c r="B42" i="109"/>
  <c r="X41" i="109"/>
  <c r="Z41" i="109" s="1"/>
  <c r="N41" i="109"/>
  <c r="L41" i="109"/>
  <c r="B41" i="109"/>
  <c r="V40" i="109"/>
  <c r="T40" i="109"/>
  <c r="P40" i="109"/>
  <c r="X40" i="109" s="1"/>
  <c r="Z40" i="109" s="1"/>
  <c r="H40" i="109"/>
  <c r="N40" i="109" s="1"/>
  <c r="D40" i="109"/>
  <c r="B40" i="109"/>
  <c r="X39" i="109"/>
  <c r="Z39" i="109" s="1"/>
  <c r="L39" i="109"/>
  <c r="N39" i="109" s="1"/>
  <c r="B39" i="109"/>
  <c r="T38" i="109"/>
  <c r="P38" i="109"/>
  <c r="X38" i="109" s="1"/>
  <c r="H38" i="109"/>
  <c r="N38" i="109" s="1"/>
  <c r="D38" i="109"/>
  <c r="L38" i="109" s="1"/>
  <c r="B38" i="109"/>
  <c r="X37" i="109"/>
  <c r="Z37" i="109" s="1"/>
  <c r="N37" i="109"/>
  <c r="L37" i="109"/>
  <c r="B37" i="109"/>
  <c r="X36" i="109"/>
  <c r="T36" i="109"/>
  <c r="Z36" i="109" s="1"/>
  <c r="P36" i="109"/>
  <c r="N36" i="109"/>
  <c r="H36" i="109"/>
  <c r="D36" i="109"/>
  <c r="L36" i="109" s="1"/>
  <c r="B36" i="109"/>
  <c r="Z35" i="109"/>
  <c r="X35" i="109"/>
  <c r="L35" i="109"/>
  <c r="N35" i="109" s="1"/>
  <c r="B35" i="109"/>
  <c r="X34" i="109"/>
  <c r="Z34" i="109" s="1"/>
  <c r="N34" i="109"/>
  <c r="L34" i="109"/>
  <c r="B34" i="109"/>
  <c r="X33" i="109"/>
  <c r="Z33" i="109" s="1"/>
  <c r="N33" i="109"/>
  <c r="L33" i="109"/>
  <c r="B33" i="109"/>
  <c r="Z32" i="109"/>
  <c r="X32" i="109"/>
  <c r="V32" i="109"/>
  <c r="L32" i="109"/>
  <c r="N32" i="109" s="1"/>
  <c r="B32" i="109"/>
  <c r="Z31" i="109"/>
  <c r="X31" i="109"/>
  <c r="N31" i="109"/>
  <c r="L31" i="109"/>
  <c r="B31" i="109"/>
  <c r="X30" i="109"/>
  <c r="T30" i="109"/>
  <c r="Z30" i="109" s="1"/>
  <c r="P30" i="109"/>
  <c r="H30" i="109"/>
  <c r="D30" i="109"/>
  <c r="L30" i="109" s="1"/>
  <c r="N30" i="109" s="1"/>
  <c r="B30" i="109"/>
  <c r="Z29" i="109"/>
  <c r="X29" i="109"/>
  <c r="L29" i="109"/>
  <c r="N29" i="109" s="1"/>
  <c r="F29" i="109"/>
  <c r="B29" i="109"/>
  <c r="X28" i="109"/>
  <c r="Z28" i="109" s="1"/>
  <c r="L28" i="109"/>
  <c r="N28" i="109" s="1"/>
  <c r="B28" i="109"/>
  <c r="X27" i="109"/>
  <c r="Z27" i="109" s="1"/>
  <c r="N27" i="109"/>
  <c r="L27" i="109"/>
  <c r="B27" i="109"/>
  <c r="Z26" i="109"/>
  <c r="X26" i="109"/>
  <c r="N26" i="109"/>
  <c r="L26" i="109"/>
  <c r="B26" i="109"/>
  <c r="Z25" i="109"/>
  <c r="X25" i="109"/>
  <c r="L25" i="109"/>
  <c r="N25" i="109" s="1"/>
  <c r="F25" i="109"/>
  <c r="B25" i="109"/>
  <c r="X24" i="109"/>
  <c r="Z24" i="109" s="1"/>
  <c r="L24" i="109"/>
  <c r="N24" i="109" s="1"/>
  <c r="B24" i="109"/>
  <c r="X23" i="109"/>
  <c r="Z23" i="109" s="1"/>
  <c r="N23" i="109"/>
  <c r="L23" i="109"/>
  <c r="B23" i="109"/>
  <c r="X22" i="109"/>
  <c r="Z22" i="109" s="1"/>
  <c r="N22" i="109"/>
  <c r="L22" i="109"/>
  <c r="B22" i="109"/>
  <c r="Z21" i="109"/>
  <c r="X21" i="109"/>
  <c r="L21" i="109"/>
  <c r="N21" i="109" s="1"/>
  <c r="F21" i="109"/>
  <c r="B21" i="109"/>
  <c r="T20" i="109"/>
  <c r="P20" i="109"/>
  <c r="X20" i="109" s="1"/>
  <c r="H20" i="109"/>
  <c r="F20" i="109"/>
  <c r="D20" i="109"/>
  <c r="L20" i="109" s="1"/>
  <c r="N20" i="109" s="1"/>
  <c r="B20" i="109"/>
  <c r="T19" i="109"/>
  <c r="Z19" i="109" s="1"/>
  <c r="P19" i="109"/>
  <c r="X19" i="109" s="1"/>
  <c r="H19" i="109"/>
  <c r="D19" i="109"/>
  <c r="T15" i="109"/>
  <c r="Z15" i="109" s="1"/>
  <c r="P15" i="109"/>
  <c r="X15" i="109" s="1"/>
  <c r="H15" i="109"/>
  <c r="N15" i="109" s="1"/>
  <c r="D15" i="109"/>
  <c r="D17" i="109" s="1"/>
  <c r="T13" i="109"/>
  <c r="P13" i="109"/>
  <c r="L13" i="109"/>
  <c r="N13" i="109" s="1"/>
  <c r="H13" i="109"/>
  <c r="D13" i="109"/>
  <c r="B13" i="109"/>
  <c r="T12" i="109"/>
  <c r="V55" i="109" s="1"/>
  <c r="H12" i="109"/>
  <c r="D12" i="109"/>
  <c r="D6" i="109"/>
  <c r="D4" i="109"/>
  <c r="Z37" i="108"/>
  <c r="X37" i="108"/>
  <c r="V37" i="108"/>
  <c r="N37" i="108"/>
  <c r="L37" i="108"/>
  <c r="Z33" i="108"/>
  <c r="X33" i="108"/>
  <c r="T33" i="108"/>
  <c r="P33" i="108"/>
  <c r="N33" i="108"/>
  <c r="J33" i="108"/>
  <c r="H33" i="108"/>
  <c r="D33" i="108"/>
  <c r="L33" i="108" s="1"/>
  <c r="B33" i="108"/>
  <c r="T32" i="108"/>
  <c r="T31" i="108" s="1"/>
  <c r="P32" i="108"/>
  <c r="P31" i="108" s="1"/>
  <c r="X31" i="108" s="1"/>
  <c r="Z31" i="108" s="1"/>
  <c r="L32" i="108"/>
  <c r="H32" i="108"/>
  <c r="N32" i="108" s="1"/>
  <c r="D32" i="108"/>
  <c r="B32" i="108"/>
  <c r="R31" i="108"/>
  <c r="H31" i="108"/>
  <c r="D31" i="108"/>
  <c r="L31" i="108" s="1"/>
  <c r="N31" i="108" s="1"/>
  <c r="Z29" i="108"/>
  <c r="X29" i="108"/>
  <c r="N29" i="108"/>
  <c r="L29" i="108"/>
  <c r="B29" i="108"/>
  <c r="X28" i="108"/>
  <c r="Z28" i="108" s="1"/>
  <c r="V28" i="108"/>
  <c r="N28" i="108"/>
  <c r="L28" i="108"/>
  <c r="B28" i="108"/>
  <c r="Z27" i="108"/>
  <c r="T27" i="108"/>
  <c r="P27" i="108"/>
  <c r="X27" i="108" s="1"/>
  <c r="N27" i="108"/>
  <c r="L27" i="108"/>
  <c r="H27" i="108"/>
  <c r="D27" i="108"/>
  <c r="B27" i="108"/>
  <c r="X26" i="108"/>
  <c r="Z26" i="108" s="1"/>
  <c r="N26" i="108"/>
  <c r="L26" i="108"/>
  <c r="B26" i="108"/>
  <c r="Z25" i="108"/>
  <c r="X25" i="108"/>
  <c r="V25" i="108"/>
  <c r="L25" i="108"/>
  <c r="N25" i="108" s="1"/>
  <c r="B25" i="108"/>
  <c r="Z24" i="108"/>
  <c r="X24" i="108"/>
  <c r="L24" i="108"/>
  <c r="N24" i="108" s="1"/>
  <c r="B24" i="108"/>
  <c r="X23" i="108"/>
  <c r="Z23" i="108" s="1"/>
  <c r="V23" i="108"/>
  <c r="N23" i="108"/>
  <c r="L23" i="108"/>
  <c r="B23" i="108"/>
  <c r="X22" i="108"/>
  <c r="Z22" i="108" s="1"/>
  <c r="V22" i="108"/>
  <c r="L22" i="108"/>
  <c r="N22" i="108" s="1"/>
  <c r="B22" i="108"/>
  <c r="Z21" i="108"/>
  <c r="X21" i="108"/>
  <c r="L21" i="108"/>
  <c r="N21" i="108" s="1"/>
  <c r="J21" i="108"/>
  <c r="B21" i="108"/>
  <c r="Z20" i="108"/>
  <c r="X20" i="108"/>
  <c r="L20" i="108"/>
  <c r="N20" i="108" s="1"/>
  <c r="F20" i="108"/>
  <c r="B20" i="108"/>
  <c r="T19" i="108"/>
  <c r="P19" i="108"/>
  <c r="J19" i="108"/>
  <c r="H19" i="108"/>
  <c r="F19" i="108"/>
  <c r="D19" i="108"/>
  <c r="L19" i="108" s="1"/>
  <c r="N19" i="108" s="1"/>
  <c r="B19" i="108"/>
  <c r="V18" i="108"/>
  <c r="T18" i="108"/>
  <c r="P18" i="108"/>
  <c r="X18" i="108" s="1"/>
  <c r="J18" i="108"/>
  <c r="H18" i="108"/>
  <c r="F18" i="108"/>
  <c r="D18" i="108"/>
  <c r="L18" i="108" s="1"/>
  <c r="J16" i="108"/>
  <c r="F16" i="108"/>
  <c r="D16" i="108"/>
  <c r="T14" i="108"/>
  <c r="Z14" i="108" s="1"/>
  <c r="P14" i="108"/>
  <c r="X14" i="108" s="1"/>
  <c r="J14" i="108"/>
  <c r="H14" i="108"/>
  <c r="N14" i="108" s="1"/>
  <c r="F14" i="108"/>
  <c r="D14" i="108"/>
  <c r="L14" i="108" s="1"/>
  <c r="Z12" i="108"/>
  <c r="T12" i="108"/>
  <c r="V39" i="108" s="1"/>
  <c r="P12" i="108"/>
  <c r="R19" i="108" s="1"/>
  <c r="N12" i="108"/>
  <c r="L12" i="108"/>
  <c r="H12" i="108"/>
  <c r="J29" i="108" s="1"/>
  <c r="D12" i="108"/>
  <c r="D6" i="108"/>
  <c r="D4" i="108"/>
  <c r="X85" i="107"/>
  <c r="Z85" i="107" s="1"/>
  <c r="L85" i="107"/>
  <c r="N85" i="107" s="1"/>
  <c r="T81" i="107"/>
  <c r="Z81" i="107" s="1"/>
  <c r="P81" i="107"/>
  <c r="X81" i="107" s="1"/>
  <c r="H81" i="107"/>
  <c r="N81" i="107" s="1"/>
  <c r="D81" i="107"/>
  <c r="L81" i="107" s="1"/>
  <c r="X79" i="107"/>
  <c r="Z79" i="107" s="1"/>
  <c r="N79" i="107"/>
  <c r="L79" i="107"/>
  <c r="B79" i="107"/>
  <c r="T78" i="107"/>
  <c r="P78" i="107"/>
  <c r="X78" i="107" s="1"/>
  <c r="Z78" i="107" s="1"/>
  <c r="N78" i="107"/>
  <c r="L78" i="107"/>
  <c r="H78" i="107"/>
  <c r="D78" i="107"/>
  <c r="B78" i="107"/>
  <c r="X77" i="107"/>
  <c r="Z77" i="107" s="1"/>
  <c r="N77" i="107"/>
  <c r="L77" i="107"/>
  <c r="B77" i="107"/>
  <c r="T76" i="107"/>
  <c r="P76" i="107"/>
  <c r="H76" i="107"/>
  <c r="N76" i="107" s="1"/>
  <c r="D76" i="107"/>
  <c r="B76" i="107"/>
  <c r="X75" i="107"/>
  <c r="Z75" i="107" s="1"/>
  <c r="N75" i="107"/>
  <c r="L75" i="107"/>
  <c r="B75" i="107"/>
  <c r="Z74" i="107"/>
  <c r="X74" i="107"/>
  <c r="T74" i="107"/>
  <c r="P74" i="107"/>
  <c r="H74" i="107"/>
  <c r="D74" i="107"/>
  <c r="L74" i="107" s="1"/>
  <c r="N74" i="107" s="1"/>
  <c r="B74" i="107"/>
  <c r="Z73" i="107"/>
  <c r="X73" i="107"/>
  <c r="N73" i="107"/>
  <c r="L73" i="107"/>
  <c r="B73" i="107"/>
  <c r="Z72" i="107"/>
  <c r="X72" i="107"/>
  <c r="N72" i="107"/>
  <c r="L72" i="107"/>
  <c r="B72" i="107"/>
  <c r="Z71" i="107"/>
  <c r="X71" i="107"/>
  <c r="L71" i="107"/>
  <c r="N71" i="107" s="1"/>
  <c r="B71" i="107"/>
  <c r="Z70" i="107"/>
  <c r="X70" i="107"/>
  <c r="L70" i="107"/>
  <c r="N70" i="107" s="1"/>
  <c r="B70" i="107"/>
  <c r="Z69" i="107"/>
  <c r="X69" i="107"/>
  <c r="L69" i="107"/>
  <c r="N69" i="107" s="1"/>
  <c r="B69" i="107"/>
  <c r="Z68" i="107"/>
  <c r="X68" i="107"/>
  <c r="L68" i="107"/>
  <c r="N68" i="107" s="1"/>
  <c r="B68" i="107"/>
  <c r="T67" i="107"/>
  <c r="Z67" i="107" s="1"/>
  <c r="P67" i="107"/>
  <c r="X67" i="107" s="1"/>
  <c r="H67" i="107"/>
  <c r="D67" i="107"/>
  <c r="L67" i="107" s="1"/>
  <c r="B67" i="107"/>
  <c r="X66" i="107"/>
  <c r="Z66" i="107" s="1"/>
  <c r="N66" i="107"/>
  <c r="L66" i="107"/>
  <c r="B66" i="107"/>
  <c r="X65" i="107"/>
  <c r="Z65" i="107" s="1"/>
  <c r="L65" i="107"/>
  <c r="N65" i="107" s="1"/>
  <c r="B65" i="107"/>
  <c r="X64" i="107"/>
  <c r="Z64" i="107" s="1"/>
  <c r="N64" i="107"/>
  <c r="L64" i="107"/>
  <c r="B64" i="107"/>
  <c r="X63" i="107"/>
  <c r="Z63" i="107" s="1"/>
  <c r="T63" i="107"/>
  <c r="P63" i="107"/>
  <c r="H63" i="107"/>
  <c r="D63" i="107"/>
  <c r="L63" i="107" s="1"/>
  <c r="N63" i="107" s="1"/>
  <c r="B63" i="107"/>
  <c r="Z62" i="107"/>
  <c r="X62" i="107"/>
  <c r="N62" i="107"/>
  <c r="L62" i="107"/>
  <c r="B62" i="107"/>
  <c r="T61" i="107"/>
  <c r="P61" i="107"/>
  <c r="H61" i="107"/>
  <c r="D61" i="107"/>
  <c r="B61" i="107"/>
  <c r="Z60" i="107"/>
  <c r="X60" i="107"/>
  <c r="L60" i="107"/>
  <c r="N60" i="107" s="1"/>
  <c r="B60" i="107"/>
  <c r="T59" i="107"/>
  <c r="P59" i="107"/>
  <c r="X59" i="107" s="1"/>
  <c r="H59" i="107"/>
  <c r="N59" i="107" s="1"/>
  <c r="D59" i="107"/>
  <c r="L59" i="107" s="1"/>
  <c r="B59" i="107"/>
  <c r="X58" i="107"/>
  <c r="Z58" i="107" s="1"/>
  <c r="N58" i="107"/>
  <c r="L58" i="107"/>
  <c r="B58" i="107"/>
  <c r="X57" i="107"/>
  <c r="T57" i="107"/>
  <c r="Z57" i="107" s="1"/>
  <c r="P57" i="107"/>
  <c r="L57" i="107"/>
  <c r="N57" i="107" s="1"/>
  <c r="H57" i="107"/>
  <c r="D57" i="107"/>
  <c r="B57" i="107"/>
  <c r="Z56" i="107"/>
  <c r="X56" i="107"/>
  <c r="N56" i="107"/>
  <c r="L56" i="107"/>
  <c r="B56" i="107"/>
  <c r="T55" i="107"/>
  <c r="P55" i="107"/>
  <c r="H55" i="107"/>
  <c r="D55" i="107"/>
  <c r="B55" i="107"/>
  <c r="Z54" i="107"/>
  <c r="X54" i="107"/>
  <c r="N54" i="107"/>
  <c r="L54" i="107"/>
  <c r="B54" i="107"/>
  <c r="T53" i="107"/>
  <c r="Z53" i="107" s="1"/>
  <c r="P53" i="107"/>
  <c r="X53" i="107" s="1"/>
  <c r="H53" i="107"/>
  <c r="N53" i="107" s="1"/>
  <c r="D53" i="107"/>
  <c r="L53" i="107" s="1"/>
  <c r="B53" i="107"/>
  <c r="Z52" i="107"/>
  <c r="X52" i="107"/>
  <c r="N52" i="107"/>
  <c r="L52" i="107"/>
  <c r="B52" i="107"/>
  <c r="X51" i="107"/>
  <c r="Z51" i="107" s="1"/>
  <c r="T51" i="107"/>
  <c r="P51" i="107"/>
  <c r="N51" i="107"/>
  <c r="L51" i="107"/>
  <c r="H51" i="107"/>
  <c r="D51" i="107"/>
  <c r="B51" i="107"/>
  <c r="Z50" i="107"/>
  <c r="X50" i="107"/>
  <c r="N50" i="107"/>
  <c r="L50" i="107"/>
  <c r="B50" i="107"/>
  <c r="T49" i="107"/>
  <c r="P49" i="107"/>
  <c r="H49" i="107"/>
  <c r="D49" i="107"/>
  <c r="B49" i="107"/>
  <c r="Z48" i="107"/>
  <c r="X48" i="107"/>
  <c r="N48" i="107"/>
  <c r="L48" i="107"/>
  <c r="B48" i="107"/>
  <c r="T47" i="107"/>
  <c r="Z47" i="107" s="1"/>
  <c r="P47" i="107"/>
  <c r="X47" i="107" s="1"/>
  <c r="H47" i="107"/>
  <c r="N47" i="107" s="1"/>
  <c r="D47" i="107"/>
  <c r="L47" i="107" s="1"/>
  <c r="B47" i="107"/>
  <c r="X46" i="107"/>
  <c r="Z46" i="107" s="1"/>
  <c r="N46" i="107"/>
  <c r="L46" i="107"/>
  <c r="B46" i="107"/>
  <c r="X45" i="107"/>
  <c r="T45" i="107"/>
  <c r="Z45" i="107" s="1"/>
  <c r="P45" i="107"/>
  <c r="L45" i="107"/>
  <c r="N45" i="107" s="1"/>
  <c r="H45" i="107"/>
  <c r="D45" i="107"/>
  <c r="B45" i="107"/>
  <c r="Z44" i="107"/>
  <c r="X44" i="107"/>
  <c r="N44" i="107"/>
  <c r="L44" i="107"/>
  <c r="B44" i="107"/>
  <c r="T43" i="107"/>
  <c r="P43" i="107"/>
  <c r="H43" i="107"/>
  <c r="D43" i="107"/>
  <c r="B43" i="107"/>
  <c r="Z42" i="107"/>
  <c r="X42" i="107"/>
  <c r="N42" i="107"/>
  <c r="L42" i="107"/>
  <c r="B42" i="107"/>
  <c r="T41" i="107"/>
  <c r="Z41" i="107" s="1"/>
  <c r="P41" i="107"/>
  <c r="X41" i="107" s="1"/>
  <c r="H41" i="107"/>
  <c r="N41" i="107" s="1"/>
  <c r="D41" i="107"/>
  <c r="L41" i="107" s="1"/>
  <c r="B41" i="107"/>
  <c r="Z40" i="107"/>
  <c r="X40" i="107"/>
  <c r="N40" i="107"/>
  <c r="L40" i="107"/>
  <c r="B40" i="107"/>
  <c r="X39" i="107"/>
  <c r="Z39" i="107" s="1"/>
  <c r="L39" i="107"/>
  <c r="N39" i="107" s="1"/>
  <c r="B39" i="107"/>
  <c r="X38" i="107"/>
  <c r="Z38" i="107" s="1"/>
  <c r="N38" i="107"/>
  <c r="L38" i="107"/>
  <c r="B38" i="107"/>
  <c r="X37" i="107"/>
  <c r="Z37" i="107" s="1"/>
  <c r="L37" i="107"/>
  <c r="N37" i="107" s="1"/>
  <c r="B37" i="107"/>
  <c r="Z36" i="107"/>
  <c r="X36" i="107"/>
  <c r="N36" i="107"/>
  <c r="L36" i="107"/>
  <c r="B36" i="107"/>
  <c r="X35" i="107"/>
  <c r="Z35" i="107" s="1"/>
  <c r="L35" i="107"/>
  <c r="N35" i="107" s="1"/>
  <c r="B35" i="107"/>
  <c r="T34" i="107"/>
  <c r="Z34" i="107" s="1"/>
  <c r="P34" i="107"/>
  <c r="X34" i="107" s="1"/>
  <c r="H34" i="107"/>
  <c r="L34" i="107" s="1"/>
  <c r="N34" i="107" s="1"/>
  <c r="D34" i="107"/>
  <c r="B34" i="107"/>
  <c r="X33" i="107"/>
  <c r="Z33" i="107" s="1"/>
  <c r="L33" i="107"/>
  <c r="N33" i="107" s="1"/>
  <c r="B33" i="107"/>
  <c r="Z32" i="107"/>
  <c r="X32" i="107"/>
  <c r="N32" i="107"/>
  <c r="L32" i="107"/>
  <c r="B32" i="107"/>
  <c r="X31" i="107"/>
  <c r="Z31" i="107" s="1"/>
  <c r="L31" i="107"/>
  <c r="N31" i="107" s="1"/>
  <c r="B31" i="107"/>
  <c r="Z30" i="107"/>
  <c r="X30" i="107"/>
  <c r="N30" i="107"/>
  <c r="L30" i="107"/>
  <c r="B30" i="107"/>
  <c r="X29" i="107"/>
  <c r="Z29" i="107" s="1"/>
  <c r="L29" i="107"/>
  <c r="N29" i="107" s="1"/>
  <c r="B29" i="107"/>
  <c r="Z28" i="107"/>
  <c r="X28" i="107"/>
  <c r="N28" i="107"/>
  <c r="L28" i="107"/>
  <c r="B28" i="107"/>
  <c r="X27" i="107"/>
  <c r="Z27" i="107" s="1"/>
  <c r="L27" i="107"/>
  <c r="N27" i="107" s="1"/>
  <c r="B27" i="107"/>
  <c r="Z26" i="107"/>
  <c r="X26" i="107"/>
  <c r="N26" i="107"/>
  <c r="L26" i="107"/>
  <c r="B26" i="107"/>
  <c r="X25" i="107"/>
  <c r="Z25" i="107" s="1"/>
  <c r="L25" i="107"/>
  <c r="N25" i="107" s="1"/>
  <c r="B25" i="107"/>
  <c r="T24" i="107"/>
  <c r="P24" i="107"/>
  <c r="X24" i="107" s="1"/>
  <c r="Z24" i="107" s="1"/>
  <c r="N24" i="107"/>
  <c r="H24" i="107"/>
  <c r="D24" i="107"/>
  <c r="L24" i="107" s="1"/>
  <c r="B24" i="107"/>
  <c r="T23" i="107"/>
  <c r="P23" i="107"/>
  <c r="X23" i="107" s="1"/>
  <c r="H23" i="107"/>
  <c r="D23" i="107"/>
  <c r="L23" i="107" s="1"/>
  <c r="X19" i="107"/>
  <c r="Z19" i="107" s="1"/>
  <c r="L19" i="107"/>
  <c r="N19" i="107" s="1"/>
  <c r="B19" i="107"/>
  <c r="Z18" i="107"/>
  <c r="X18" i="107"/>
  <c r="N18" i="107"/>
  <c r="L18" i="107"/>
  <c r="B18" i="107"/>
  <c r="T17" i="107"/>
  <c r="Z17" i="107" s="1"/>
  <c r="P17" i="107"/>
  <c r="X17" i="107" s="1"/>
  <c r="H17" i="107"/>
  <c r="N17" i="107" s="1"/>
  <c r="D17" i="107"/>
  <c r="L17" i="107" s="1"/>
  <c r="T15" i="107"/>
  <c r="P15" i="107"/>
  <c r="X15" i="107" s="1"/>
  <c r="Z15" i="107" s="1"/>
  <c r="L15" i="107"/>
  <c r="N15" i="107" s="1"/>
  <c r="H15" i="107"/>
  <c r="D15" i="107"/>
  <c r="B15" i="107"/>
  <c r="T14" i="107"/>
  <c r="P14" i="107"/>
  <c r="H14" i="107"/>
  <c r="N14" i="107" s="1"/>
  <c r="D14" i="107"/>
  <c r="L14" i="107" s="1"/>
  <c r="B14" i="107"/>
  <c r="T13" i="107"/>
  <c r="P13" i="107"/>
  <c r="P12" i="107" s="1"/>
  <c r="R34" i="107" s="1"/>
  <c r="L13" i="107"/>
  <c r="N13" i="107" s="1"/>
  <c r="H13" i="107"/>
  <c r="D13" i="107"/>
  <c r="D12" i="107" s="1"/>
  <c r="B13" i="107"/>
  <c r="D6" i="107"/>
  <c r="D4" i="107"/>
  <c r="Z91" i="105"/>
  <c r="X91" i="105"/>
  <c r="N91" i="105"/>
  <c r="L91" i="105"/>
  <c r="Z87" i="105"/>
  <c r="X87" i="105"/>
  <c r="T87" i="105"/>
  <c r="P87" i="105"/>
  <c r="N87" i="105"/>
  <c r="L87" i="105"/>
  <c r="H87" i="105"/>
  <c r="D87" i="105"/>
  <c r="Z85" i="105"/>
  <c r="X85" i="105"/>
  <c r="L85" i="105"/>
  <c r="N85" i="105" s="1"/>
  <c r="B85" i="105"/>
  <c r="T84" i="105"/>
  <c r="P84" i="105"/>
  <c r="H84" i="105"/>
  <c r="N84" i="105" s="1"/>
  <c r="D84" i="105"/>
  <c r="L84" i="105" s="1"/>
  <c r="B84" i="105"/>
  <c r="Z83" i="105"/>
  <c r="X83" i="105"/>
  <c r="N83" i="105"/>
  <c r="L83" i="105"/>
  <c r="B83" i="105"/>
  <c r="X82" i="105"/>
  <c r="T82" i="105"/>
  <c r="Z82" i="105" s="1"/>
  <c r="P82" i="105"/>
  <c r="H82" i="105"/>
  <c r="D82" i="105"/>
  <c r="L82" i="105" s="1"/>
  <c r="N82" i="105" s="1"/>
  <c r="B82" i="105"/>
  <c r="Z81" i="105"/>
  <c r="X81" i="105"/>
  <c r="N81" i="105"/>
  <c r="L81" i="105"/>
  <c r="B81" i="105"/>
  <c r="X80" i="105"/>
  <c r="T80" i="105"/>
  <c r="P80" i="105"/>
  <c r="H80" i="105"/>
  <c r="D80" i="105"/>
  <c r="B80" i="105"/>
  <c r="Z79" i="105"/>
  <c r="X79" i="105"/>
  <c r="N79" i="105"/>
  <c r="L79" i="105"/>
  <c r="B79" i="105"/>
  <c r="X78" i="105"/>
  <c r="Z78" i="105" s="1"/>
  <c r="N78" i="105"/>
  <c r="L78" i="105"/>
  <c r="B78" i="105"/>
  <c r="Z77" i="105"/>
  <c r="X77" i="105"/>
  <c r="N77" i="105"/>
  <c r="L77" i="105"/>
  <c r="B77" i="105"/>
  <c r="X76" i="105"/>
  <c r="Z76" i="105" s="1"/>
  <c r="L76" i="105"/>
  <c r="N76" i="105" s="1"/>
  <c r="B76" i="105"/>
  <c r="Z75" i="105"/>
  <c r="X75" i="105"/>
  <c r="N75" i="105"/>
  <c r="L75" i="105"/>
  <c r="B75" i="105"/>
  <c r="X74" i="105"/>
  <c r="Z74" i="105" s="1"/>
  <c r="L74" i="105"/>
  <c r="N74" i="105" s="1"/>
  <c r="B74" i="105"/>
  <c r="Z73" i="105"/>
  <c r="X73" i="105"/>
  <c r="L73" i="105"/>
  <c r="N73" i="105" s="1"/>
  <c r="B73" i="105"/>
  <c r="Z72" i="105"/>
  <c r="X72" i="105"/>
  <c r="N72" i="105"/>
  <c r="L72" i="105"/>
  <c r="B72" i="105"/>
  <c r="Z71" i="105"/>
  <c r="X71" i="105"/>
  <c r="N71" i="105"/>
  <c r="L71" i="105"/>
  <c r="B71" i="105"/>
  <c r="T70" i="105"/>
  <c r="P70" i="105"/>
  <c r="H70" i="105"/>
  <c r="D70" i="105"/>
  <c r="B70" i="105"/>
  <c r="Z69" i="105"/>
  <c r="X69" i="105"/>
  <c r="N69" i="105"/>
  <c r="L69" i="105"/>
  <c r="B69" i="105"/>
  <c r="X68" i="105"/>
  <c r="T68" i="105"/>
  <c r="Z68" i="105" s="1"/>
  <c r="P68" i="105"/>
  <c r="H68" i="105"/>
  <c r="N68" i="105" s="1"/>
  <c r="D68" i="105"/>
  <c r="L68" i="105" s="1"/>
  <c r="B68" i="105"/>
  <c r="Z67" i="105"/>
  <c r="X67" i="105"/>
  <c r="N67" i="105"/>
  <c r="L67" i="105"/>
  <c r="B67" i="105"/>
  <c r="X66" i="105"/>
  <c r="Z66" i="105" s="1"/>
  <c r="L66" i="105"/>
  <c r="N66" i="105" s="1"/>
  <c r="B66" i="105"/>
  <c r="Z65" i="105"/>
  <c r="X65" i="105"/>
  <c r="N65" i="105"/>
  <c r="L65" i="105"/>
  <c r="B65" i="105"/>
  <c r="X64" i="105"/>
  <c r="Z64" i="105" s="1"/>
  <c r="L64" i="105"/>
  <c r="N64" i="105" s="1"/>
  <c r="B64" i="105"/>
  <c r="Z63" i="105"/>
  <c r="T63" i="105"/>
  <c r="P63" i="105"/>
  <c r="X63" i="105" s="1"/>
  <c r="N63" i="105"/>
  <c r="H63" i="105"/>
  <c r="D63" i="105"/>
  <c r="L63" i="105" s="1"/>
  <c r="B63" i="105"/>
  <c r="X62" i="105"/>
  <c r="Z62" i="105" s="1"/>
  <c r="L62" i="105"/>
  <c r="N62" i="105" s="1"/>
  <c r="F62" i="105"/>
  <c r="B62" i="105"/>
  <c r="Z61" i="105"/>
  <c r="X61" i="105"/>
  <c r="L61" i="105"/>
  <c r="N61" i="105" s="1"/>
  <c r="B61" i="105"/>
  <c r="X60" i="105"/>
  <c r="Z60" i="105" s="1"/>
  <c r="N60" i="105"/>
  <c r="L60" i="105"/>
  <c r="B60" i="105"/>
  <c r="Z59" i="105"/>
  <c r="T59" i="105"/>
  <c r="P59" i="105"/>
  <c r="X59" i="105" s="1"/>
  <c r="N59" i="105"/>
  <c r="H59" i="105"/>
  <c r="D59" i="105"/>
  <c r="L59" i="105" s="1"/>
  <c r="B59" i="105"/>
  <c r="X58" i="105"/>
  <c r="Z58" i="105" s="1"/>
  <c r="L58" i="105"/>
  <c r="N58" i="105" s="1"/>
  <c r="B58" i="105"/>
  <c r="X57" i="105"/>
  <c r="T57" i="105"/>
  <c r="P57" i="105"/>
  <c r="L57" i="105"/>
  <c r="N57" i="105" s="1"/>
  <c r="H57" i="105"/>
  <c r="D57" i="105"/>
  <c r="B57" i="105"/>
  <c r="Z56" i="105"/>
  <c r="X56" i="105"/>
  <c r="L56" i="105"/>
  <c r="N56" i="105" s="1"/>
  <c r="B56" i="105"/>
  <c r="T55" i="105"/>
  <c r="P55" i="105"/>
  <c r="H55" i="105"/>
  <c r="N55" i="105" s="1"/>
  <c r="D55" i="105"/>
  <c r="L55" i="105" s="1"/>
  <c r="B55" i="105"/>
  <c r="X54" i="105"/>
  <c r="Z54" i="105" s="1"/>
  <c r="N54" i="105"/>
  <c r="L54" i="105"/>
  <c r="B54" i="105"/>
  <c r="X53" i="105"/>
  <c r="Z53" i="105" s="1"/>
  <c r="T53" i="105"/>
  <c r="P53" i="105"/>
  <c r="H53" i="105"/>
  <c r="L53" i="105" s="1"/>
  <c r="N53" i="105" s="1"/>
  <c r="D53" i="105"/>
  <c r="B53" i="105"/>
  <c r="X52" i="105"/>
  <c r="Z52" i="105" s="1"/>
  <c r="L52" i="105"/>
  <c r="N52" i="105" s="1"/>
  <c r="B52" i="105"/>
  <c r="Z51" i="105"/>
  <c r="X51" i="105"/>
  <c r="T51" i="105"/>
  <c r="P51" i="105"/>
  <c r="N51" i="105"/>
  <c r="L51" i="105"/>
  <c r="H51" i="105"/>
  <c r="D51" i="105"/>
  <c r="B51" i="105"/>
  <c r="Z50" i="105"/>
  <c r="X50" i="105"/>
  <c r="L50" i="105"/>
  <c r="N50" i="105" s="1"/>
  <c r="B50" i="105"/>
  <c r="T49" i="105"/>
  <c r="P49" i="105"/>
  <c r="H49" i="105"/>
  <c r="N49" i="105" s="1"/>
  <c r="D49" i="105"/>
  <c r="L49" i="105" s="1"/>
  <c r="B49" i="105"/>
  <c r="Z48" i="105"/>
  <c r="X48" i="105"/>
  <c r="N48" i="105"/>
  <c r="L48" i="105"/>
  <c r="B48" i="105"/>
  <c r="Z47" i="105"/>
  <c r="X47" i="105"/>
  <c r="T47" i="105"/>
  <c r="P47" i="105"/>
  <c r="N47" i="105"/>
  <c r="L47" i="105"/>
  <c r="H47" i="105"/>
  <c r="D47" i="105"/>
  <c r="B47" i="105"/>
  <c r="X46" i="105"/>
  <c r="Z46" i="105" s="1"/>
  <c r="L46" i="105"/>
  <c r="N46" i="105" s="1"/>
  <c r="B46" i="105"/>
  <c r="T45" i="105"/>
  <c r="P45" i="105"/>
  <c r="X45" i="105" s="1"/>
  <c r="Z45" i="105" s="1"/>
  <c r="H45" i="105"/>
  <c r="L45" i="105" s="1"/>
  <c r="N45" i="105" s="1"/>
  <c r="D45" i="105"/>
  <c r="B45" i="105"/>
  <c r="X44" i="105"/>
  <c r="Z44" i="105" s="1"/>
  <c r="N44" i="105"/>
  <c r="L44" i="105"/>
  <c r="B44" i="105"/>
  <c r="T43" i="105"/>
  <c r="Z43" i="105" s="1"/>
  <c r="P43" i="105"/>
  <c r="X43" i="105" s="1"/>
  <c r="N43" i="105"/>
  <c r="H43" i="105"/>
  <c r="F43" i="105"/>
  <c r="D43" i="105"/>
  <c r="L43" i="105" s="1"/>
  <c r="B43" i="105"/>
  <c r="X42" i="105"/>
  <c r="Z42" i="105" s="1"/>
  <c r="N42" i="105"/>
  <c r="L42" i="105"/>
  <c r="B42" i="105"/>
  <c r="Z41" i="105"/>
  <c r="X41" i="105"/>
  <c r="T41" i="105"/>
  <c r="P41" i="105"/>
  <c r="N41" i="105"/>
  <c r="L41" i="105"/>
  <c r="H41" i="105"/>
  <c r="D41" i="105"/>
  <c r="B41" i="105"/>
  <c r="Z40" i="105"/>
  <c r="X40" i="105"/>
  <c r="L40" i="105"/>
  <c r="N40" i="105" s="1"/>
  <c r="B40" i="105"/>
  <c r="Z39" i="105"/>
  <c r="X39" i="105"/>
  <c r="V39" i="105"/>
  <c r="N39" i="105"/>
  <c r="L39" i="105"/>
  <c r="B39" i="105"/>
  <c r="X38" i="105"/>
  <c r="Z38" i="105" s="1"/>
  <c r="L38" i="105"/>
  <c r="N38" i="105" s="1"/>
  <c r="B38" i="105"/>
  <c r="Z37" i="105"/>
  <c r="X37" i="105"/>
  <c r="N37" i="105"/>
  <c r="L37" i="105"/>
  <c r="B37" i="105"/>
  <c r="Z36" i="105"/>
  <c r="X36" i="105"/>
  <c r="L36" i="105"/>
  <c r="N36" i="105" s="1"/>
  <c r="B36" i="105"/>
  <c r="Z35" i="105"/>
  <c r="X35" i="105"/>
  <c r="N35" i="105"/>
  <c r="L35" i="105"/>
  <c r="B35" i="105"/>
  <c r="T34" i="105"/>
  <c r="Z34" i="105" s="1"/>
  <c r="P34" i="105"/>
  <c r="X34" i="105" s="1"/>
  <c r="H34" i="105"/>
  <c r="D34" i="105"/>
  <c r="L34" i="105" s="1"/>
  <c r="B34" i="105"/>
  <c r="Z33" i="105"/>
  <c r="X33" i="105"/>
  <c r="N33" i="105"/>
  <c r="L33" i="105"/>
  <c r="B33" i="105"/>
  <c r="X32" i="105"/>
  <c r="Z32" i="105" s="1"/>
  <c r="L32" i="105"/>
  <c r="N32" i="105" s="1"/>
  <c r="F32" i="105"/>
  <c r="B32" i="105"/>
  <c r="Z31" i="105"/>
  <c r="X31" i="105"/>
  <c r="N31" i="105"/>
  <c r="L31" i="105"/>
  <c r="B31" i="105"/>
  <c r="X30" i="105"/>
  <c r="Z30" i="105" s="1"/>
  <c r="L30" i="105"/>
  <c r="N30" i="105" s="1"/>
  <c r="B30" i="105"/>
  <c r="Z29" i="105"/>
  <c r="X29" i="105"/>
  <c r="N29" i="105"/>
  <c r="L29" i="105"/>
  <c r="B29" i="105"/>
  <c r="X28" i="105"/>
  <c r="Z28" i="105" s="1"/>
  <c r="L28" i="105"/>
  <c r="N28" i="105" s="1"/>
  <c r="F28" i="105"/>
  <c r="B28" i="105"/>
  <c r="Z27" i="105"/>
  <c r="X27" i="105"/>
  <c r="N27" i="105"/>
  <c r="L27" i="105"/>
  <c r="B27" i="105"/>
  <c r="X26" i="105"/>
  <c r="Z26" i="105" s="1"/>
  <c r="L26" i="105"/>
  <c r="N26" i="105" s="1"/>
  <c r="B26" i="105"/>
  <c r="Z25" i="105"/>
  <c r="X25" i="105"/>
  <c r="N25" i="105"/>
  <c r="L25" i="105"/>
  <c r="B25" i="105"/>
  <c r="T24" i="105"/>
  <c r="Z24" i="105" s="1"/>
  <c r="P24" i="105"/>
  <c r="X24" i="105" s="1"/>
  <c r="L24" i="105"/>
  <c r="N24" i="105" s="1"/>
  <c r="H24" i="105"/>
  <c r="D24" i="105"/>
  <c r="B24" i="105"/>
  <c r="T23" i="105"/>
  <c r="P23" i="105"/>
  <c r="X23" i="105" s="1"/>
  <c r="Z23" i="105" s="1"/>
  <c r="N23" i="105"/>
  <c r="L23" i="105"/>
  <c r="H23" i="105"/>
  <c r="D23" i="105"/>
  <c r="Z19" i="105"/>
  <c r="X19" i="105"/>
  <c r="N19" i="105"/>
  <c r="L19" i="105"/>
  <c r="B19" i="105"/>
  <c r="X18" i="105"/>
  <c r="Z18" i="105" s="1"/>
  <c r="L18" i="105"/>
  <c r="N18" i="105" s="1"/>
  <c r="B18" i="105"/>
  <c r="Z17" i="105"/>
  <c r="X17" i="105"/>
  <c r="T17" i="105"/>
  <c r="P17" i="105"/>
  <c r="H17" i="105"/>
  <c r="D17" i="105"/>
  <c r="L17" i="105" s="1"/>
  <c r="N17" i="105" s="1"/>
  <c r="Z15" i="105"/>
  <c r="X15" i="105"/>
  <c r="T15" i="105"/>
  <c r="P15" i="105"/>
  <c r="H15" i="105"/>
  <c r="D15" i="105"/>
  <c r="L15" i="105" s="1"/>
  <c r="N15" i="105" s="1"/>
  <c r="B15" i="105"/>
  <c r="T14" i="105"/>
  <c r="P14" i="105"/>
  <c r="H14" i="105"/>
  <c r="D14" i="105"/>
  <c r="D12" i="105" s="1"/>
  <c r="B14" i="105"/>
  <c r="T13" i="105"/>
  <c r="T12" i="105" s="1"/>
  <c r="P13" i="105"/>
  <c r="X13" i="105" s="1"/>
  <c r="H13" i="105"/>
  <c r="D13" i="105"/>
  <c r="B13" i="105"/>
  <c r="D6" i="105"/>
  <c r="D4" i="105"/>
  <c r="Z51" i="104"/>
  <c r="X51" i="104"/>
  <c r="L51" i="104"/>
  <c r="N51" i="104" s="1"/>
  <c r="T47" i="104"/>
  <c r="P47" i="104"/>
  <c r="H47" i="104"/>
  <c r="N47" i="104" s="1"/>
  <c r="D47" i="104"/>
  <c r="L47" i="104" s="1"/>
  <c r="X45" i="104"/>
  <c r="Z45" i="104" s="1"/>
  <c r="N45" i="104"/>
  <c r="L45" i="104"/>
  <c r="B45" i="104"/>
  <c r="T44" i="104"/>
  <c r="P44" i="104"/>
  <c r="X44" i="104" s="1"/>
  <c r="Z44" i="104" s="1"/>
  <c r="H44" i="104"/>
  <c r="D44" i="104"/>
  <c r="L44" i="104" s="1"/>
  <c r="N44" i="104" s="1"/>
  <c r="B44" i="104"/>
  <c r="X43" i="104"/>
  <c r="Z43" i="104" s="1"/>
  <c r="N43" i="104"/>
  <c r="L43" i="104"/>
  <c r="B43" i="104"/>
  <c r="Z42" i="104"/>
  <c r="X42" i="104"/>
  <c r="N42" i="104"/>
  <c r="L42" i="104"/>
  <c r="B42" i="104"/>
  <c r="Z41" i="104"/>
  <c r="X41" i="104"/>
  <c r="N41" i="104"/>
  <c r="L41" i="104"/>
  <c r="B41" i="104"/>
  <c r="X40" i="104"/>
  <c r="Z40" i="104" s="1"/>
  <c r="V40" i="104"/>
  <c r="T40" i="104"/>
  <c r="P40" i="104"/>
  <c r="H40" i="104"/>
  <c r="D40" i="104"/>
  <c r="L40" i="104" s="1"/>
  <c r="N40" i="104" s="1"/>
  <c r="B40" i="104"/>
  <c r="X39" i="104"/>
  <c r="Z39" i="104" s="1"/>
  <c r="L39" i="104"/>
  <c r="N39" i="104" s="1"/>
  <c r="B39" i="104"/>
  <c r="T38" i="104"/>
  <c r="X38" i="104" s="1"/>
  <c r="Z38" i="104" s="1"/>
  <c r="P38" i="104"/>
  <c r="H38" i="104"/>
  <c r="D38" i="104"/>
  <c r="L38" i="104" s="1"/>
  <c r="B38" i="104"/>
  <c r="X37" i="104"/>
  <c r="Z37" i="104" s="1"/>
  <c r="N37" i="104"/>
  <c r="L37" i="104"/>
  <c r="B37" i="104"/>
  <c r="T36" i="104"/>
  <c r="P36" i="104"/>
  <c r="X36" i="104" s="1"/>
  <c r="Z36" i="104" s="1"/>
  <c r="N36" i="104"/>
  <c r="H36" i="104"/>
  <c r="D36" i="104"/>
  <c r="L36" i="104" s="1"/>
  <c r="B36" i="104"/>
  <c r="X35" i="104"/>
  <c r="Z35" i="104" s="1"/>
  <c r="L35" i="104"/>
  <c r="N35" i="104" s="1"/>
  <c r="B35" i="104"/>
  <c r="Z34" i="104"/>
  <c r="X34" i="104"/>
  <c r="T34" i="104"/>
  <c r="P34" i="104"/>
  <c r="L34" i="104"/>
  <c r="N34" i="104" s="1"/>
  <c r="H34" i="104"/>
  <c r="D34" i="104"/>
  <c r="B34" i="104"/>
  <c r="X33" i="104"/>
  <c r="Z33" i="104" s="1"/>
  <c r="L33" i="104"/>
  <c r="N33" i="104" s="1"/>
  <c r="B33" i="104"/>
  <c r="T32" i="104"/>
  <c r="P32" i="104"/>
  <c r="X32" i="104" s="1"/>
  <c r="H32" i="104"/>
  <c r="D32" i="104"/>
  <c r="L32" i="104" s="1"/>
  <c r="N32" i="104" s="1"/>
  <c r="B32" i="104"/>
  <c r="X31" i="104"/>
  <c r="Z31" i="104" s="1"/>
  <c r="L31" i="104"/>
  <c r="N31" i="104" s="1"/>
  <c r="B31" i="104"/>
  <c r="Z30" i="104"/>
  <c r="X30" i="104"/>
  <c r="N30" i="104"/>
  <c r="L30" i="104"/>
  <c r="B30" i="104"/>
  <c r="X29" i="104"/>
  <c r="Z29" i="104" s="1"/>
  <c r="N29" i="104"/>
  <c r="L29" i="104"/>
  <c r="B29" i="104"/>
  <c r="T28" i="104"/>
  <c r="P28" i="104"/>
  <c r="X28" i="104" s="1"/>
  <c r="Z28" i="104" s="1"/>
  <c r="H28" i="104"/>
  <c r="D28" i="104"/>
  <c r="L28" i="104" s="1"/>
  <c r="N28" i="104" s="1"/>
  <c r="B28" i="104"/>
  <c r="X27" i="104"/>
  <c r="Z27" i="104" s="1"/>
  <c r="L27" i="104"/>
  <c r="N27" i="104" s="1"/>
  <c r="B27" i="104"/>
  <c r="Z26" i="104"/>
  <c r="X26" i="104"/>
  <c r="N26" i="104"/>
  <c r="L26" i="104"/>
  <c r="B26" i="104"/>
  <c r="Z25" i="104"/>
  <c r="X25" i="104"/>
  <c r="L25" i="104"/>
  <c r="N25" i="104" s="1"/>
  <c r="B25" i="104"/>
  <c r="X24" i="104"/>
  <c r="Z24" i="104" s="1"/>
  <c r="V24" i="104"/>
  <c r="T24" i="104"/>
  <c r="P24" i="104"/>
  <c r="N24" i="104"/>
  <c r="L24" i="104"/>
  <c r="H24" i="104"/>
  <c r="D24" i="104"/>
  <c r="B24" i="104"/>
  <c r="Z23" i="104"/>
  <c r="X23" i="104"/>
  <c r="T23" i="104"/>
  <c r="P23" i="104"/>
  <c r="H23" i="104"/>
  <c r="D23" i="104"/>
  <c r="L23" i="104" s="1"/>
  <c r="X19" i="104"/>
  <c r="Z19" i="104" s="1"/>
  <c r="L19" i="104"/>
  <c r="N19" i="104" s="1"/>
  <c r="B19" i="104"/>
  <c r="Z18" i="104"/>
  <c r="X18" i="104"/>
  <c r="N18" i="104"/>
  <c r="L18" i="104"/>
  <c r="B18" i="104"/>
  <c r="T17" i="104"/>
  <c r="P17" i="104"/>
  <c r="X17" i="104" s="1"/>
  <c r="L17" i="104"/>
  <c r="N17" i="104" s="1"/>
  <c r="H17" i="104"/>
  <c r="D17" i="104"/>
  <c r="T15" i="104"/>
  <c r="P15" i="104"/>
  <c r="X15" i="104" s="1"/>
  <c r="Z15" i="104" s="1"/>
  <c r="H15" i="104"/>
  <c r="D15" i="104"/>
  <c r="B15" i="104"/>
  <c r="T14" i="104"/>
  <c r="Z14" i="104" s="1"/>
  <c r="P14" i="104"/>
  <c r="X14" i="104" s="1"/>
  <c r="H14" i="104"/>
  <c r="N14" i="104" s="1"/>
  <c r="D14" i="104"/>
  <c r="B14" i="104"/>
  <c r="X13" i="104"/>
  <c r="Z13" i="104" s="1"/>
  <c r="T13" i="104"/>
  <c r="P13" i="104"/>
  <c r="L13" i="104"/>
  <c r="H13" i="104"/>
  <c r="N13" i="104" s="1"/>
  <c r="D13" i="104"/>
  <c r="D12" i="104" s="1"/>
  <c r="B13" i="104"/>
  <c r="T12" i="104"/>
  <c r="D6" i="104"/>
  <c r="D4" i="104"/>
  <c r="Z87" i="103"/>
  <c r="X87" i="103"/>
  <c r="L87" i="103"/>
  <c r="N87" i="103" s="1"/>
  <c r="T83" i="103"/>
  <c r="Z83" i="103" s="1"/>
  <c r="P83" i="103"/>
  <c r="X83" i="103" s="1"/>
  <c r="N83" i="103"/>
  <c r="H83" i="103"/>
  <c r="D83" i="103"/>
  <c r="L83" i="103" s="1"/>
  <c r="X81" i="103"/>
  <c r="Z81" i="103" s="1"/>
  <c r="N81" i="103"/>
  <c r="L81" i="103"/>
  <c r="B81" i="103"/>
  <c r="X80" i="103"/>
  <c r="Z80" i="103" s="1"/>
  <c r="T80" i="103"/>
  <c r="P80" i="103"/>
  <c r="H80" i="103"/>
  <c r="N80" i="103" s="1"/>
  <c r="D80" i="103"/>
  <c r="B80" i="103"/>
  <c r="Z79" i="103"/>
  <c r="X79" i="103"/>
  <c r="N79" i="103"/>
  <c r="L79" i="103"/>
  <c r="B79" i="103"/>
  <c r="T78" i="103"/>
  <c r="P78" i="103"/>
  <c r="H78" i="103"/>
  <c r="N78" i="103" s="1"/>
  <c r="D78" i="103"/>
  <c r="L78" i="103" s="1"/>
  <c r="B78" i="103"/>
  <c r="X77" i="103"/>
  <c r="Z77" i="103" s="1"/>
  <c r="N77" i="103"/>
  <c r="L77" i="103"/>
  <c r="B77" i="103"/>
  <c r="X76" i="103"/>
  <c r="T76" i="103"/>
  <c r="Z76" i="103" s="1"/>
  <c r="R76" i="103"/>
  <c r="P76" i="103"/>
  <c r="H76" i="103"/>
  <c r="N76" i="103" s="1"/>
  <c r="D76" i="103"/>
  <c r="L76" i="103" s="1"/>
  <c r="B76" i="103"/>
  <c r="Z75" i="103"/>
  <c r="X75" i="103"/>
  <c r="N75" i="103"/>
  <c r="L75" i="103"/>
  <c r="B75" i="103"/>
  <c r="X74" i="103"/>
  <c r="Z74" i="103" s="1"/>
  <c r="N74" i="103"/>
  <c r="L74" i="103"/>
  <c r="B74" i="103"/>
  <c r="X73" i="103"/>
  <c r="Z73" i="103" s="1"/>
  <c r="N73" i="103"/>
  <c r="L73" i="103"/>
  <c r="B73" i="103"/>
  <c r="X72" i="103"/>
  <c r="Z72" i="103" s="1"/>
  <c r="L72" i="103"/>
  <c r="N72" i="103" s="1"/>
  <c r="B72" i="103"/>
  <c r="Z71" i="103"/>
  <c r="X71" i="103"/>
  <c r="N71" i="103"/>
  <c r="L71" i="103"/>
  <c r="B71" i="103"/>
  <c r="X70" i="103"/>
  <c r="Z70" i="103" s="1"/>
  <c r="L70" i="103"/>
  <c r="N70" i="103" s="1"/>
  <c r="B70" i="103"/>
  <c r="X69" i="103"/>
  <c r="Z69" i="103" s="1"/>
  <c r="N69" i="103"/>
  <c r="L69" i="103"/>
  <c r="B69" i="103"/>
  <c r="Z68" i="103"/>
  <c r="X68" i="103"/>
  <c r="N68" i="103"/>
  <c r="L68" i="103"/>
  <c r="B68" i="103"/>
  <c r="T67" i="103"/>
  <c r="P67" i="103"/>
  <c r="H67" i="103"/>
  <c r="N67" i="103" s="1"/>
  <c r="D67" i="103"/>
  <c r="L67" i="103" s="1"/>
  <c r="B67" i="103"/>
  <c r="X66" i="103"/>
  <c r="Z66" i="103" s="1"/>
  <c r="N66" i="103"/>
  <c r="L66" i="103"/>
  <c r="B66" i="103"/>
  <c r="Z65" i="103"/>
  <c r="X65" i="103"/>
  <c r="L65" i="103"/>
  <c r="N65" i="103" s="1"/>
  <c r="B65" i="103"/>
  <c r="X64" i="103"/>
  <c r="Z64" i="103" s="1"/>
  <c r="L64" i="103"/>
  <c r="N64" i="103" s="1"/>
  <c r="B64" i="103"/>
  <c r="Z63" i="103"/>
  <c r="T63" i="103"/>
  <c r="P63" i="103"/>
  <c r="X63" i="103" s="1"/>
  <c r="H63" i="103"/>
  <c r="D63" i="103"/>
  <c r="L63" i="103" s="1"/>
  <c r="N63" i="103" s="1"/>
  <c r="B63" i="103"/>
  <c r="Z62" i="103"/>
  <c r="X62" i="103"/>
  <c r="N62" i="103"/>
  <c r="L62" i="103"/>
  <c r="B62" i="103"/>
  <c r="X61" i="103"/>
  <c r="Z61" i="103" s="1"/>
  <c r="V61" i="103"/>
  <c r="L61" i="103"/>
  <c r="N61" i="103" s="1"/>
  <c r="B61" i="103"/>
  <c r="X60" i="103"/>
  <c r="Z60" i="103" s="1"/>
  <c r="N60" i="103"/>
  <c r="L60" i="103"/>
  <c r="B60" i="103"/>
  <c r="Z59" i="103"/>
  <c r="X59" i="103"/>
  <c r="T59" i="103"/>
  <c r="P59" i="103"/>
  <c r="L59" i="103"/>
  <c r="N59" i="103" s="1"/>
  <c r="H59" i="103"/>
  <c r="D59" i="103"/>
  <c r="B59" i="103"/>
  <c r="X58" i="103"/>
  <c r="Z58" i="103" s="1"/>
  <c r="L58" i="103"/>
  <c r="N58" i="103" s="1"/>
  <c r="F58" i="103"/>
  <c r="B58" i="103"/>
  <c r="T57" i="103"/>
  <c r="Z57" i="103" s="1"/>
  <c r="P57" i="103"/>
  <c r="X57" i="103" s="1"/>
  <c r="H57" i="103"/>
  <c r="D57" i="103"/>
  <c r="L57" i="103" s="1"/>
  <c r="N57" i="103" s="1"/>
  <c r="B57" i="103"/>
  <c r="X56" i="103"/>
  <c r="Z56" i="103" s="1"/>
  <c r="L56" i="103"/>
  <c r="N56" i="103" s="1"/>
  <c r="B56" i="103"/>
  <c r="Z55" i="103"/>
  <c r="T55" i="103"/>
  <c r="P55" i="103"/>
  <c r="X55" i="103" s="1"/>
  <c r="H55" i="103"/>
  <c r="D55" i="103"/>
  <c r="L55" i="103" s="1"/>
  <c r="N55" i="103" s="1"/>
  <c r="B55" i="103"/>
  <c r="Z54" i="103"/>
  <c r="X54" i="103"/>
  <c r="L54" i="103"/>
  <c r="N54" i="103" s="1"/>
  <c r="B54" i="103"/>
  <c r="X53" i="103"/>
  <c r="Z53" i="103" s="1"/>
  <c r="T53" i="103"/>
  <c r="P53" i="103"/>
  <c r="N53" i="103"/>
  <c r="L53" i="103"/>
  <c r="H53" i="103"/>
  <c r="F53" i="103"/>
  <c r="D53" i="103"/>
  <c r="B53" i="103"/>
  <c r="Z52" i="103"/>
  <c r="X52" i="103"/>
  <c r="L52" i="103"/>
  <c r="N52" i="103" s="1"/>
  <c r="B52" i="103"/>
  <c r="T51" i="103"/>
  <c r="P51" i="103"/>
  <c r="H51" i="103"/>
  <c r="N51" i="103" s="1"/>
  <c r="D51" i="103"/>
  <c r="L51" i="103" s="1"/>
  <c r="B51" i="103"/>
  <c r="X50" i="103"/>
  <c r="Z50" i="103" s="1"/>
  <c r="N50" i="103"/>
  <c r="L50" i="103"/>
  <c r="B50" i="103"/>
  <c r="T49" i="103"/>
  <c r="P49" i="103"/>
  <c r="X49" i="103" s="1"/>
  <c r="Z49" i="103" s="1"/>
  <c r="N49" i="103"/>
  <c r="H49" i="103"/>
  <c r="D49" i="103"/>
  <c r="L49" i="103" s="1"/>
  <c r="B49" i="103"/>
  <c r="Z48" i="103"/>
  <c r="X48" i="103"/>
  <c r="N48" i="103"/>
  <c r="L48" i="103"/>
  <c r="B48" i="103"/>
  <c r="Z47" i="103"/>
  <c r="X47" i="103"/>
  <c r="T47" i="103"/>
  <c r="P47" i="103"/>
  <c r="N47" i="103"/>
  <c r="L47" i="103"/>
  <c r="H47" i="103"/>
  <c r="D47" i="103"/>
  <c r="B47" i="103"/>
  <c r="X46" i="103"/>
  <c r="Z46" i="103" s="1"/>
  <c r="L46" i="103"/>
  <c r="N46" i="103" s="1"/>
  <c r="B46" i="103"/>
  <c r="T45" i="103"/>
  <c r="P45" i="103"/>
  <c r="H45" i="103"/>
  <c r="D45" i="103"/>
  <c r="B45" i="103"/>
  <c r="X44" i="103"/>
  <c r="Z44" i="103" s="1"/>
  <c r="N44" i="103"/>
  <c r="L44" i="103"/>
  <c r="B44" i="103"/>
  <c r="Z43" i="103"/>
  <c r="T43" i="103"/>
  <c r="P43" i="103"/>
  <c r="X43" i="103" s="1"/>
  <c r="N43" i="103"/>
  <c r="H43" i="103"/>
  <c r="D43" i="103"/>
  <c r="L43" i="103" s="1"/>
  <c r="B43" i="103"/>
  <c r="Z42" i="103"/>
  <c r="X42" i="103"/>
  <c r="N42" i="103"/>
  <c r="L42" i="103"/>
  <c r="B42" i="103"/>
  <c r="X41" i="103"/>
  <c r="Z41" i="103" s="1"/>
  <c r="T41" i="103"/>
  <c r="P41" i="103"/>
  <c r="N41" i="103"/>
  <c r="L41" i="103"/>
  <c r="H41" i="103"/>
  <c r="D41" i="103"/>
  <c r="B41" i="103"/>
  <c r="X40" i="103"/>
  <c r="Z40" i="103" s="1"/>
  <c r="L40" i="103"/>
  <c r="N40" i="103" s="1"/>
  <c r="F40" i="103"/>
  <c r="B40" i="103"/>
  <c r="Z39" i="103"/>
  <c r="X39" i="103"/>
  <c r="N39" i="103"/>
  <c r="L39" i="103"/>
  <c r="B39" i="103"/>
  <c r="Z38" i="103"/>
  <c r="X38" i="103"/>
  <c r="L38" i="103"/>
  <c r="N38" i="103" s="1"/>
  <c r="B38" i="103"/>
  <c r="X37" i="103"/>
  <c r="Z37" i="103" s="1"/>
  <c r="L37" i="103"/>
  <c r="N37" i="103" s="1"/>
  <c r="F37" i="103"/>
  <c r="B37" i="103"/>
  <c r="X36" i="103"/>
  <c r="Z36" i="103" s="1"/>
  <c r="L36" i="103"/>
  <c r="N36" i="103" s="1"/>
  <c r="B36" i="103"/>
  <c r="X35" i="103"/>
  <c r="Z35" i="103" s="1"/>
  <c r="N35" i="103"/>
  <c r="L35" i="103"/>
  <c r="B35" i="103"/>
  <c r="Z34" i="103"/>
  <c r="X34" i="103"/>
  <c r="T34" i="103"/>
  <c r="P34" i="103"/>
  <c r="N34" i="103"/>
  <c r="L34" i="103"/>
  <c r="H34" i="103"/>
  <c r="D34" i="103"/>
  <c r="B34" i="103"/>
  <c r="Z33" i="103"/>
  <c r="X33" i="103"/>
  <c r="N33" i="103"/>
  <c r="L33" i="103"/>
  <c r="B33" i="103"/>
  <c r="Z32" i="103"/>
  <c r="X32" i="103"/>
  <c r="V32" i="103"/>
  <c r="L32" i="103"/>
  <c r="N32" i="103" s="1"/>
  <c r="B32" i="103"/>
  <c r="Z31" i="103"/>
  <c r="X31" i="103"/>
  <c r="N31" i="103"/>
  <c r="L31" i="103"/>
  <c r="B31" i="103"/>
  <c r="Z30" i="103"/>
  <c r="X30" i="103"/>
  <c r="N30" i="103"/>
  <c r="L30" i="103"/>
  <c r="F30" i="103"/>
  <c r="B30" i="103"/>
  <c r="Z29" i="103"/>
  <c r="X29" i="103"/>
  <c r="L29" i="103"/>
  <c r="N29" i="103" s="1"/>
  <c r="B29" i="103"/>
  <c r="X28" i="103"/>
  <c r="Z28" i="103" s="1"/>
  <c r="R28" i="103"/>
  <c r="N28" i="103"/>
  <c r="L28" i="103"/>
  <c r="B28" i="103"/>
  <c r="X27" i="103"/>
  <c r="Z27" i="103" s="1"/>
  <c r="N27" i="103"/>
  <c r="L27" i="103"/>
  <c r="F27" i="103"/>
  <c r="B27" i="103"/>
  <c r="Z26" i="103"/>
  <c r="X26" i="103"/>
  <c r="N26" i="103"/>
  <c r="L26" i="103"/>
  <c r="F26" i="103"/>
  <c r="B26" i="103"/>
  <c r="Z25" i="103"/>
  <c r="X25" i="103"/>
  <c r="L25" i="103"/>
  <c r="N25" i="103" s="1"/>
  <c r="F25" i="103"/>
  <c r="B25" i="103"/>
  <c r="T24" i="103"/>
  <c r="P24" i="103"/>
  <c r="H24" i="103"/>
  <c r="F24" i="103"/>
  <c r="D24" i="103"/>
  <c r="L24" i="103" s="1"/>
  <c r="N24" i="103" s="1"/>
  <c r="B24" i="103"/>
  <c r="Z23" i="103"/>
  <c r="T23" i="103"/>
  <c r="P23" i="103"/>
  <c r="X23" i="103" s="1"/>
  <c r="H23" i="103"/>
  <c r="N23" i="103" s="1"/>
  <c r="D23" i="103"/>
  <c r="L23" i="103" s="1"/>
  <c r="D21" i="103"/>
  <c r="D85" i="103" s="1"/>
  <c r="Z19" i="103"/>
  <c r="X19" i="103"/>
  <c r="N19" i="103"/>
  <c r="L19" i="103"/>
  <c r="B19" i="103"/>
  <c r="Z18" i="103"/>
  <c r="X18" i="103"/>
  <c r="L18" i="103"/>
  <c r="N18" i="103" s="1"/>
  <c r="B18" i="103"/>
  <c r="T17" i="103"/>
  <c r="Z17" i="103" s="1"/>
  <c r="P17" i="103"/>
  <c r="X17" i="103" s="1"/>
  <c r="N17" i="103"/>
  <c r="H17" i="103"/>
  <c r="D17" i="103"/>
  <c r="L17" i="103" s="1"/>
  <c r="T15" i="103"/>
  <c r="Z15" i="103" s="1"/>
  <c r="P15" i="103"/>
  <c r="X15" i="103" s="1"/>
  <c r="H15" i="103"/>
  <c r="D15" i="103"/>
  <c r="B15" i="103"/>
  <c r="T14" i="103"/>
  <c r="X14" i="103" s="1"/>
  <c r="Z14" i="103" s="1"/>
  <c r="P14" i="103"/>
  <c r="H14" i="103"/>
  <c r="D14" i="103"/>
  <c r="L14" i="103" s="1"/>
  <c r="B14" i="103"/>
  <c r="Z13" i="103"/>
  <c r="T13" i="103"/>
  <c r="T12" i="103" s="1"/>
  <c r="V57" i="103" s="1"/>
  <c r="P13" i="103"/>
  <c r="X13" i="103" s="1"/>
  <c r="L13" i="103"/>
  <c r="N13" i="103" s="1"/>
  <c r="H13" i="103"/>
  <c r="D13" i="103"/>
  <c r="B13" i="103"/>
  <c r="P12" i="103"/>
  <c r="R74" i="103" s="1"/>
  <c r="D12" i="103"/>
  <c r="D6" i="103"/>
  <c r="D4" i="103"/>
  <c r="V53" i="102"/>
  <c r="F53" i="102"/>
  <c r="V50" i="102"/>
  <c r="F50" i="102"/>
  <c r="Z48" i="102"/>
  <c r="X48" i="102"/>
  <c r="V48" i="102"/>
  <c r="N48" i="102"/>
  <c r="L48" i="102"/>
  <c r="F48" i="102"/>
  <c r="V46" i="102"/>
  <c r="Z44" i="102"/>
  <c r="X44" i="102"/>
  <c r="V44" i="102"/>
  <c r="T44" i="102"/>
  <c r="P44" i="102"/>
  <c r="H44" i="102"/>
  <c r="N44" i="102" s="1"/>
  <c r="D44" i="102"/>
  <c r="Z42" i="102"/>
  <c r="X42" i="102"/>
  <c r="V42" i="102"/>
  <c r="N42" i="102"/>
  <c r="L42" i="102"/>
  <c r="B42" i="102"/>
  <c r="Z41" i="102"/>
  <c r="V41" i="102"/>
  <c r="T41" i="102"/>
  <c r="P41" i="102"/>
  <c r="X41" i="102" s="1"/>
  <c r="H41" i="102"/>
  <c r="N41" i="102" s="1"/>
  <c r="D41" i="102"/>
  <c r="L41" i="102" s="1"/>
  <c r="B41" i="102"/>
  <c r="X40" i="102"/>
  <c r="Z40" i="102" s="1"/>
  <c r="V40" i="102"/>
  <c r="N40" i="102"/>
  <c r="L40" i="102"/>
  <c r="B40" i="102"/>
  <c r="V39" i="102"/>
  <c r="T39" i="102"/>
  <c r="R39" i="102"/>
  <c r="P39" i="102"/>
  <c r="X39" i="102" s="1"/>
  <c r="Z39" i="102" s="1"/>
  <c r="L39" i="102"/>
  <c r="N39" i="102" s="1"/>
  <c r="H39" i="102"/>
  <c r="D39" i="102"/>
  <c r="B39" i="102"/>
  <c r="X38" i="102"/>
  <c r="Z38" i="102" s="1"/>
  <c r="N38" i="102"/>
  <c r="L38" i="102"/>
  <c r="B38" i="102"/>
  <c r="V37" i="102"/>
  <c r="T37" i="102"/>
  <c r="R37" i="102"/>
  <c r="P37" i="102"/>
  <c r="N37" i="102"/>
  <c r="L37" i="102"/>
  <c r="H37" i="102"/>
  <c r="D37" i="102"/>
  <c r="B37" i="102"/>
  <c r="Z36" i="102"/>
  <c r="X36" i="102"/>
  <c r="V36" i="102"/>
  <c r="R36" i="102"/>
  <c r="L36" i="102"/>
  <c r="N36" i="102" s="1"/>
  <c r="F36" i="102"/>
  <c r="B36" i="102"/>
  <c r="Z35" i="102"/>
  <c r="X35" i="102"/>
  <c r="N35" i="102"/>
  <c r="L35" i="102"/>
  <c r="J35" i="102"/>
  <c r="B35" i="102"/>
  <c r="Z34" i="102"/>
  <c r="X34" i="102"/>
  <c r="V34" i="102"/>
  <c r="T34" i="102"/>
  <c r="P34" i="102"/>
  <c r="H34" i="102"/>
  <c r="D34" i="102"/>
  <c r="B34" i="102"/>
  <c r="X33" i="102"/>
  <c r="Z33" i="102" s="1"/>
  <c r="N33" i="102"/>
  <c r="L33" i="102"/>
  <c r="F33" i="102"/>
  <c r="B33" i="102"/>
  <c r="X32" i="102"/>
  <c r="V32" i="102"/>
  <c r="T32" i="102"/>
  <c r="Z32" i="102" s="1"/>
  <c r="P32" i="102"/>
  <c r="H32" i="102"/>
  <c r="N32" i="102" s="1"/>
  <c r="F32" i="102"/>
  <c r="D32" i="102"/>
  <c r="L32" i="102" s="1"/>
  <c r="B32" i="102"/>
  <c r="Z31" i="102"/>
  <c r="X31" i="102"/>
  <c r="V31" i="102"/>
  <c r="N31" i="102"/>
  <c r="L31" i="102"/>
  <c r="F31" i="102"/>
  <c r="B31" i="102"/>
  <c r="T30" i="102"/>
  <c r="P30" i="102"/>
  <c r="N30" i="102"/>
  <c r="H30" i="102"/>
  <c r="F30" i="102"/>
  <c r="D30" i="102"/>
  <c r="L30" i="102" s="1"/>
  <c r="B30" i="102"/>
  <c r="Z29" i="102"/>
  <c r="X29" i="102"/>
  <c r="V29" i="102"/>
  <c r="R29" i="102"/>
  <c r="L29" i="102"/>
  <c r="N29" i="102" s="1"/>
  <c r="F29" i="102"/>
  <c r="B29" i="102"/>
  <c r="V28" i="102"/>
  <c r="T28" i="102"/>
  <c r="P28" i="102"/>
  <c r="N28" i="102"/>
  <c r="L28" i="102"/>
  <c r="H28" i="102"/>
  <c r="F28" i="102"/>
  <c r="D28" i="102"/>
  <c r="B28" i="102"/>
  <c r="X27" i="102"/>
  <c r="Z27" i="102" s="1"/>
  <c r="V27" i="102"/>
  <c r="L27" i="102"/>
  <c r="N27" i="102" s="1"/>
  <c r="F27" i="102"/>
  <c r="B27" i="102"/>
  <c r="X26" i="102"/>
  <c r="Z26" i="102" s="1"/>
  <c r="V26" i="102"/>
  <c r="L26" i="102"/>
  <c r="N26" i="102" s="1"/>
  <c r="F26" i="102"/>
  <c r="B26" i="102"/>
  <c r="X25" i="102"/>
  <c r="Z25" i="102" s="1"/>
  <c r="L25" i="102"/>
  <c r="N25" i="102" s="1"/>
  <c r="F25" i="102"/>
  <c r="B25" i="102"/>
  <c r="X24" i="102"/>
  <c r="Z24" i="102" s="1"/>
  <c r="V24" i="102"/>
  <c r="N24" i="102"/>
  <c r="L24" i="102"/>
  <c r="F24" i="102"/>
  <c r="B24" i="102"/>
  <c r="X23" i="102"/>
  <c r="Z23" i="102" s="1"/>
  <c r="V23" i="102"/>
  <c r="N23" i="102"/>
  <c r="L23" i="102"/>
  <c r="F23" i="102"/>
  <c r="B23" i="102"/>
  <c r="X22" i="102"/>
  <c r="Z22" i="102" s="1"/>
  <c r="V22" i="102"/>
  <c r="N22" i="102"/>
  <c r="L22" i="102"/>
  <c r="F22" i="102"/>
  <c r="B22" i="102"/>
  <c r="X21" i="102"/>
  <c r="Z21" i="102" s="1"/>
  <c r="L21" i="102"/>
  <c r="N21" i="102" s="1"/>
  <c r="F21" i="102"/>
  <c r="B21" i="102"/>
  <c r="X20" i="102"/>
  <c r="Z20" i="102" s="1"/>
  <c r="V20" i="102"/>
  <c r="N20" i="102"/>
  <c r="L20" i="102"/>
  <c r="F20" i="102"/>
  <c r="B20" i="102"/>
  <c r="V19" i="102"/>
  <c r="T19" i="102"/>
  <c r="R19" i="102"/>
  <c r="P19" i="102"/>
  <c r="X19" i="102" s="1"/>
  <c r="Z19" i="102" s="1"/>
  <c r="H19" i="102"/>
  <c r="F19" i="102"/>
  <c r="D19" i="102"/>
  <c r="L19" i="102" s="1"/>
  <c r="N19" i="102" s="1"/>
  <c r="B19" i="102"/>
  <c r="T18" i="102"/>
  <c r="X18" i="102" s="1"/>
  <c r="Z18" i="102" s="1"/>
  <c r="R18" i="102"/>
  <c r="P18" i="102"/>
  <c r="H18" i="102"/>
  <c r="F18" i="102"/>
  <c r="D18" i="102"/>
  <c r="L18" i="102" s="1"/>
  <c r="N18" i="102" s="1"/>
  <c r="R16" i="102"/>
  <c r="F16" i="102"/>
  <c r="T14" i="102"/>
  <c r="T16" i="102" s="1"/>
  <c r="R14" i="102"/>
  <c r="P14" i="102"/>
  <c r="N14" i="102"/>
  <c r="H14" i="102"/>
  <c r="F14" i="102"/>
  <c r="D14" i="102"/>
  <c r="L14" i="102" s="1"/>
  <c r="Z12" i="102"/>
  <c r="X12" i="102"/>
  <c r="T12" i="102"/>
  <c r="V33" i="102" s="1"/>
  <c r="P12" i="102"/>
  <c r="R38" i="102" s="1"/>
  <c r="N12" i="102"/>
  <c r="H12" i="102"/>
  <c r="J38" i="102" s="1"/>
  <c r="D12" i="102"/>
  <c r="F38" i="102" s="1"/>
  <c r="D6" i="102"/>
  <c r="D4" i="102"/>
  <c r="Z79" i="101"/>
  <c r="X79" i="101"/>
  <c r="L79" i="101"/>
  <c r="N79" i="101" s="1"/>
  <c r="T75" i="101"/>
  <c r="P75" i="101"/>
  <c r="X75" i="101" s="1"/>
  <c r="Z75" i="101" s="1"/>
  <c r="H75" i="101"/>
  <c r="D75" i="101"/>
  <c r="B75" i="101"/>
  <c r="T74" i="101"/>
  <c r="P74" i="101"/>
  <c r="X74" i="101" s="1"/>
  <c r="D74" i="101"/>
  <c r="X72" i="101"/>
  <c r="Z72" i="101" s="1"/>
  <c r="N72" i="101"/>
  <c r="L72" i="101"/>
  <c r="B72" i="101"/>
  <c r="T71" i="101"/>
  <c r="P71" i="101"/>
  <c r="X71" i="101" s="1"/>
  <c r="Z71" i="101" s="1"/>
  <c r="H71" i="101"/>
  <c r="N71" i="101" s="1"/>
  <c r="D71" i="101"/>
  <c r="B71" i="101"/>
  <c r="X70" i="101"/>
  <c r="Z70" i="101" s="1"/>
  <c r="L70" i="101"/>
  <c r="N70" i="101" s="1"/>
  <c r="B70" i="101"/>
  <c r="X69" i="101"/>
  <c r="T69" i="101"/>
  <c r="Z69" i="101" s="1"/>
  <c r="P69" i="101"/>
  <c r="H69" i="101"/>
  <c r="N69" i="101" s="1"/>
  <c r="D69" i="101"/>
  <c r="L69" i="101" s="1"/>
  <c r="B69" i="101"/>
  <c r="X68" i="101"/>
  <c r="Z68" i="101" s="1"/>
  <c r="N68" i="101"/>
  <c r="L68" i="101"/>
  <c r="B68" i="101"/>
  <c r="Z67" i="101"/>
  <c r="X67" i="101"/>
  <c r="N67" i="101"/>
  <c r="L67" i="101"/>
  <c r="B67" i="101"/>
  <c r="X66" i="101"/>
  <c r="Z66" i="101" s="1"/>
  <c r="N66" i="101"/>
  <c r="L66" i="101"/>
  <c r="B66" i="101"/>
  <c r="Z65" i="101"/>
  <c r="X65" i="101"/>
  <c r="N65" i="101"/>
  <c r="L65" i="101"/>
  <c r="B65" i="101"/>
  <c r="X64" i="101"/>
  <c r="Z64" i="101" s="1"/>
  <c r="L64" i="101"/>
  <c r="N64" i="101" s="1"/>
  <c r="B64" i="101"/>
  <c r="X63" i="101"/>
  <c r="Z63" i="101" s="1"/>
  <c r="N63" i="101"/>
  <c r="L63" i="101"/>
  <c r="B63" i="101"/>
  <c r="X62" i="101"/>
  <c r="Z62" i="101" s="1"/>
  <c r="N62" i="101"/>
  <c r="L62" i="101"/>
  <c r="B62" i="101"/>
  <c r="Z61" i="101"/>
  <c r="T61" i="101"/>
  <c r="P61" i="101"/>
  <c r="X61" i="101" s="1"/>
  <c r="L61" i="101"/>
  <c r="H61" i="101"/>
  <c r="N61" i="101" s="1"/>
  <c r="D61" i="101"/>
  <c r="B61" i="101"/>
  <c r="X60" i="101"/>
  <c r="Z60" i="101" s="1"/>
  <c r="L60" i="101"/>
  <c r="N60" i="101" s="1"/>
  <c r="B60" i="101"/>
  <c r="Z59" i="101"/>
  <c r="X59" i="101"/>
  <c r="L59" i="101"/>
  <c r="N59" i="101" s="1"/>
  <c r="B59" i="101"/>
  <c r="T58" i="101"/>
  <c r="P58" i="101"/>
  <c r="H58" i="101"/>
  <c r="D58" i="101"/>
  <c r="L58" i="101" s="1"/>
  <c r="B58" i="101"/>
  <c r="X57" i="101"/>
  <c r="Z57" i="101" s="1"/>
  <c r="N57" i="101"/>
  <c r="L57" i="101"/>
  <c r="B57" i="101"/>
  <c r="X56" i="101"/>
  <c r="Z56" i="101" s="1"/>
  <c r="T56" i="101"/>
  <c r="P56" i="101"/>
  <c r="L56" i="101"/>
  <c r="N56" i="101" s="1"/>
  <c r="H56" i="101"/>
  <c r="D56" i="101"/>
  <c r="B56" i="101"/>
  <c r="X55" i="101"/>
  <c r="Z55" i="101" s="1"/>
  <c r="N55" i="101"/>
  <c r="L55" i="101"/>
  <c r="B55" i="101"/>
  <c r="X54" i="101"/>
  <c r="Z54" i="101" s="1"/>
  <c r="N54" i="101"/>
  <c r="L54" i="101"/>
  <c r="B54" i="101"/>
  <c r="Z53" i="101"/>
  <c r="X53" i="101"/>
  <c r="N53" i="101"/>
  <c r="L53" i="101"/>
  <c r="B53" i="101"/>
  <c r="T52" i="101"/>
  <c r="P52" i="101"/>
  <c r="L52" i="101"/>
  <c r="H52" i="101"/>
  <c r="D52" i="101"/>
  <c r="B52" i="101"/>
  <c r="Z51" i="101"/>
  <c r="X51" i="101"/>
  <c r="L51" i="101"/>
  <c r="N51" i="101" s="1"/>
  <c r="B51" i="101"/>
  <c r="T50" i="101"/>
  <c r="P50" i="101"/>
  <c r="X50" i="101" s="1"/>
  <c r="H50" i="101"/>
  <c r="D50" i="101"/>
  <c r="L50" i="101" s="1"/>
  <c r="B50" i="101"/>
  <c r="X49" i="101"/>
  <c r="Z49" i="101" s="1"/>
  <c r="N49" i="101"/>
  <c r="L49" i="101"/>
  <c r="B49" i="101"/>
  <c r="X48" i="101"/>
  <c r="Z48" i="101" s="1"/>
  <c r="T48" i="101"/>
  <c r="P48" i="101"/>
  <c r="N48" i="101"/>
  <c r="L48" i="101"/>
  <c r="H48" i="101"/>
  <c r="D48" i="101"/>
  <c r="B48" i="101"/>
  <c r="X47" i="101"/>
  <c r="Z47" i="101" s="1"/>
  <c r="N47" i="101"/>
  <c r="L47" i="101"/>
  <c r="B47" i="101"/>
  <c r="X46" i="101"/>
  <c r="T46" i="101"/>
  <c r="P46" i="101"/>
  <c r="L46" i="101"/>
  <c r="H46" i="101"/>
  <c r="N46" i="101" s="1"/>
  <c r="D46" i="101"/>
  <c r="B46" i="101"/>
  <c r="Z45" i="101"/>
  <c r="X45" i="101"/>
  <c r="L45" i="101"/>
  <c r="N45" i="101" s="1"/>
  <c r="B45" i="101"/>
  <c r="T44" i="101"/>
  <c r="P44" i="101"/>
  <c r="X44" i="101" s="1"/>
  <c r="H44" i="101"/>
  <c r="D44" i="101"/>
  <c r="B44" i="101"/>
  <c r="X43" i="101"/>
  <c r="Z43" i="101" s="1"/>
  <c r="N43" i="101"/>
  <c r="L43" i="101"/>
  <c r="B43" i="101"/>
  <c r="X42" i="101"/>
  <c r="Z42" i="101" s="1"/>
  <c r="T42" i="101"/>
  <c r="P42" i="101"/>
  <c r="L42" i="101"/>
  <c r="N42" i="101" s="1"/>
  <c r="H42" i="101"/>
  <c r="D42" i="101"/>
  <c r="B42" i="101"/>
  <c r="Z41" i="101"/>
  <c r="X41" i="101"/>
  <c r="N41" i="101"/>
  <c r="L41" i="101"/>
  <c r="B41" i="101"/>
  <c r="Z40" i="101"/>
  <c r="X40" i="101"/>
  <c r="T40" i="101"/>
  <c r="P40" i="101"/>
  <c r="H40" i="101"/>
  <c r="D40" i="101"/>
  <c r="B40" i="101"/>
  <c r="Z39" i="101"/>
  <c r="X39" i="101"/>
  <c r="L39" i="101"/>
  <c r="N39" i="101" s="1"/>
  <c r="B39" i="101"/>
  <c r="T38" i="101"/>
  <c r="P38" i="101"/>
  <c r="H38" i="101"/>
  <c r="D38" i="101"/>
  <c r="L38" i="101" s="1"/>
  <c r="B38" i="101"/>
  <c r="X37" i="101"/>
  <c r="Z37" i="101" s="1"/>
  <c r="N37" i="101"/>
  <c r="L37" i="101"/>
  <c r="B37" i="101"/>
  <c r="X36" i="101"/>
  <c r="Z36" i="101" s="1"/>
  <c r="L36" i="101"/>
  <c r="N36" i="101" s="1"/>
  <c r="B36" i="101"/>
  <c r="X35" i="101"/>
  <c r="Z35" i="101" s="1"/>
  <c r="N35" i="101"/>
  <c r="L35" i="101"/>
  <c r="B35" i="101"/>
  <c r="X34" i="101"/>
  <c r="Z34" i="101" s="1"/>
  <c r="N34" i="101"/>
  <c r="L34" i="101"/>
  <c r="B34" i="101"/>
  <c r="X33" i="101"/>
  <c r="Z33" i="101" s="1"/>
  <c r="N33" i="101"/>
  <c r="L33" i="101"/>
  <c r="B33" i="101"/>
  <c r="T32" i="101"/>
  <c r="P32" i="101"/>
  <c r="X32" i="101" s="1"/>
  <c r="Z32" i="101" s="1"/>
  <c r="N32" i="101"/>
  <c r="L32" i="101"/>
  <c r="H32" i="101"/>
  <c r="D32" i="101"/>
  <c r="B32" i="101"/>
  <c r="Z31" i="101"/>
  <c r="X31" i="101"/>
  <c r="L31" i="101"/>
  <c r="N31" i="101" s="1"/>
  <c r="B31" i="101"/>
  <c r="X30" i="101"/>
  <c r="Z30" i="101" s="1"/>
  <c r="N30" i="101"/>
  <c r="L30" i="101"/>
  <c r="B30" i="101"/>
  <c r="Z29" i="101"/>
  <c r="X29" i="101"/>
  <c r="N29" i="101"/>
  <c r="L29" i="101"/>
  <c r="B29" i="101"/>
  <c r="Z28" i="101"/>
  <c r="X28" i="101"/>
  <c r="L28" i="101"/>
  <c r="N28" i="101" s="1"/>
  <c r="B28" i="101"/>
  <c r="Z27" i="101"/>
  <c r="X27" i="101"/>
  <c r="N27" i="101"/>
  <c r="L27" i="101"/>
  <c r="B27" i="101"/>
  <c r="Z26" i="101"/>
  <c r="X26" i="101"/>
  <c r="N26" i="101"/>
  <c r="L26" i="101"/>
  <c r="B26" i="101"/>
  <c r="Z25" i="101"/>
  <c r="X25" i="101"/>
  <c r="L25" i="101"/>
  <c r="N25" i="101" s="1"/>
  <c r="B25" i="101"/>
  <c r="X24" i="101"/>
  <c r="Z24" i="101" s="1"/>
  <c r="L24" i="101"/>
  <c r="N24" i="101" s="1"/>
  <c r="B24" i="101"/>
  <c r="T23" i="101"/>
  <c r="X23" i="101" s="1"/>
  <c r="P23" i="101"/>
  <c r="N23" i="101"/>
  <c r="H23" i="101"/>
  <c r="D23" i="101"/>
  <c r="L23" i="101" s="1"/>
  <c r="B23" i="101"/>
  <c r="T22" i="101"/>
  <c r="P22" i="101"/>
  <c r="H22" i="101"/>
  <c r="D22" i="101"/>
  <c r="L22" i="101" s="1"/>
  <c r="Z18" i="101"/>
  <c r="X18" i="101"/>
  <c r="L18" i="101"/>
  <c r="N18" i="101" s="1"/>
  <c r="B18" i="101"/>
  <c r="Z17" i="101"/>
  <c r="X17" i="101"/>
  <c r="L17" i="101"/>
  <c r="N17" i="101" s="1"/>
  <c r="B17" i="101"/>
  <c r="T16" i="101"/>
  <c r="R16" i="101"/>
  <c r="P16" i="101"/>
  <c r="X16" i="101" s="1"/>
  <c r="H16" i="101"/>
  <c r="D16" i="101"/>
  <c r="T14" i="101"/>
  <c r="P14" i="101"/>
  <c r="P12" i="101" s="1"/>
  <c r="N14" i="101"/>
  <c r="H14" i="101"/>
  <c r="L14" i="101" s="1"/>
  <c r="D14" i="101"/>
  <c r="B14" i="101"/>
  <c r="X13" i="101"/>
  <c r="Z13" i="101" s="1"/>
  <c r="T13" i="101"/>
  <c r="P13" i="101"/>
  <c r="H13" i="101"/>
  <c r="D13" i="101"/>
  <c r="B13" i="101"/>
  <c r="D6" i="101"/>
  <c r="D4" i="101"/>
  <c r="X62" i="100"/>
  <c r="Z62" i="100" s="1"/>
  <c r="R62" i="100"/>
  <c r="L62" i="100"/>
  <c r="N62" i="100" s="1"/>
  <c r="T58" i="100"/>
  <c r="T57" i="100" s="1"/>
  <c r="P58" i="100"/>
  <c r="X58" i="100" s="1"/>
  <c r="Z58" i="100" s="1"/>
  <c r="L58" i="100"/>
  <c r="H58" i="100"/>
  <c r="D58" i="100"/>
  <c r="B58" i="100"/>
  <c r="J57" i="100"/>
  <c r="D57" i="100"/>
  <c r="Z55" i="100"/>
  <c r="X55" i="100"/>
  <c r="N55" i="100"/>
  <c r="L55" i="100"/>
  <c r="J55" i="100"/>
  <c r="B55" i="100"/>
  <c r="T54" i="100"/>
  <c r="P54" i="100"/>
  <c r="X54" i="100" s="1"/>
  <c r="Z54" i="100" s="1"/>
  <c r="H54" i="100"/>
  <c r="D54" i="100"/>
  <c r="B54" i="100"/>
  <c r="X53" i="100"/>
  <c r="Z53" i="100" s="1"/>
  <c r="N53" i="100"/>
  <c r="L53" i="100"/>
  <c r="B53" i="100"/>
  <c r="X52" i="100"/>
  <c r="Z52" i="100" s="1"/>
  <c r="N52" i="100"/>
  <c r="L52" i="100"/>
  <c r="B52" i="100"/>
  <c r="Z51" i="100"/>
  <c r="X51" i="100"/>
  <c r="N51" i="100"/>
  <c r="L51" i="100"/>
  <c r="B51" i="100"/>
  <c r="T50" i="100"/>
  <c r="P50" i="100"/>
  <c r="X50" i="100" s="1"/>
  <c r="N50" i="100"/>
  <c r="L50" i="100"/>
  <c r="H50" i="100"/>
  <c r="D50" i="100"/>
  <c r="B50" i="100"/>
  <c r="X49" i="100"/>
  <c r="Z49" i="100" s="1"/>
  <c r="N49" i="100"/>
  <c r="L49" i="100"/>
  <c r="J49" i="100"/>
  <c r="B49" i="100"/>
  <c r="T48" i="100"/>
  <c r="P48" i="100"/>
  <c r="X48" i="100" s="1"/>
  <c r="Z48" i="100" s="1"/>
  <c r="L48" i="100"/>
  <c r="H48" i="100"/>
  <c r="N48" i="100" s="1"/>
  <c r="D48" i="100"/>
  <c r="B48" i="100"/>
  <c r="Z47" i="100"/>
  <c r="X47" i="100"/>
  <c r="N47" i="100"/>
  <c r="L47" i="100"/>
  <c r="J47" i="100"/>
  <c r="B47" i="100"/>
  <c r="T46" i="100"/>
  <c r="X46" i="100" s="1"/>
  <c r="Z46" i="100" s="1"/>
  <c r="P46" i="100"/>
  <c r="H46" i="100"/>
  <c r="N46" i="100" s="1"/>
  <c r="D46" i="100"/>
  <c r="B46" i="100"/>
  <c r="X45" i="100"/>
  <c r="Z45" i="100" s="1"/>
  <c r="N45" i="100"/>
  <c r="L45" i="100"/>
  <c r="B45" i="100"/>
  <c r="X44" i="100"/>
  <c r="Z44" i="100" s="1"/>
  <c r="N44" i="100"/>
  <c r="L44" i="100"/>
  <c r="B44" i="100"/>
  <c r="T43" i="100"/>
  <c r="R43" i="100"/>
  <c r="P43" i="100"/>
  <c r="X43" i="100" s="1"/>
  <c r="Z43" i="100" s="1"/>
  <c r="N43" i="100"/>
  <c r="L43" i="100"/>
  <c r="H43" i="100"/>
  <c r="D43" i="100"/>
  <c r="B43" i="100"/>
  <c r="X42" i="100"/>
  <c r="Z42" i="100" s="1"/>
  <c r="R42" i="100"/>
  <c r="N42" i="100"/>
  <c r="L42" i="100"/>
  <c r="B42" i="100"/>
  <c r="T41" i="100"/>
  <c r="Z41" i="100" s="1"/>
  <c r="R41" i="100"/>
  <c r="P41" i="100"/>
  <c r="X41" i="100" s="1"/>
  <c r="N41" i="100"/>
  <c r="L41" i="100"/>
  <c r="H41" i="100"/>
  <c r="D41" i="100"/>
  <c r="B41" i="100"/>
  <c r="X40" i="100"/>
  <c r="Z40" i="100" s="1"/>
  <c r="R40" i="100"/>
  <c r="N40" i="100"/>
  <c r="L40" i="100"/>
  <c r="B40" i="100"/>
  <c r="T39" i="100"/>
  <c r="P39" i="100"/>
  <c r="X39" i="100" s="1"/>
  <c r="Z39" i="100" s="1"/>
  <c r="N39" i="100"/>
  <c r="J39" i="100"/>
  <c r="H39" i="100"/>
  <c r="L39" i="100" s="1"/>
  <c r="D39" i="100"/>
  <c r="B39" i="100"/>
  <c r="Z38" i="100"/>
  <c r="X38" i="100"/>
  <c r="N38" i="100"/>
  <c r="L38" i="100"/>
  <c r="B38" i="100"/>
  <c r="Z37" i="100"/>
  <c r="X37" i="100"/>
  <c r="T37" i="100"/>
  <c r="P37" i="100"/>
  <c r="N37" i="100"/>
  <c r="J37" i="100"/>
  <c r="H37" i="100"/>
  <c r="D37" i="100"/>
  <c r="L37" i="100" s="1"/>
  <c r="B37" i="100"/>
  <c r="X36" i="100"/>
  <c r="Z36" i="100" s="1"/>
  <c r="N36" i="100"/>
  <c r="L36" i="100"/>
  <c r="B36" i="100"/>
  <c r="Z35" i="100"/>
  <c r="X35" i="100"/>
  <c r="T35" i="100"/>
  <c r="P35" i="100"/>
  <c r="H35" i="100"/>
  <c r="N35" i="100" s="1"/>
  <c r="D35" i="100"/>
  <c r="L35" i="100" s="1"/>
  <c r="B35" i="100"/>
  <c r="Z34" i="100"/>
  <c r="X34" i="100"/>
  <c r="N34" i="100"/>
  <c r="L34" i="100"/>
  <c r="B34" i="100"/>
  <c r="T33" i="100"/>
  <c r="X33" i="100" s="1"/>
  <c r="Z33" i="100" s="1"/>
  <c r="P33" i="100"/>
  <c r="N33" i="100"/>
  <c r="H33" i="100"/>
  <c r="D33" i="100"/>
  <c r="L33" i="100" s="1"/>
  <c r="B33" i="100"/>
  <c r="X32" i="100"/>
  <c r="Z32" i="100" s="1"/>
  <c r="L32" i="100"/>
  <c r="N32" i="100" s="1"/>
  <c r="B32" i="100"/>
  <c r="T31" i="100"/>
  <c r="R31" i="100"/>
  <c r="P31" i="100"/>
  <c r="X31" i="100" s="1"/>
  <c r="Z31" i="100" s="1"/>
  <c r="L31" i="100"/>
  <c r="N31" i="100" s="1"/>
  <c r="H31" i="100"/>
  <c r="D31" i="100"/>
  <c r="B31" i="100"/>
  <c r="X30" i="100"/>
  <c r="Z30" i="100" s="1"/>
  <c r="R30" i="100"/>
  <c r="N30" i="100"/>
  <c r="L30" i="100"/>
  <c r="B30" i="100"/>
  <c r="X29" i="100"/>
  <c r="Z29" i="100" s="1"/>
  <c r="N29" i="100"/>
  <c r="L29" i="100"/>
  <c r="J29" i="100"/>
  <c r="B29" i="100"/>
  <c r="X28" i="100"/>
  <c r="Z28" i="100" s="1"/>
  <c r="N28" i="100"/>
  <c r="L28" i="100"/>
  <c r="B28" i="100"/>
  <c r="Z27" i="100"/>
  <c r="X27" i="100"/>
  <c r="N27" i="100"/>
  <c r="L27" i="100"/>
  <c r="B27" i="100"/>
  <c r="X26" i="100"/>
  <c r="Z26" i="100" s="1"/>
  <c r="R26" i="100"/>
  <c r="N26" i="100"/>
  <c r="L26" i="100"/>
  <c r="B26" i="100"/>
  <c r="T25" i="100"/>
  <c r="R25" i="100"/>
  <c r="P25" i="100"/>
  <c r="X25" i="100" s="1"/>
  <c r="N25" i="100"/>
  <c r="L25" i="100"/>
  <c r="H25" i="100"/>
  <c r="D25" i="100"/>
  <c r="B25" i="100"/>
  <c r="X24" i="100"/>
  <c r="Z24" i="100" s="1"/>
  <c r="R24" i="100"/>
  <c r="N24" i="100"/>
  <c r="L24" i="100"/>
  <c r="B24" i="100"/>
  <c r="Z23" i="100"/>
  <c r="X23" i="100"/>
  <c r="N23" i="100"/>
  <c r="L23" i="100"/>
  <c r="J23" i="100"/>
  <c r="B23" i="100"/>
  <c r="T22" i="100"/>
  <c r="X22" i="100" s="1"/>
  <c r="Z22" i="100" s="1"/>
  <c r="P22" i="100"/>
  <c r="H22" i="100"/>
  <c r="N22" i="100" s="1"/>
  <c r="D22" i="100"/>
  <c r="B22" i="100"/>
  <c r="T21" i="100"/>
  <c r="P21" i="100"/>
  <c r="X21" i="100" s="1"/>
  <c r="J21" i="100"/>
  <c r="H21" i="100"/>
  <c r="D21" i="100"/>
  <c r="L21" i="100" s="1"/>
  <c r="N21" i="100" s="1"/>
  <c r="J19" i="100"/>
  <c r="X17" i="100"/>
  <c r="Z17" i="100" s="1"/>
  <c r="L17" i="100"/>
  <c r="N17" i="100" s="1"/>
  <c r="J17" i="100"/>
  <c r="B17" i="100"/>
  <c r="X16" i="100"/>
  <c r="Z16" i="100" s="1"/>
  <c r="N16" i="100"/>
  <c r="L16" i="100"/>
  <c r="B16" i="100"/>
  <c r="T15" i="100"/>
  <c r="R15" i="100"/>
  <c r="P15" i="100"/>
  <c r="X15" i="100" s="1"/>
  <c r="Z15" i="100" s="1"/>
  <c r="H15" i="100"/>
  <c r="D15" i="100"/>
  <c r="L15" i="100" s="1"/>
  <c r="T13" i="100"/>
  <c r="P13" i="100"/>
  <c r="N13" i="100"/>
  <c r="L13" i="100"/>
  <c r="H13" i="100"/>
  <c r="D13" i="100"/>
  <c r="B13" i="100"/>
  <c r="P12" i="100"/>
  <c r="R52" i="100" s="1"/>
  <c r="H12" i="100"/>
  <c r="J62" i="100" s="1"/>
  <c r="D12" i="100"/>
  <c r="F38" i="100" s="1"/>
  <c r="D6" i="100"/>
  <c r="D4" i="100"/>
  <c r="F50" i="99"/>
  <c r="F47" i="99"/>
  <c r="Z45" i="99"/>
  <c r="X45" i="99"/>
  <c r="N45" i="99"/>
  <c r="L45" i="99"/>
  <c r="F45" i="99"/>
  <c r="V43" i="99"/>
  <c r="X41" i="99"/>
  <c r="Z41" i="99" s="1"/>
  <c r="V41" i="99"/>
  <c r="T41" i="99"/>
  <c r="P41" i="99"/>
  <c r="P40" i="99" s="1"/>
  <c r="X40" i="99" s="1"/>
  <c r="H41" i="99"/>
  <c r="D41" i="99"/>
  <c r="B41" i="99"/>
  <c r="Z40" i="99"/>
  <c r="T40" i="99"/>
  <c r="J40" i="99"/>
  <c r="F40" i="99"/>
  <c r="Z38" i="99"/>
  <c r="X38" i="99"/>
  <c r="N38" i="99"/>
  <c r="L38" i="99"/>
  <c r="B38" i="99"/>
  <c r="X37" i="99"/>
  <c r="V37" i="99"/>
  <c r="T37" i="99"/>
  <c r="R37" i="99"/>
  <c r="P37" i="99"/>
  <c r="H37" i="99"/>
  <c r="D37" i="99"/>
  <c r="L37" i="99" s="1"/>
  <c r="N37" i="99" s="1"/>
  <c r="B37" i="99"/>
  <c r="Z36" i="99"/>
  <c r="X36" i="99"/>
  <c r="V36" i="99"/>
  <c r="R36" i="99"/>
  <c r="L36" i="99"/>
  <c r="N36" i="99" s="1"/>
  <c r="B36" i="99"/>
  <c r="T35" i="99"/>
  <c r="R35" i="99"/>
  <c r="P35" i="99"/>
  <c r="X35" i="99" s="1"/>
  <c r="N35" i="99"/>
  <c r="H35" i="99"/>
  <c r="L35" i="99" s="1"/>
  <c r="D35" i="99"/>
  <c r="B35" i="99"/>
  <c r="Z34" i="99"/>
  <c r="X34" i="99"/>
  <c r="V34" i="99"/>
  <c r="R34" i="99"/>
  <c r="N34" i="99"/>
  <c r="L34" i="99"/>
  <c r="B34" i="99"/>
  <c r="T33" i="99"/>
  <c r="P33" i="99"/>
  <c r="X33" i="99" s="1"/>
  <c r="N33" i="99"/>
  <c r="L33" i="99"/>
  <c r="J33" i="99"/>
  <c r="H33" i="99"/>
  <c r="D33" i="99"/>
  <c r="B33" i="99"/>
  <c r="X32" i="99"/>
  <c r="Z32" i="99" s="1"/>
  <c r="V32" i="99"/>
  <c r="N32" i="99"/>
  <c r="L32" i="99"/>
  <c r="J32" i="99"/>
  <c r="F32" i="99"/>
  <c r="B32" i="99"/>
  <c r="T31" i="99"/>
  <c r="P31" i="99"/>
  <c r="X31" i="99" s="1"/>
  <c r="Z31" i="99" s="1"/>
  <c r="J31" i="99"/>
  <c r="H31" i="99"/>
  <c r="N31" i="99" s="1"/>
  <c r="F31" i="99"/>
  <c r="D31" i="99"/>
  <c r="B31" i="99"/>
  <c r="Z30" i="99"/>
  <c r="X30" i="99"/>
  <c r="N30" i="99"/>
  <c r="L30" i="99"/>
  <c r="J30" i="99"/>
  <c r="F30" i="99"/>
  <c r="B30" i="99"/>
  <c r="T29" i="99"/>
  <c r="X29" i="99" s="1"/>
  <c r="Z29" i="99" s="1"/>
  <c r="P29" i="99"/>
  <c r="H29" i="99"/>
  <c r="F29" i="99"/>
  <c r="D29" i="99"/>
  <c r="L29" i="99" s="1"/>
  <c r="B29" i="99"/>
  <c r="X28" i="99"/>
  <c r="Z28" i="99" s="1"/>
  <c r="L28" i="99"/>
  <c r="N28" i="99" s="1"/>
  <c r="J28" i="99"/>
  <c r="B28" i="99"/>
  <c r="X27" i="99"/>
  <c r="Z27" i="99" s="1"/>
  <c r="V27" i="99"/>
  <c r="L27" i="99"/>
  <c r="N27" i="99" s="1"/>
  <c r="B27" i="99"/>
  <c r="Z26" i="99"/>
  <c r="X26" i="99"/>
  <c r="V26" i="99"/>
  <c r="R26" i="99"/>
  <c r="L26" i="99"/>
  <c r="N26" i="99" s="1"/>
  <c r="B26" i="99"/>
  <c r="Z25" i="99"/>
  <c r="X25" i="99"/>
  <c r="R25" i="99"/>
  <c r="L25" i="99"/>
  <c r="N25" i="99" s="1"/>
  <c r="J25" i="99"/>
  <c r="F25" i="99"/>
  <c r="B25" i="99"/>
  <c r="X24" i="99"/>
  <c r="Z24" i="99" s="1"/>
  <c r="V24" i="99"/>
  <c r="L24" i="99"/>
  <c r="N24" i="99" s="1"/>
  <c r="J24" i="99"/>
  <c r="B24" i="99"/>
  <c r="X23" i="99"/>
  <c r="Z23" i="99" s="1"/>
  <c r="V23" i="99"/>
  <c r="L23" i="99"/>
  <c r="N23" i="99" s="1"/>
  <c r="B23" i="99"/>
  <c r="Z22" i="99"/>
  <c r="X22" i="99"/>
  <c r="V22" i="99"/>
  <c r="R22" i="99"/>
  <c r="N22" i="99"/>
  <c r="L22" i="99"/>
  <c r="B22" i="99"/>
  <c r="Z21" i="99"/>
  <c r="X21" i="99"/>
  <c r="R21" i="99"/>
  <c r="L21" i="99"/>
  <c r="N21" i="99" s="1"/>
  <c r="J21" i="99"/>
  <c r="F21" i="99"/>
  <c r="B21" i="99"/>
  <c r="V20" i="99"/>
  <c r="T20" i="99"/>
  <c r="P20" i="99"/>
  <c r="X20" i="99" s="1"/>
  <c r="J20" i="99"/>
  <c r="H20" i="99"/>
  <c r="F20" i="99"/>
  <c r="D20" i="99"/>
  <c r="L20" i="99" s="1"/>
  <c r="N20" i="99" s="1"/>
  <c r="B20" i="99"/>
  <c r="T19" i="99"/>
  <c r="R19" i="99"/>
  <c r="P19" i="99"/>
  <c r="X19" i="99" s="1"/>
  <c r="Z19" i="99" s="1"/>
  <c r="L19" i="99"/>
  <c r="J19" i="99"/>
  <c r="H19" i="99"/>
  <c r="F19" i="99"/>
  <c r="D19" i="99"/>
  <c r="R17" i="99"/>
  <c r="P17" i="99"/>
  <c r="J17" i="99"/>
  <c r="H17" i="99"/>
  <c r="F17" i="99"/>
  <c r="X15" i="99"/>
  <c r="Z15" i="99" s="1"/>
  <c r="N15" i="99"/>
  <c r="L15" i="99"/>
  <c r="F15" i="99"/>
  <c r="B15" i="99"/>
  <c r="X14" i="99"/>
  <c r="Z14" i="99" s="1"/>
  <c r="T14" i="99"/>
  <c r="R14" i="99"/>
  <c r="P14" i="99"/>
  <c r="N14" i="99"/>
  <c r="J14" i="99"/>
  <c r="H14" i="99"/>
  <c r="F14" i="99"/>
  <c r="D14" i="99"/>
  <c r="L14" i="99" s="1"/>
  <c r="Z12" i="99"/>
  <c r="X12" i="99"/>
  <c r="T12" i="99"/>
  <c r="V40" i="99" s="1"/>
  <c r="P12" i="99"/>
  <c r="R27" i="99" s="1"/>
  <c r="N12" i="99"/>
  <c r="H12" i="99"/>
  <c r="J34" i="99" s="1"/>
  <c r="D12" i="99"/>
  <c r="D17" i="99" s="1"/>
  <c r="D6" i="99"/>
  <c r="D4" i="99"/>
  <c r="Z49" i="98"/>
  <c r="X49" i="98"/>
  <c r="R49" i="98"/>
  <c r="N49" i="98"/>
  <c r="L49" i="98"/>
  <c r="Z45" i="98"/>
  <c r="T45" i="98"/>
  <c r="P45" i="98"/>
  <c r="X45" i="98" s="1"/>
  <c r="N45" i="98"/>
  <c r="L45" i="98"/>
  <c r="H45" i="98"/>
  <c r="D45" i="98"/>
  <c r="X43" i="98"/>
  <c r="Z43" i="98" s="1"/>
  <c r="L43" i="98"/>
  <c r="N43" i="98" s="1"/>
  <c r="B43" i="98"/>
  <c r="T42" i="98"/>
  <c r="P42" i="98"/>
  <c r="X42" i="98" s="1"/>
  <c r="Z42" i="98" s="1"/>
  <c r="L42" i="98"/>
  <c r="H42" i="98"/>
  <c r="D42" i="98"/>
  <c r="B42" i="98"/>
  <c r="Z41" i="98"/>
  <c r="X41" i="98"/>
  <c r="N41" i="98"/>
  <c r="L41" i="98"/>
  <c r="J41" i="98"/>
  <c r="B41" i="98"/>
  <c r="Z40" i="98"/>
  <c r="X40" i="98"/>
  <c r="N40" i="98"/>
  <c r="L40" i="98"/>
  <c r="B40" i="98"/>
  <c r="T39" i="98"/>
  <c r="P39" i="98"/>
  <c r="H39" i="98"/>
  <c r="D39" i="98"/>
  <c r="L39" i="98" s="1"/>
  <c r="N39" i="98" s="1"/>
  <c r="B39" i="98"/>
  <c r="Z38" i="98"/>
  <c r="X38" i="98"/>
  <c r="N38" i="98"/>
  <c r="L38" i="98"/>
  <c r="B38" i="98"/>
  <c r="T37" i="98"/>
  <c r="P37" i="98"/>
  <c r="N37" i="98"/>
  <c r="H37" i="98"/>
  <c r="D37" i="98"/>
  <c r="L37" i="98" s="1"/>
  <c r="B37" i="98"/>
  <c r="X36" i="98"/>
  <c r="Z36" i="98" s="1"/>
  <c r="N36" i="98"/>
  <c r="L36" i="98"/>
  <c r="B36" i="98"/>
  <c r="T35" i="98"/>
  <c r="P35" i="98"/>
  <c r="X35" i="98" s="1"/>
  <c r="L35" i="98"/>
  <c r="N35" i="98" s="1"/>
  <c r="H35" i="98"/>
  <c r="D35" i="98"/>
  <c r="B35" i="98"/>
  <c r="X34" i="98"/>
  <c r="Z34" i="98" s="1"/>
  <c r="L34" i="98"/>
  <c r="N34" i="98" s="1"/>
  <c r="B34" i="98"/>
  <c r="Z33" i="98"/>
  <c r="X33" i="98"/>
  <c r="N33" i="98"/>
  <c r="L33" i="98"/>
  <c r="J33" i="98"/>
  <c r="B33" i="98"/>
  <c r="Z32" i="98"/>
  <c r="X32" i="98"/>
  <c r="N32" i="98"/>
  <c r="L32" i="98"/>
  <c r="B32" i="98"/>
  <c r="Z31" i="98"/>
  <c r="X31" i="98"/>
  <c r="R31" i="98"/>
  <c r="L31" i="98"/>
  <c r="N31" i="98" s="1"/>
  <c r="J31" i="98"/>
  <c r="B31" i="98"/>
  <c r="T30" i="98"/>
  <c r="P30" i="98"/>
  <c r="X30" i="98" s="1"/>
  <c r="H30" i="98"/>
  <c r="D30" i="98"/>
  <c r="L30" i="98" s="1"/>
  <c r="N30" i="98" s="1"/>
  <c r="B30" i="98"/>
  <c r="Z29" i="98"/>
  <c r="X29" i="98"/>
  <c r="L29" i="98"/>
  <c r="N29" i="98" s="1"/>
  <c r="B29" i="98"/>
  <c r="X28" i="98"/>
  <c r="Z28" i="98" s="1"/>
  <c r="L28" i="98"/>
  <c r="N28" i="98" s="1"/>
  <c r="J28" i="98"/>
  <c r="B28" i="98"/>
  <c r="X27" i="98"/>
  <c r="Z27" i="98" s="1"/>
  <c r="L27" i="98"/>
  <c r="N27" i="98" s="1"/>
  <c r="B27" i="98"/>
  <c r="Z26" i="98"/>
  <c r="X26" i="98"/>
  <c r="N26" i="98"/>
  <c r="L26" i="98"/>
  <c r="B26" i="98"/>
  <c r="X25" i="98"/>
  <c r="Z25" i="98" s="1"/>
  <c r="L25" i="98"/>
  <c r="N25" i="98" s="1"/>
  <c r="B25" i="98"/>
  <c r="Z24" i="98"/>
  <c r="X24" i="98"/>
  <c r="L24" i="98"/>
  <c r="N24" i="98" s="1"/>
  <c r="B24" i="98"/>
  <c r="Z23" i="98"/>
  <c r="X23" i="98"/>
  <c r="R23" i="98"/>
  <c r="L23" i="98"/>
  <c r="N23" i="98" s="1"/>
  <c r="B23" i="98"/>
  <c r="T22" i="98"/>
  <c r="P22" i="98"/>
  <c r="X22" i="98" s="1"/>
  <c r="Z22" i="98" s="1"/>
  <c r="N22" i="98"/>
  <c r="L22" i="98"/>
  <c r="J22" i="98"/>
  <c r="H22" i="98"/>
  <c r="D22" i="98"/>
  <c r="B22" i="98"/>
  <c r="T21" i="98"/>
  <c r="P21" i="98"/>
  <c r="L21" i="98"/>
  <c r="N21" i="98" s="1"/>
  <c r="H21" i="98"/>
  <c r="D21" i="98"/>
  <c r="P19" i="98"/>
  <c r="X17" i="98"/>
  <c r="Z17" i="98" s="1"/>
  <c r="L17" i="98"/>
  <c r="N17" i="98" s="1"/>
  <c r="J17" i="98"/>
  <c r="B17" i="98"/>
  <c r="T16" i="98"/>
  <c r="P16" i="98"/>
  <c r="X16" i="98" s="1"/>
  <c r="Z16" i="98" s="1"/>
  <c r="L16" i="98"/>
  <c r="J16" i="98"/>
  <c r="H16" i="98"/>
  <c r="N16" i="98" s="1"/>
  <c r="D16" i="98"/>
  <c r="T14" i="98"/>
  <c r="P14" i="98"/>
  <c r="H14" i="98"/>
  <c r="D14" i="98"/>
  <c r="L14" i="98" s="1"/>
  <c r="N14" i="98" s="1"/>
  <c r="B14" i="98"/>
  <c r="X13" i="98"/>
  <c r="Z13" i="98" s="1"/>
  <c r="T13" i="98"/>
  <c r="P13" i="98"/>
  <c r="L13" i="98"/>
  <c r="N13" i="98" s="1"/>
  <c r="H13" i="98"/>
  <c r="D13" i="98"/>
  <c r="D12" i="98" s="1"/>
  <c r="F33" i="98" s="1"/>
  <c r="B13" i="98"/>
  <c r="T12" i="98"/>
  <c r="P12" i="98"/>
  <c r="R34" i="98" s="1"/>
  <c r="H12" i="98"/>
  <c r="J34" i="98" s="1"/>
  <c r="D6" i="98"/>
  <c r="D4" i="98"/>
  <c r="R90" i="97"/>
  <c r="Z85" i="97"/>
  <c r="X85" i="97"/>
  <c r="N85" i="97"/>
  <c r="L85" i="97"/>
  <c r="T81" i="97"/>
  <c r="Z81" i="97" s="1"/>
  <c r="P81" i="97"/>
  <c r="X81" i="97" s="1"/>
  <c r="L81" i="97"/>
  <c r="H81" i="97"/>
  <c r="N81" i="97" s="1"/>
  <c r="D81" i="97"/>
  <c r="B81" i="97"/>
  <c r="X80" i="97"/>
  <c r="T80" i="97"/>
  <c r="Z80" i="97" s="1"/>
  <c r="P80" i="97"/>
  <c r="L80" i="97"/>
  <c r="H80" i="97"/>
  <c r="N80" i="97" s="1"/>
  <c r="D80" i="97"/>
  <c r="X78" i="97"/>
  <c r="Z78" i="97" s="1"/>
  <c r="L78" i="97"/>
  <c r="N78" i="97" s="1"/>
  <c r="B78" i="97"/>
  <c r="T77" i="97"/>
  <c r="P77" i="97"/>
  <c r="X77" i="97" s="1"/>
  <c r="Z77" i="97" s="1"/>
  <c r="H77" i="97"/>
  <c r="N77" i="97" s="1"/>
  <c r="D77" i="97"/>
  <c r="L77" i="97" s="1"/>
  <c r="B77" i="97"/>
  <c r="X76" i="97"/>
  <c r="Z76" i="97" s="1"/>
  <c r="L76" i="97"/>
  <c r="N76" i="97" s="1"/>
  <c r="B76" i="97"/>
  <c r="Z75" i="97"/>
  <c r="X75" i="97"/>
  <c r="T75" i="97"/>
  <c r="P75" i="97"/>
  <c r="H75" i="97"/>
  <c r="D75" i="97"/>
  <c r="L75" i="97" s="1"/>
  <c r="N75" i="97" s="1"/>
  <c r="B75" i="97"/>
  <c r="X74" i="97"/>
  <c r="Z74" i="97" s="1"/>
  <c r="N74" i="97"/>
  <c r="L74" i="97"/>
  <c r="B74" i="97"/>
  <c r="X73" i="97"/>
  <c r="Z73" i="97" s="1"/>
  <c r="N73" i="97"/>
  <c r="L73" i="97"/>
  <c r="B73" i="97"/>
  <c r="X72" i="97"/>
  <c r="Z72" i="97" s="1"/>
  <c r="N72" i="97"/>
  <c r="L72" i="97"/>
  <c r="B72" i="97"/>
  <c r="Z71" i="97"/>
  <c r="X71" i="97"/>
  <c r="N71" i="97"/>
  <c r="L71" i="97"/>
  <c r="B71" i="97"/>
  <c r="X70" i="97"/>
  <c r="Z70" i="97" s="1"/>
  <c r="L70" i="97"/>
  <c r="N70" i="97" s="1"/>
  <c r="B70" i="97"/>
  <c r="X69" i="97"/>
  <c r="Z69" i="97" s="1"/>
  <c r="N69" i="97"/>
  <c r="L69" i="97"/>
  <c r="B69" i="97"/>
  <c r="T68" i="97"/>
  <c r="P68" i="97"/>
  <c r="X68" i="97" s="1"/>
  <c r="Z68" i="97" s="1"/>
  <c r="L68" i="97"/>
  <c r="N68" i="97" s="1"/>
  <c r="H68" i="97"/>
  <c r="D68" i="97"/>
  <c r="B68" i="97"/>
  <c r="Z67" i="97"/>
  <c r="X67" i="97"/>
  <c r="N67" i="97"/>
  <c r="L67" i="97"/>
  <c r="B67" i="97"/>
  <c r="X66" i="97"/>
  <c r="Z66" i="97" s="1"/>
  <c r="N66" i="97"/>
  <c r="L66" i="97"/>
  <c r="B66" i="97"/>
  <c r="T65" i="97"/>
  <c r="P65" i="97"/>
  <c r="X65" i="97" s="1"/>
  <c r="Z65" i="97" s="1"/>
  <c r="H65" i="97"/>
  <c r="N65" i="97" s="1"/>
  <c r="D65" i="97"/>
  <c r="L65" i="97" s="1"/>
  <c r="B65" i="97"/>
  <c r="X64" i="97"/>
  <c r="Z64" i="97" s="1"/>
  <c r="L64" i="97"/>
  <c r="N64" i="97" s="1"/>
  <c r="B64" i="97"/>
  <c r="Z63" i="97"/>
  <c r="X63" i="97"/>
  <c r="N63" i="97"/>
  <c r="L63" i="97"/>
  <c r="B63" i="97"/>
  <c r="Z62" i="97"/>
  <c r="X62" i="97"/>
  <c r="N62" i="97"/>
  <c r="L62" i="97"/>
  <c r="B62" i="97"/>
  <c r="T61" i="97"/>
  <c r="P61" i="97"/>
  <c r="X61" i="97" s="1"/>
  <c r="Z61" i="97" s="1"/>
  <c r="N61" i="97"/>
  <c r="L61" i="97"/>
  <c r="H61" i="97"/>
  <c r="D61" i="97"/>
  <c r="B61" i="97"/>
  <c r="X60" i="97"/>
  <c r="Z60" i="97" s="1"/>
  <c r="L60" i="97"/>
  <c r="N60" i="97" s="1"/>
  <c r="B60" i="97"/>
  <c r="X59" i="97"/>
  <c r="Z59" i="97" s="1"/>
  <c r="N59" i="97"/>
  <c r="L59" i="97"/>
  <c r="B59" i="97"/>
  <c r="X58" i="97"/>
  <c r="Z58" i="97" s="1"/>
  <c r="N58" i="97"/>
  <c r="L58" i="97"/>
  <c r="B58" i="97"/>
  <c r="X57" i="97"/>
  <c r="T57" i="97"/>
  <c r="Z57" i="97" s="1"/>
  <c r="P57" i="97"/>
  <c r="L57" i="97"/>
  <c r="H57" i="97"/>
  <c r="N57" i="97" s="1"/>
  <c r="D57" i="97"/>
  <c r="B57" i="97"/>
  <c r="X56" i="97"/>
  <c r="Z56" i="97" s="1"/>
  <c r="L56" i="97"/>
  <c r="N56" i="97" s="1"/>
  <c r="B56" i="97"/>
  <c r="Z55" i="97"/>
  <c r="X55" i="97"/>
  <c r="N55" i="97"/>
  <c r="L55" i="97"/>
  <c r="B55" i="97"/>
  <c r="X54" i="97"/>
  <c r="T54" i="97"/>
  <c r="Z54" i="97" s="1"/>
  <c r="P54" i="97"/>
  <c r="L54" i="97"/>
  <c r="N54" i="97" s="1"/>
  <c r="H54" i="97"/>
  <c r="D54" i="97"/>
  <c r="B54" i="97"/>
  <c r="Z53" i="97"/>
  <c r="X53" i="97"/>
  <c r="L53" i="97"/>
  <c r="N53" i="97" s="1"/>
  <c r="B53" i="97"/>
  <c r="T52" i="97"/>
  <c r="P52" i="97"/>
  <c r="X52" i="97" s="1"/>
  <c r="H52" i="97"/>
  <c r="D52" i="97"/>
  <c r="L52" i="97" s="1"/>
  <c r="B52" i="97"/>
  <c r="X51" i="97"/>
  <c r="Z51" i="97" s="1"/>
  <c r="N51" i="97"/>
  <c r="L51" i="97"/>
  <c r="B51" i="97"/>
  <c r="X50" i="97"/>
  <c r="Z50" i="97" s="1"/>
  <c r="T50" i="97"/>
  <c r="P50" i="97"/>
  <c r="H50" i="97"/>
  <c r="N50" i="97" s="1"/>
  <c r="D50" i="97"/>
  <c r="L50" i="97" s="1"/>
  <c r="B50" i="97"/>
  <c r="Z49" i="97"/>
  <c r="X49" i="97"/>
  <c r="N49" i="97"/>
  <c r="L49" i="97"/>
  <c r="B49" i="97"/>
  <c r="X48" i="97"/>
  <c r="T48" i="97"/>
  <c r="P48" i="97"/>
  <c r="L48" i="97"/>
  <c r="N48" i="97" s="1"/>
  <c r="H48" i="97"/>
  <c r="D48" i="97"/>
  <c r="B48" i="97"/>
  <c r="Z47" i="97"/>
  <c r="X47" i="97"/>
  <c r="L47" i="97"/>
  <c r="N47" i="97" s="1"/>
  <c r="B47" i="97"/>
  <c r="X46" i="97"/>
  <c r="Z46" i="97" s="1"/>
  <c r="R46" i="97"/>
  <c r="L46" i="97"/>
  <c r="N46" i="97" s="1"/>
  <c r="B46" i="97"/>
  <c r="T45" i="97"/>
  <c r="P45" i="97"/>
  <c r="X45" i="97" s="1"/>
  <c r="Z45" i="97" s="1"/>
  <c r="N45" i="97"/>
  <c r="L45" i="97"/>
  <c r="H45" i="97"/>
  <c r="D45" i="97"/>
  <c r="B45" i="97"/>
  <c r="X44" i="97"/>
  <c r="Z44" i="97" s="1"/>
  <c r="L44" i="97"/>
  <c r="N44" i="97" s="1"/>
  <c r="B44" i="97"/>
  <c r="X43" i="97"/>
  <c r="Z43" i="97" s="1"/>
  <c r="T43" i="97"/>
  <c r="P43" i="97"/>
  <c r="L43" i="97"/>
  <c r="H43" i="97"/>
  <c r="N43" i="97" s="1"/>
  <c r="D43" i="97"/>
  <c r="B43" i="97"/>
  <c r="X42" i="97"/>
  <c r="Z42" i="97" s="1"/>
  <c r="L42" i="97"/>
  <c r="N42" i="97" s="1"/>
  <c r="B42" i="97"/>
  <c r="T41" i="97"/>
  <c r="X41" i="97" s="1"/>
  <c r="Z41" i="97" s="1"/>
  <c r="P41" i="97"/>
  <c r="H41" i="97"/>
  <c r="D41" i="97"/>
  <c r="L41" i="97" s="1"/>
  <c r="B41" i="97"/>
  <c r="X40" i="97"/>
  <c r="Z40" i="97" s="1"/>
  <c r="N40" i="97"/>
  <c r="L40" i="97"/>
  <c r="B40" i="97"/>
  <c r="Z39" i="97"/>
  <c r="X39" i="97"/>
  <c r="T39" i="97"/>
  <c r="P39" i="97"/>
  <c r="N39" i="97"/>
  <c r="H39" i="97"/>
  <c r="D39" i="97"/>
  <c r="L39" i="97" s="1"/>
  <c r="B39" i="97"/>
  <c r="X38" i="97"/>
  <c r="Z38" i="97" s="1"/>
  <c r="N38" i="97"/>
  <c r="L38" i="97"/>
  <c r="B38" i="97"/>
  <c r="X37" i="97"/>
  <c r="Z37" i="97" s="1"/>
  <c r="N37" i="97"/>
  <c r="L37" i="97"/>
  <c r="B37" i="97"/>
  <c r="X36" i="97"/>
  <c r="Z36" i="97" s="1"/>
  <c r="L36" i="97"/>
  <c r="N36" i="97" s="1"/>
  <c r="B36" i="97"/>
  <c r="X35" i="97"/>
  <c r="Z35" i="97" s="1"/>
  <c r="L35" i="97"/>
  <c r="N35" i="97" s="1"/>
  <c r="B35" i="97"/>
  <c r="X34" i="97"/>
  <c r="Z34" i="97" s="1"/>
  <c r="L34" i="97"/>
  <c r="N34" i="97" s="1"/>
  <c r="B34" i="97"/>
  <c r="X33" i="97"/>
  <c r="Z33" i="97" s="1"/>
  <c r="N33" i="97"/>
  <c r="L33" i="97"/>
  <c r="B33" i="97"/>
  <c r="T32" i="97"/>
  <c r="P32" i="97"/>
  <c r="X32" i="97" s="1"/>
  <c r="L32" i="97"/>
  <c r="N32" i="97" s="1"/>
  <c r="H32" i="97"/>
  <c r="D32" i="97"/>
  <c r="B32" i="97"/>
  <c r="X31" i="97"/>
  <c r="Z31" i="97" s="1"/>
  <c r="N31" i="97"/>
  <c r="L31" i="97"/>
  <c r="B31" i="97"/>
  <c r="X30" i="97"/>
  <c r="Z30" i="97" s="1"/>
  <c r="N30" i="97"/>
  <c r="L30" i="97"/>
  <c r="B30" i="97"/>
  <c r="Z29" i="97"/>
  <c r="X29" i="97"/>
  <c r="N29" i="97"/>
  <c r="L29" i="97"/>
  <c r="B29" i="97"/>
  <c r="X28" i="97"/>
  <c r="Z28" i="97" s="1"/>
  <c r="L28" i="97"/>
  <c r="N28" i="97" s="1"/>
  <c r="B28" i="97"/>
  <c r="X27" i="97"/>
  <c r="Z27" i="97" s="1"/>
  <c r="N27" i="97"/>
  <c r="L27" i="97"/>
  <c r="B27" i="97"/>
  <c r="X26" i="97"/>
  <c r="Z26" i="97" s="1"/>
  <c r="N26" i="97"/>
  <c r="L26" i="97"/>
  <c r="F26" i="97"/>
  <c r="B26" i="97"/>
  <c r="Z25" i="97"/>
  <c r="X25" i="97"/>
  <c r="N25" i="97"/>
  <c r="L25" i="97"/>
  <c r="B25" i="97"/>
  <c r="X24" i="97"/>
  <c r="Z24" i="97" s="1"/>
  <c r="L24" i="97"/>
  <c r="N24" i="97" s="1"/>
  <c r="B24" i="97"/>
  <c r="T23" i="97"/>
  <c r="P23" i="97"/>
  <c r="X23" i="97" s="1"/>
  <c r="H23" i="97"/>
  <c r="D23" i="97"/>
  <c r="L23" i="97" s="1"/>
  <c r="N23" i="97" s="1"/>
  <c r="B23" i="97"/>
  <c r="T22" i="97"/>
  <c r="P22" i="97"/>
  <c r="H22" i="97"/>
  <c r="D22" i="97"/>
  <c r="L22" i="97" s="1"/>
  <c r="Z18" i="97"/>
  <c r="X18" i="97"/>
  <c r="L18" i="97"/>
  <c r="N18" i="97" s="1"/>
  <c r="B18" i="97"/>
  <c r="Z17" i="97"/>
  <c r="X17" i="97"/>
  <c r="L17" i="97"/>
  <c r="N17" i="97" s="1"/>
  <c r="B17" i="97"/>
  <c r="T16" i="97"/>
  <c r="P16" i="97"/>
  <c r="H16" i="97"/>
  <c r="D16" i="97"/>
  <c r="L16" i="97" s="1"/>
  <c r="T14" i="97"/>
  <c r="P14" i="97"/>
  <c r="X14" i="97" s="1"/>
  <c r="L14" i="97"/>
  <c r="N14" i="97" s="1"/>
  <c r="H14" i="97"/>
  <c r="D14" i="97"/>
  <c r="B14" i="97"/>
  <c r="Z13" i="97"/>
  <c r="T13" i="97"/>
  <c r="X13" i="97" s="1"/>
  <c r="P13" i="97"/>
  <c r="H13" i="97"/>
  <c r="D13" i="97"/>
  <c r="D12" i="97" s="1"/>
  <c r="F65" i="97" s="1"/>
  <c r="B13" i="97"/>
  <c r="P12" i="97"/>
  <c r="D6" i="97"/>
  <c r="D4" i="97"/>
  <c r="X91" i="95"/>
  <c r="Z91" i="95" s="1"/>
  <c r="L91" i="95"/>
  <c r="N91" i="95" s="1"/>
  <c r="T87" i="95"/>
  <c r="P87" i="95"/>
  <c r="H87" i="95"/>
  <c r="D87" i="95"/>
  <c r="B87" i="95"/>
  <c r="X84" i="95"/>
  <c r="Z84" i="95" s="1"/>
  <c r="N84" i="95"/>
  <c r="L84" i="95"/>
  <c r="B84" i="95"/>
  <c r="T83" i="95"/>
  <c r="P83" i="95"/>
  <c r="X83" i="95" s="1"/>
  <c r="Z83" i="95" s="1"/>
  <c r="L83" i="95"/>
  <c r="N83" i="95" s="1"/>
  <c r="H83" i="95"/>
  <c r="D83" i="95"/>
  <c r="B83" i="95"/>
  <c r="Z82" i="95"/>
  <c r="X82" i="95"/>
  <c r="N82" i="95"/>
  <c r="L82" i="95"/>
  <c r="B82" i="95"/>
  <c r="X81" i="95"/>
  <c r="Z81" i="95" s="1"/>
  <c r="T81" i="95"/>
  <c r="P81" i="95"/>
  <c r="N81" i="95"/>
  <c r="L81" i="95"/>
  <c r="H81" i="95"/>
  <c r="D81" i="95"/>
  <c r="B81" i="95"/>
  <c r="Z80" i="95"/>
  <c r="X80" i="95"/>
  <c r="L80" i="95"/>
  <c r="N80" i="95" s="1"/>
  <c r="B80" i="95"/>
  <c r="X79" i="95"/>
  <c r="T79" i="95"/>
  <c r="R79" i="95"/>
  <c r="P79" i="95"/>
  <c r="H79" i="95"/>
  <c r="D79" i="95"/>
  <c r="L79" i="95" s="1"/>
  <c r="B79" i="95"/>
  <c r="X78" i="95"/>
  <c r="Z78" i="95" s="1"/>
  <c r="N78" i="95"/>
  <c r="L78" i="95"/>
  <c r="B78" i="95"/>
  <c r="X77" i="95"/>
  <c r="Z77" i="95" s="1"/>
  <c r="N77" i="95"/>
  <c r="L77" i="95"/>
  <c r="B77" i="95"/>
  <c r="X76" i="95"/>
  <c r="Z76" i="95" s="1"/>
  <c r="N76" i="95"/>
  <c r="L76" i="95"/>
  <c r="B76" i="95"/>
  <c r="X75" i="95"/>
  <c r="Z75" i="95" s="1"/>
  <c r="N75" i="95"/>
  <c r="L75" i="95"/>
  <c r="B75" i="95"/>
  <c r="X74" i="95"/>
  <c r="Z74" i="95" s="1"/>
  <c r="N74" i="95"/>
  <c r="L74" i="95"/>
  <c r="B74" i="95"/>
  <c r="X73" i="95"/>
  <c r="Z73" i="95" s="1"/>
  <c r="N73" i="95"/>
  <c r="L73" i="95"/>
  <c r="B73" i="95"/>
  <c r="Z72" i="95"/>
  <c r="X72" i="95"/>
  <c r="N72" i="95"/>
  <c r="L72" i="95"/>
  <c r="B72" i="95"/>
  <c r="X71" i="95"/>
  <c r="Z71" i="95" s="1"/>
  <c r="N71" i="95"/>
  <c r="L71" i="95"/>
  <c r="B71" i="95"/>
  <c r="T70" i="95"/>
  <c r="P70" i="95"/>
  <c r="X70" i="95" s="1"/>
  <c r="Z70" i="95" s="1"/>
  <c r="H70" i="95"/>
  <c r="N70" i="95" s="1"/>
  <c r="D70" i="95"/>
  <c r="L70" i="95" s="1"/>
  <c r="B70" i="95"/>
  <c r="Z69" i="95"/>
  <c r="X69" i="95"/>
  <c r="N69" i="95"/>
  <c r="L69" i="95"/>
  <c r="B69" i="95"/>
  <c r="Z68" i="95"/>
  <c r="X68" i="95"/>
  <c r="N68" i="95"/>
  <c r="L68" i="95"/>
  <c r="B68" i="95"/>
  <c r="T67" i="95"/>
  <c r="P67" i="95"/>
  <c r="X67" i="95" s="1"/>
  <c r="N67" i="95"/>
  <c r="L67" i="95"/>
  <c r="H67" i="95"/>
  <c r="D67" i="95"/>
  <c r="B67" i="95"/>
  <c r="X66" i="95"/>
  <c r="Z66" i="95" s="1"/>
  <c r="L66" i="95"/>
  <c r="N66" i="95" s="1"/>
  <c r="B66" i="95"/>
  <c r="Z65" i="95"/>
  <c r="X65" i="95"/>
  <c r="L65" i="95"/>
  <c r="N65" i="95" s="1"/>
  <c r="B65" i="95"/>
  <c r="Z64" i="95"/>
  <c r="X64" i="95"/>
  <c r="L64" i="95"/>
  <c r="N64" i="95" s="1"/>
  <c r="B64" i="95"/>
  <c r="X63" i="95"/>
  <c r="Z63" i="95" s="1"/>
  <c r="N63" i="95"/>
  <c r="L63" i="95"/>
  <c r="B63" i="95"/>
  <c r="X62" i="95"/>
  <c r="Z62" i="95" s="1"/>
  <c r="L62" i="95"/>
  <c r="N62" i="95" s="1"/>
  <c r="B62" i="95"/>
  <c r="Z61" i="95"/>
  <c r="T61" i="95"/>
  <c r="P61" i="95"/>
  <c r="X61" i="95" s="1"/>
  <c r="H61" i="95"/>
  <c r="D61" i="95"/>
  <c r="B61" i="95"/>
  <c r="X60" i="95"/>
  <c r="Z60" i="95" s="1"/>
  <c r="N60" i="95"/>
  <c r="L60" i="95"/>
  <c r="B60" i="95"/>
  <c r="X59" i="95"/>
  <c r="Z59" i="95" s="1"/>
  <c r="N59" i="95"/>
  <c r="L59" i="95"/>
  <c r="B59" i="95"/>
  <c r="X58" i="95"/>
  <c r="Z58" i="95" s="1"/>
  <c r="N58" i="95"/>
  <c r="L58" i="95"/>
  <c r="B58" i="95"/>
  <c r="X57" i="95"/>
  <c r="Z57" i="95" s="1"/>
  <c r="T57" i="95"/>
  <c r="P57" i="95"/>
  <c r="L57" i="95"/>
  <c r="J57" i="95"/>
  <c r="H57" i="95"/>
  <c r="N57" i="95" s="1"/>
  <c r="D57" i="95"/>
  <c r="B57" i="95"/>
  <c r="Z56" i="95"/>
  <c r="X56" i="95"/>
  <c r="N56" i="95"/>
  <c r="L56" i="95"/>
  <c r="B56" i="95"/>
  <c r="T55" i="95"/>
  <c r="Z55" i="95" s="1"/>
  <c r="P55" i="95"/>
  <c r="X55" i="95" s="1"/>
  <c r="L55" i="95"/>
  <c r="N55" i="95" s="1"/>
  <c r="H55" i="95"/>
  <c r="D55" i="95"/>
  <c r="B55" i="95"/>
  <c r="X54" i="95"/>
  <c r="Z54" i="95" s="1"/>
  <c r="L54" i="95"/>
  <c r="N54" i="95" s="1"/>
  <c r="B54" i="95"/>
  <c r="T53" i="95"/>
  <c r="P53" i="95"/>
  <c r="X53" i="95" s="1"/>
  <c r="Z53" i="95" s="1"/>
  <c r="H53" i="95"/>
  <c r="D53" i="95"/>
  <c r="L53" i="95" s="1"/>
  <c r="B53" i="95"/>
  <c r="X52" i="95"/>
  <c r="Z52" i="95" s="1"/>
  <c r="N52" i="95"/>
  <c r="L52" i="95"/>
  <c r="B52" i="95"/>
  <c r="X51" i="95"/>
  <c r="T51" i="95"/>
  <c r="Z51" i="95" s="1"/>
  <c r="P51" i="95"/>
  <c r="L51" i="95"/>
  <c r="N51" i="95" s="1"/>
  <c r="H51" i="95"/>
  <c r="D51" i="95"/>
  <c r="B51" i="95"/>
  <c r="X50" i="95"/>
  <c r="Z50" i="95" s="1"/>
  <c r="L50" i="95"/>
  <c r="N50" i="95" s="1"/>
  <c r="B50" i="95"/>
  <c r="X49" i="95"/>
  <c r="Z49" i="95" s="1"/>
  <c r="T49" i="95"/>
  <c r="R49" i="95"/>
  <c r="P49" i="95"/>
  <c r="H49" i="95"/>
  <c r="D49" i="95"/>
  <c r="L49" i="95" s="1"/>
  <c r="B49" i="95"/>
  <c r="Z48" i="95"/>
  <c r="X48" i="95"/>
  <c r="L48" i="95"/>
  <c r="N48" i="95" s="1"/>
  <c r="B48" i="95"/>
  <c r="T47" i="95"/>
  <c r="P47" i="95"/>
  <c r="N47" i="95"/>
  <c r="H47" i="95"/>
  <c r="D47" i="95"/>
  <c r="L47" i="95" s="1"/>
  <c r="B47" i="95"/>
  <c r="X46" i="95"/>
  <c r="Z46" i="95" s="1"/>
  <c r="L46" i="95"/>
  <c r="N46" i="95" s="1"/>
  <c r="B46" i="95"/>
  <c r="X45" i="95"/>
  <c r="Z45" i="95" s="1"/>
  <c r="L45" i="95"/>
  <c r="N45" i="95" s="1"/>
  <c r="B45" i="95"/>
  <c r="T44" i="95"/>
  <c r="Z44" i="95" s="1"/>
  <c r="P44" i="95"/>
  <c r="X44" i="95" s="1"/>
  <c r="H44" i="95"/>
  <c r="D44" i="95"/>
  <c r="L44" i="95" s="1"/>
  <c r="N44" i="95" s="1"/>
  <c r="B44" i="95"/>
  <c r="Z43" i="95"/>
  <c r="X43" i="95"/>
  <c r="N43" i="95"/>
  <c r="L43" i="95"/>
  <c r="B43" i="95"/>
  <c r="X42" i="95"/>
  <c r="T42" i="95"/>
  <c r="P42" i="95"/>
  <c r="H42" i="95"/>
  <c r="L42" i="95" s="1"/>
  <c r="N42" i="95" s="1"/>
  <c r="D42" i="95"/>
  <c r="B42" i="95"/>
  <c r="Z41" i="95"/>
  <c r="X41" i="95"/>
  <c r="L41" i="95"/>
  <c r="N41" i="95" s="1"/>
  <c r="B41" i="95"/>
  <c r="T40" i="95"/>
  <c r="P40" i="95"/>
  <c r="H40" i="95"/>
  <c r="N40" i="95" s="1"/>
  <c r="D40" i="95"/>
  <c r="L40" i="95" s="1"/>
  <c r="B40" i="95"/>
  <c r="X39" i="95"/>
  <c r="Z39" i="95" s="1"/>
  <c r="N39" i="95"/>
  <c r="L39" i="95"/>
  <c r="B39" i="95"/>
  <c r="T38" i="95"/>
  <c r="P38" i="95"/>
  <c r="X38" i="95" s="1"/>
  <c r="Z38" i="95" s="1"/>
  <c r="H38" i="95"/>
  <c r="N38" i="95" s="1"/>
  <c r="D38" i="95"/>
  <c r="L38" i="95" s="1"/>
  <c r="B38" i="95"/>
  <c r="Z37" i="95"/>
  <c r="X37" i="95"/>
  <c r="N37" i="95"/>
  <c r="L37" i="95"/>
  <c r="B37" i="95"/>
  <c r="Z36" i="95"/>
  <c r="X36" i="95"/>
  <c r="N36" i="95"/>
  <c r="L36" i="95"/>
  <c r="B36" i="95"/>
  <c r="Z35" i="95"/>
  <c r="X35" i="95"/>
  <c r="N35" i="95"/>
  <c r="L35" i="95"/>
  <c r="B35" i="95"/>
  <c r="X34" i="95"/>
  <c r="Z34" i="95" s="1"/>
  <c r="L34" i="95"/>
  <c r="N34" i="95" s="1"/>
  <c r="B34" i="95"/>
  <c r="Z33" i="95"/>
  <c r="X33" i="95"/>
  <c r="N33" i="95"/>
  <c r="L33" i="95"/>
  <c r="B33" i="95"/>
  <c r="Z32" i="95"/>
  <c r="X32" i="95"/>
  <c r="T32" i="95"/>
  <c r="P32" i="95"/>
  <c r="L32" i="95"/>
  <c r="H32" i="95"/>
  <c r="D32" i="95"/>
  <c r="B32" i="95"/>
  <c r="Z31" i="95"/>
  <c r="X31" i="95"/>
  <c r="L31" i="95"/>
  <c r="N31" i="95" s="1"/>
  <c r="B31" i="95"/>
  <c r="X30" i="95"/>
  <c r="Z30" i="95" s="1"/>
  <c r="L30" i="95"/>
  <c r="N30" i="95" s="1"/>
  <c r="B30" i="95"/>
  <c r="Z29" i="95"/>
  <c r="X29" i="95"/>
  <c r="L29" i="95"/>
  <c r="N29" i="95" s="1"/>
  <c r="B29" i="95"/>
  <c r="Z28" i="95"/>
  <c r="X28" i="95"/>
  <c r="R28" i="95"/>
  <c r="L28" i="95"/>
  <c r="N28" i="95" s="1"/>
  <c r="B28" i="95"/>
  <c r="Z27" i="95"/>
  <c r="X27" i="95"/>
  <c r="L27" i="95"/>
  <c r="N27" i="95" s="1"/>
  <c r="B27" i="95"/>
  <c r="X26" i="95"/>
  <c r="Z26" i="95" s="1"/>
  <c r="L26" i="95"/>
  <c r="N26" i="95" s="1"/>
  <c r="B26" i="95"/>
  <c r="Z25" i="95"/>
  <c r="X25" i="95"/>
  <c r="L25" i="95"/>
  <c r="N25" i="95" s="1"/>
  <c r="B25" i="95"/>
  <c r="Z24" i="95"/>
  <c r="X24" i="95"/>
  <c r="R24" i="95"/>
  <c r="L24" i="95"/>
  <c r="N24" i="95" s="1"/>
  <c r="B24" i="95"/>
  <c r="Z23" i="95"/>
  <c r="X23" i="95"/>
  <c r="T23" i="95"/>
  <c r="P23" i="95"/>
  <c r="N23" i="95"/>
  <c r="H23" i="95"/>
  <c r="D23" i="95"/>
  <c r="L23" i="95" s="1"/>
  <c r="B23" i="95"/>
  <c r="T22" i="95"/>
  <c r="P22" i="95"/>
  <c r="X22" i="95" s="1"/>
  <c r="H22" i="95"/>
  <c r="N22" i="95" s="1"/>
  <c r="D22" i="95"/>
  <c r="L22" i="95" s="1"/>
  <c r="P20" i="95"/>
  <c r="X18" i="95"/>
  <c r="Z18" i="95" s="1"/>
  <c r="L18" i="95"/>
  <c r="N18" i="95" s="1"/>
  <c r="B18" i="95"/>
  <c r="X17" i="95"/>
  <c r="Z17" i="95" s="1"/>
  <c r="N17" i="95"/>
  <c r="L17" i="95"/>
  <c r="B17" i="95"/>
  <c r="T16" i="95"/>
  <c r="P16" i="95"/>
  <c r="X16" i="95" s="1"/>
  <c r="H16" i="95"/>
  <c r="N16" i="95" s="1"/>
  <c r="D16" i="95"/>
  <c r="L16" i="95" s="1"/>
  <c r="T14" i="95"/>
  <c r="P14" i="95"/>
  <c r="P12" i="95" s="1"/>
  <c r="R64" i="95" s="1"/>
  <c r="N14" i="95"/>
  <c r="L14" i="95"/>
  <c r="H14" i="95"/>
  <c r="D14" i="95"/>
  <c r="B14" i="95"/>
  <c r="T13" i="95"/>
  <c r="P13" i="95"/>
  <c r="H13" i="95"/>
  <c r="H12" i="95" s="1"/>
  <c r="J63" i="95" s="1"/>
  <c r="D13" i="95"/>
  <c r="L13" i="95" s="1"/>
  <c r="B13" i="95"/>
  <c r="D6" i="95"/>
  <c r="D4" i="95"/>
  <c r="Z76" i="94"/>
  <c r="X76" i="94"/>
  <c r="L76" i="94"/>
  <c r="N76" i="94" s="1"/>
  <c r="T72" i="94"/>
  <c r="Z72" i="94" s="1"/>
  <c r="P72" i="94"/>
  <c r="X72" i="94" s="1"/>
  <c r="H72" i="94"/>
  <c r="N72" i="94" s="1"/>
  <c r="D72" i="94"/>
  <c r="L72" i="94" s="1"/>
  <c r="X70" i="94"/>
  <c r="Z70" i="94" s="1"/>
  <c r="N70" i="94"/>
  <c r="L70" i="94"/>
  <c r="B70" i="94"/>
  <c r="Z69" i="94"/>
  <c r="X69" i="94"/>
  <c r="T69" i="94"/>
  <c r="P69" i="94"/>
  <c r="N69" i="94"/>
  <c r="L69" i="94"/>
  <c r="H69" i="94"/>
  <c r="D69" i="94"/>
  <c r="B69" i="94"/>
  <c r="X68" i="94"/>
  <c r="Z68" i="94" s="1"/>
  <c r="N68" i="94"/>
  <c r="L68" i="94"/>
  <c r="B68" i="94"/>
  <c r="Z67" i="94"/>
  <c r="X67" i="94"/>
  <c r="T67" i="94"/>
  <c r="P67" i="94"/>
  <c r="H67" i="94"/>
  <c r="N67" i="94" s="1"/>
  <c r="D67" i="94"/>
  <c r="L67" i="94" s="1"/>
  <c r="B67" i="94"/>
  <c r="X66" i="94"/>
  <c r="Z66" i="94" s="1"/>
  <c r="N66" i="94"/>
  <c r="L66" i="94"/>
  <c r="B66" i="94"/>
  <c r="Z65" i="94"/>
  <c r="X65" i="94"/>
  <c r="N65" i="94"/>
  <c r="L65" i="94"/>
  <c r="B65" i="94"/>
  <c r="X64" i="94"/>
  <c r="Z64" i="94" s="1"/>
  <c r="N64" i="94"/>
  <c r="L64" i="94"/>
  <c r="B64" i="94"/>
  <c r="Z63" i="94"/>
  <c r="X63" i="94"/>
  <c r="L63" i="94"/>
  <c r="N63" i="94" s="1"/>
  <c r="B63" i="94"/>
  <c r="X62" i="94"/>
  <c r="Z62" i="94" s="1"/>
  <c r="L62" i="94"/>
  <c r="N62" i="94" s="1"/>
  <c r="B62" i="94"/>
  <c r="Z61" i="94"/>
  <c r="X61" i="94"/>
  <c r="N61" i="94"/>
  <c r="L61" i="94"/>
  <c r="B61" i="94"/>
  <c r="X60" i="94"/>
  <c r="Z60" i="94" s="1"/>
  <c r="L60" i="94"/>
  <c r="N60" i="94" s="1"/>
  <c r="B60" i="94"/>
  <c r="T59" i="94"/>
  <c r="P59" i="94"/>
  <c r="X59" i="94" s="1"/>
  <c r="Z59" i="94" s="1"/>
  <c r="H59" i="94"/>
  <c r="D59" i="94"/>
  <c r="L59" i="94" s="1"/>
  <c r="N59" i="94" s="1"/>
  <c r="B59" i="94"/>
  <c r="X58" i="94"/>
  <c r="Z58" i="94" s="1"/>
  <c r="N58" i="94"/>
  <c r="L58" i="94"/>
  <c r="B58" i="94"/>
  <c r="Z57" i="94"/>
  <c r="X57" i="94"/>
  <c r="T57" i="94"/>
  <c r="P57" i="94"/>
  <c r="N57" i="94"/>
  <c r="L57" i="94"/>
  <c r="H57" i="94"/>
  <c r="D57" i="94"/>
  <c r="B57" i="94"/>
  <c r="X56" i="94"/>
  <c r="Z56" i="94" s="1"/>
  <c r="L56" i="94"/>
  <c r="N56" i="94" s="1"/>
  <c r="B56" i="94"/>
  <c r="Z55" i="94"/>
  <c r="X55" i="94"/>
  <c r="T55" i="94"/>
  <c r="R55" i="94"/>
  <c r="P55" i="94"/>
  <c r="H55" i="94"/>
  <c r="D55" i="94"/>
  <c r="B55" i="94"/>
  <c r="X54" i="94"/>
  <c r="Z54" i="94" s="1"/>
  <c r="R54" i="94"/>
  <c r="L54" i="94"/>
  <c r="N54" i="94" s="1"/>
  <c r="B54" i="94"/>
  <c r="T53" i="94"/>
  <c r="X53" i="94" s="1"/>
  <c r="Z53" i="94" s="1"/>
  <c r="P53" i="94"/>
  <c r="N53" i="94"/>
  <c r="H53" i="94"/>
  <c r="D53" i="94"/>
  <c r="L53" i="94" s="1"/>
  <c r="B53" i="94"/>
  <c r="X52" i="94"/>
  <c r="Z52" i="94" s="1"/>
  <c r="L52" i="94"/>
  <c r="N52" i="94" s="1"/>
  <c r="B52" i="94"/>
  <c r="X51" i="94"/>
  <c r="Z51" i="94" s="1"/>
  <c r="N51" i="94"/>
  <c r="L51" i="94"/>
  <c r="B51" i="94"/>
  <c r="T50" i="94"/>
  <c r="R50" i="94"/>
  <c r="P50" i="94"/>
  <c r="X50" i="94" s="1"/>
  <c r="H50" i="94"/>
  <c r="D50" i="94"/>
  <c r="L50" i="94" s="1"/>
  <c r="B50" i="94"/>
  <c r="X49" i="94"/>
  <c r="Z49" i="94" s="1"/>
  <c r="N49" i="94"/>
  <c r="L49" i="94"/>
  <c r="B49" i="94"/>
  <c r="X48" i="94"/>
  <c r="Z48" i="94" s="1"/>
  <c r="T48" i="94"/>
  <c r="P48" i="94"/>
  <c r="N48" i="94"/>
  <c r="L48" i="94"/>
  <c r="H48" i="94"/>
  <c r="D48" i="94"/>
  <c r="B48" i="94"/>
  <c r="Z47" i="94"/>
  <c r="X47" i="94"/>
  <c r="L47" i="94"/>
  <c r="N47" i="94" s="1"/>
  <c r="B47" i="94"/>
  <c r="T46" i="94"/>
  <c r="P46" i="94"/>
  <c r="L46" i="94"/>
  <c r="J46" i="94"/>
  <c r="H46" i="94"/>
  <c r="D46" i="94"/>
  <c r="B46" i="94"/>
  <c r="Z45" i="94"/>
  <c r="X45" i="94"/>
  <c r="V45" i="94"/>
  <c r="N45" i="94"/>
  <c r="L45" i="94"/>
  <c r="B45" i="94"/>
  <c r="T44" i="94"/>
  <c r="Z44" i="94" s="1"/>
  <c r="P44" i="94"/>
  <c r="X44" i="94" s="1"/>
  <c r="H44" i="94"/>
  <c r="N44" i="94" s="1"/>
  <c r="D44" i="94"/>
  <c r="L44" i="94" s="1"/>
  <c r="B44" i="94"/>
  <c r="Z43" i="94"/>
  <c r="X43" i="94"/>
  <c r="N43" i="94"/>
  <c r="L43" i="94"/>
  <c r="B43" i="94"/>
  <c r="Z42" i="94"/>
  <c r="X42" i="94"/>
  <c r="T42" i="94"/>
  <c r="P42" i="94"/>
  <c r="H42" i="94"/>
  <c r="D42" i="94"/>
  <c r="L42" i="94" s="1"/>
  <c r="N42" i="94" s="1"/>
  <c r="B42" i="94"/>
  <c r="Z41" i="94"/>
  <c r="X41" i="94"/>
  <c r="N41" i="94"/>
  <c r="L41" i="94"/>
  <c r="J41" i="94"/>
  <c r="B41" i="94"/>
  <c r="X40" i="94"/>
  <c r="V40" i="94"/>
  <c r="T40" i="94"/>
  <c r="P40" i="94"/>
  <c r="H40" i="94"/>
  <c r="D40" i="94"/>
  <c r="B40" i="94"/>
  <c r="X39" i="94"/>
  <c r="Z39" i="94" s="1"/>
  <c r="N39" i="94"/>
  <c r="L39" i="94"/>
  <c r="B39" i="94"/>
  <c r="T38" i="94"/>
  <c r="P38" i="94"/>
  <c r="X38" i="94" s="1"/>
  <c r="H38" i="94"/>
  <c r="D38" i="94"/>
  <c r="L38" i="94" s="1"/>
  <c r="B38" i="94"/>
  <c r="Z37" i="94"/>
  <c r="X37" i="94"/>
  <c r="R37" i="94"/>
  <c r="N37" i="94"/>
  <c r="L37" i="94"/>
  <c r="B37" i="94"/>
  <c r="T36" i="94"/>
  <c r="P36" i="94"/>
  <c r="X36" i="94" s="1"/>
  <c r="Z36" i="94" s="1"/>
  <c r="N36" i="94"/>
  <c r="L36" i="94"/>
  <c r="H36" i="94"/>
  <c r="D36" i="94"/>
  <c r="B36" i="94"/>
  <c r="Z35" i="94"/>
  <c r="X35" i="94"/>
  <c r="L35" i="94"/>
  <c r="N35" i="94" s="1"/>
  <c r="B35" i="94"/>
  <c r="X34" i="94"/>
  <c r="Z34" i="94" s="1"/>
  <c r="R34" i="94"/>
  <c r="N34" i="94"/>
  <c r="L34" i="94"/>
  <c r="B34" i="94"/>
  <c r="Z33" i="94"/>
  <c r="X33" i="94"/>
  <c r="N33" i="94"/>
  <c r="L33" i="94"/>
  <c r="B33" i="94"/>
  <c r="X32" i="94"/>
  <c r="Z32" i="94" s="1"/>
  <c r="V32" i="94"/>
  <c r="L32" i="94"/>
  <c r="N32" i="94" s="1"/>
  <c r="B32" i="94"/>
  <c r="T31" i="94"/>
  <c r="R31" i="94"/>
  <c r="P31" i="94"/>
  <c r="X31" i="94" s="1"/>
  <c r="Z31" i="94" s="1"/>
  <c r="N31" i="94"/>
  <c r="H31" i="94"/>
  <c r="D31" i="94"/>
  <c r="L31" i="94" s="1"/>
  <c r="B31" i="94"/>
  <c r="X30" i="94"/>
  <c r="Z30" i="94" s="1"/>
  <c r="L30" i="94"/>
  <c r="N30" i="94" s="1"/>
  <c r="B30" i="94"/>
  <c r="Z29" i="94"/>
  <c r="X29" i="94"/>
  <c r="N29" i="94"/>
  <c r="L29" i="94"/>
  <c r="B29" i="94"/>
  <c r="X28" i="94"/>
  <c r="Z28" i="94" s="1"/>
  <c r="L28" i="94"/>
  <c r="N28" i="94" s="1"/>
  <c r="B28" i="94"/>
  <c r="X27" i="94"/>
  <c r="Z27" i="94" s="1"/>
  <c r="V27" i="94"/>
  <c r="N27" i="94"/>
  <c r="L27" i="94"/>
  <c r="B27" i="94"/>
  <c r="X26" i="94"/>
  <c r="Z26" i="94" s="1"/>
  <c r="N26" i="94"/>
  <c r="L26" i="94"/>
  <c r="B26" i="94"/>
  <c r="Z25" i="94"/>
  <c r="X25" i="94"/>
  <c r="V25" i="94"/>
  <c r="L25" i="94"/>
  <c r="N25" i="94" s="1"/>
  <c r="B25" i="94"/>
  <c r="X24" i="94"/>
  <c r="Z24" i="94" s="1"/>
  <c r="L24" i="94"/>
  <c r="N24" i="94" s="1"/>
  <c r="B24" i="94"/>
  <c r="Z23" i="94"/>
  <c r="X23" i="94"/>
  <c r="V23" i="94"/>
  <c r="T23" i="94"/>
  <c r="P23" i="94"/>
  <c r="N23" i="94"/>
  <c r="L23" i="94"/>
  <c r="H23" i="94"/>
  <c r="D23" i="94"/>
  <c r="B23" i="94"/>
  <c r="Z22" i="94"/>
  <c r="X22" i="94"/>
  <c r="T22" i="94"/>
  <c r="P22" i="94"/>
  <c r="H22" i="94"/>
  <c r="D22" i="94"/>
  <c r="L22" i="94" s="1"/>
  <c r="H20" i="94"/>
  <c r="X18" i="94"/>
  <c r="Z18" i="94" s="1"/>
  <c r="L18" i="94"/>
  <c r="N18" i="94" s="1"/>
  <c r="F18" i="94"/>
  <c r="B18" i="94"/>
  <c r="Z17" i="94"/>
  <c r="X17" i="94"/>
  <c r="V17" i="94"/>
  <c r="N17" i="94"/>
  <c r="L17" i="94"/>
  <c r="B17" i="94"/>
  <c r="T16" i="94"/>
  <c r="P16" i="94"/>
  <c r="L16" i="94"/>
  <c r="N16" i="94" s="1"/>
  <c r="H16" i="94"/>
  <c r="D16" i="94"/>
  <c r="X14" i="94"/>
  <c r="Z14" i="94" s="1"/>
  <c r="T14" i="94"/>
  <c r="P14" i="94"/>
  <c r="H14" i="94"/>
  <c r="D14" i="94"/>
  <c r="L14" i="94" s="1"/>
  <c r="B14" i="94"/>
  <c r="Z13" i="94"/>
  <c r="T13" i="94"/>
  <c r="T12" i="94" s="1"/>
  <c r="P13" i="94"/>
  <c r="X13" i="94" s="1"/>
  <c r="H13" i="94"/>
  <c r="H12" i="94" s="1"/>
  <c r="J56" i="94" s="1"/>
  <c r="D13" i="94"/>
  <c r="B13" i="94"/>
  <c r="P12" i="94"/>
  <c r="R18" i="94" s="1"/>
  <c r="D12" i="94"/>
  <c r="D6" i="94"/>
  <c r="D4" i="94"/>
  <c r="X68" i="93"/>
  <c r="Z68" i="93" s="1"/>
  <c r="N68" i="93"/>
  <c r="L68" i="93"/>
  <c r="T64" i="93"/>
  <c r="T63" i="93" s="1"/>
  <c r="P64" i="93"/>
  <c r="X64" i="93" s="1"/>
  <c r="Z64" i="93" s="1"/>
  <c r="H64" i="93"/>
  <c r="D64" i="93"/>
  <c r="B64" i="93"/>
  <c r="H63" i="93"/>
  <c r="Z61" i="93"/>
  <c r="X61" i="93"/>
  <c r="N61" i="93"/>
  <c r="L61" i="93"/>
  <c r="B61" i="93"/>
  <c r="Z60" i="93"/>
  <c r="X60" i="93"/>
  <c r="T60" i="93"/>
  <c r="P60" i="93"/>
  <c r="L60" i="93"/>
  <c r="N60" i="93" s="1"/>
  <c r="H60" i="93"/>
  <c r="D60" i="93"/>
  <c r="B60" i="93"/>
  <c r="Z59" i="93"/>
  <c r="X59" i="93"/>
  <c r="N59" i="93"/>
  <c r="L59" i="93"/>
  <c r="B59" i="93"/>
  <c r="Z58" i="93"/>
  <c r="X58" i="93"/>
  <c r="R58" i="93"/>
  <c r="N58" i="93"/>
  <c r="L58" i="93"/>
  <c r="B58" i="93"/>
  <c r="Z57" i="93"/>
  <c r="X57" i="93"/>
  <c r="L57" i="93"/>
  <c r="N57" i="93" s="1"/>
  <c r="B57" i="93"/>
  <c r="X56" i="93"/>
  <c r="Z56" i="93" s="1"/>
  <c r="N56" i="93"/>
  <c r="L56" i="93"/>
  <c r="B56" i="93"/>
  <c r="Z55" i="93"/>
  <c r="X55" i="93"/>
  <c r="N55" i="93"/>
  <c r="L55" i="93"/>
  <c r="B55" i="93"/>
  <c r="T54" i="93"/>
  <c r="P54" i="93"/>
  <c r="X54" i="93" s="1"/>
  <c r="H54" i="93"/>
  <c r="D54" i="93"/>
  <c r="B54" i="93"/>
  <c r="X53" i="93"/>
  <c r="Z53" i="93" s="1"/>
  <c r="V53" i="93"/>
  <c r="N53" i="93"/>
  <c r="L53" i="93"/>
  <c r="B53" i="93"/>
  <c r="Z52" i="93"/>
  <c r="X52" i="93"/>
  <c r="N52" i="93"/>
  <c r="L52" i="93"/>
  <c r="B52" i="93"/>
  <c r="T51" i="93"/>
  <c r="P51" i="93"/>
  <c r="X51" i="93" s="1"/>
  <c r="Z51" i="93" s="1"/>
  <c r="L51" i="93"/>
  <c r="J51" i="93"/>
  <c r="H51" i="93"/>
  <c r="D51" i="93"/>
  <c r="B51" i="93"/>
  <c r="X50" i="93"/>
  <c r="Z50" i="93" s="1"/>
  <c r="N50" i="93"/>
  <c r="L50" i="93"/>
  <c r="B50" i="93"/>
  <c r="Z49" i="93"/>
  <c r="X49" i="93"/>
  <c r="N49" i="93"/>
  <c r="L49" i="93"/>
  <c r="B49" i="93"/>
  <c r="X48" i="93"/>
  <c r="Z48" i="93" s="1"/>
  <c r="N48" i="93"/>
  <c r="L48" i="93"/>
  <c r="B48" i="93"/>
  <c r="T47" i="93"/>
  <c r="R47" i="93"/>
  <c r="P47" i="93"/>
  <c r="H47" i="93"/>
  <c r="D47" i="93"/>
  <c r="L47" i="93" s="1"/>
  <c r="N47" i="93" s="1"/>
  <c r="B47" i="93"/>
  <c r="Z46" i="93"/>
  <c r="X46" i="93"/>
  <c r="R46" i="93"/>
  <c r="N46" i="93"/>
  <c r="L46" i="93"/>
  <c r="B46" i="93"/>
  <c r="T45" i="93"/>
  <c r="P45" i="93"/>
  <c r="X45" i="93" s="1"/>
  <c r="Z45" i="93" s="1"/>
  <c r="N45" i="93"/>
  <c r="L45" i="93"/>
  <c r="H45" i="93"/>
  <c r="D45" i="93"/>
  <c r="B45" i="93"/>
  <c r="Z44" i="93"/>
  <c r="X44" i="93"/>
  <c r="L44" i="93"/>
  <c r="N44" i="93" s="1"/>
  <c r="B44" i="93"/>
  <c r="T43" i="93"/>
  <c r="P43" i="93"/>
  <c r="X43" i="93" s="1"/>
  <c r="Z43" i="93" s="1"/>
  <c r="L43" i="93"/>
  <c r="J43" i="93"/>
  <c r="H43" i="93"/>
  <c r="D43" i="93"/>
  <c r="B43" i="93"/>
  <c r="X42" i="93"/>
  <c r="Z42" i="93" s="1"/>
  <c r="N42" i="93"/>
  <c r="L42" i="93"/>
  <c r="J42" i="93"/>
  <c r="B42" i="93"/>
  <c r="T41" i="93"/>
  <c r="P41" i="93"/>
  <c r="X41" i="93" s="1"/>
  <c r="Z41" i="93" s="1"/>
  <c r="H41" i="93"/>
  <c r="D41" i="93"/>
  <c r="B41" i="93"/>
  <c r="X40" i="93"/>
  <c r="Z40" i="93" s="1"/>
  <c r="N40" i="93"/>
  <c r="L40" i="93"/>
  <c r="B40" i="93"/>
  <c r="Z39" i="93"/>
  <c r="X39" i="93"/>
  <c r="T39" i="93"/>
  <c r="P39" i="93"/>
  <c r="H39" i="93"/>
  <c r="D39" i="93"/>
  <c r="L39" i="93" s="1"/>
  <c r="N39" i="93" s="1"/>
  <c r="B39" i="93"/>
  <c r="X38" i="93"/>
  <c r="Z38" i="93" s="1"/>
  <c r="L38" i="93"/>
  <c r="N38" i="93" s="1"/>
  <c r="B38" i="93"/>
  <c r="X37" i="93"/>
  <c r="T37" i="93"/>
  <c r="P37" i="93"/>
  <c r="H37" i="93"/>
  <c r="D37" i="93"/>
  <c r="L37" i="93" s="1"/>
  <c r="N37" i="93" s="1"/>
  <c r="B37" i="93"/>
  <c r="X36" i="93"/>
  <c r="Z36" i="93" s="1"/>
  <c r="L36" i="93"/>
  <c r="N36" i="93" s="1"/>
  <c r="B36" i="93"/>
  <c r="X35" i="93"/>
  <c r="Z35" i="93" s="1"/>
  <c r="R35" i="93"/>
  <c r="N35" i="93"/>
  <c r="L35" i="93"/>
  <c r="B35" i="93"/>
  <c r="X34" i="93"/>
  <c r="Z34" i="93" s="1"/>
  <c r="N34" i="93"/>
  <c r="L34" i="93"/>
  <c r="B34" i="93"/>
  <c r="Z33" i="93"/>
  <c r="X33" i="93"/>
  <c r="N33" i="93"/>
  <c r="L33" i="93"/>
  <c r="B33" i="93"/>
  <c r="Z32" i="93"/>
  <c r="X32" i="93"/>
  <c r="T32" i="93"/>
  <c r="P32" i="93"/>
  <c r="L32" i="93"/>
  <c r="N32" i="93" s="1"/>
  <c r="H32" i="93"/>
  <c r="D32" i="93"/>
  <c r="B32" i="93"/>
  <c r="Z31" i="93"/>
  <c r="X31" i="93"/>
  <c r="N31" i="93"/>
  <c r="L31" i="93"/>
  <c r="B31" i="93"/>
  <c r="Z30" i="93"/>
  <c r="X30" i="93"/>
  <c r="V30" i="93"/>
  <c r="R30" i="93"/>
  <c r="L30" i="93"/>
  <c r="N30" i="93" s="1"/>
  <c r="B30" i="93"/>
  <c r="Z29" i="93"/>
  <c r="X29" i="93"/>
  <c r="L29" i="93"/>
  <c r="N29" i="93" s="1"/>
  <c r="J29" i="93"/>
  <c r="B29" i="93"/>
  <c r="X28" i="93"/>
  <c r="Z28" i="93" s="1"/>
  <c r="N28" i="93"/>
  <c r="L28" i="93"/>
  <c r="B28" i="93"/>
  <c r="Z27" i="93"/>
  <c r="X27" i="93"/>
  <c r="N27" i="93"/>
  <c r="L27" i="93"/>
  <c r="B27" i="93"/>
  <c r="Z26" i="93"/>
  <c r="X26" i="93"/>
  <c r="R26" i="93"/>
  <c r="L26" i="93"/>
  <c r="N26" i="93" s="1"/>
  <c r="B26" i="93"/>
  <c r="Z25" i="93"/>
  <c r="X25" i="93"/>
  <c r="L25" i="93"/>
  <c r="N25" i="93" s="1"/>
  <c r="B25" i="93"/>
  <c r="X24" i="93"/>
  <c r="Z24" i="93" s="1"/>
  <c r="R24" i="93"/>
  <c r="N24" i="93"/>
  <c r="L24" i="93"/>
  <c r="B24" i="93"/>
  <c r="T23" i="93"/>
  <c r="P23" i="93"/>
  <c r="X23" i="93" s="1"/>
  <c r="Z23" i="93" s="1"/>
  <c r="H23" i="93"/>
  <c r="D23" i="93"/>
  <c r="L23" i="93" s="1"/>
  <c r="N23" i="93" s="1"/>
  <c r="B23" i="93"/>
  <c r="T22" i="93"/>
  <c r="Z22" i="93" s="1"/>
  <c r="P22" i="93"/>
  <c r="X22" i="93" s="1"/>
  <c r="H22" i="93"/>
  <c r="N22" i="93" s="1"/>
  <c r="D22" i="93"/>
  <c r="L22" i="93" s="1"/>
  <c r="X18" i="93"/>
  <c r="Z18" i="93" s="1"/>
  <c r="L18" i="93"/>
  <c r="N18" i="93" s="1"/>
  <c r="B18" i="93"/>
  <c r="X17" i="93"/>
  <c r="Z17" i="93" s="1"/>
  <c r="N17" i="93"/>
  <c r="L17" i="93"/>
  <c r="B17" i="93"/>
  <c r="T16" i="93"/>
  <c r="R16" i="93"/>
  <c r="P16" i="93"/>
  <c r="H16" i="93"/>
  <c r="D16" i="93"/>
  <c r="L16" i="93" s="1"/>
  <c r="T14" i="93"/>
  <c r="Z14" i="93" s="1"/>
  <c r="P14" i="93"/>
  <c r="X14" i="93" s="1"/>
  <c r="N14" i="93"/>
  <c r="L14" i="93"/>
  <c r="H14" i="93"/>
  <c r="D14" i="93"/>
  <c r="B14" i="93"/>
  <c r="T13" i="93"/>
  <c r="T12" i="93" s="1"/>
  <c r="V26" i="93" s="1"/>
  <c r="P13" i="93"/>
  <c r="H13" i="93"/>
  <c r="H12" i="93" s="1"/>
  <c r="J34" i="93" s="1"/>
  <c r="D13" i="93"/>
  <c r="B13" i="93"/>
  <c r="P12" i="93"/>
  <c r="R64" i="93" s="1"/>
  <c r="D6" i="93"/>
  <c r="D4" i="93"/>
  <c r="Z74" i="92"/>
  <c r="X74" i="92"/>
  <c r="L74" i="92"/>
  <c r="N74" i="92" s="1"/>
  <c r="P72" i="92"/>
  <c r="T70" i="92"/>
  <c r="Z70" i="92" s="1"/>
  <c r="P70" i="92"/>
  <c r="X70" i="92" s="1"/>
  <c r="H70" i="92"/>
  <c r="N70" i="92" s="1"/>
  <c r="D70" i="92"/>
  <c r="L70" i="92" s="1"/>
  <c r="Z68" i="92"/>
  <c r="X68" i="92"/>
  <c r="N68" i="92"/>
  <c r="L68" i="92"/>
  <c r="B68" i="92"/>
  <c r="T67" i="92"/>
  <c r="P67" i="92"/>
  <c r="X67" i="92" s="1"/>
  <c r="Z67" i="92" s="1"/>
  <c r="N67" i="92"/>
  <c r="L67" i="92"/>
  <c r="H67" i="92"/>
  <c r="D67" i="92"/>
  <c r="B67" i="92"/>
  <c r="X66" i="92"/>
  <c r="Z66" i="92" s="1"/>
  <c r="N66" i="92"/>
  <c r="L66" i="92"/>
  <c r="B66" i="92"/>
  <c r="T65" i="92"/>
  <c r="P65" i="92"/>
  <c r="X65" i="92" s="1"/>
  <c r="Z65" i="92" s="1"/>
  <c r="H65" i="92"/>
  <c r="D65" i="92"/>
  <c r="B65" i="92"/>
  <c r="X64" i="92"/>
  <c r="Z64" i="92" s="1"/>
  <c r="N64" i="92"/>
  <c r="L64" i="92"/>
  <c r="B64" i="92"/>
  <c r="Z63" i="92"/>
  <c r="X63" i="92"/>
  <c r="N63" i="92"/>
  <c r="L63" i="92"/>
  <c r="B63" i="92"/>
  <c r="Z62" i="92"/>
  <c r="X62" i="92"/>
  <c r="L62" i="92"/>
  <c r="N62" i="92" s="1"/>
  <c r="B62" i="92"/>
  <c r="Z61" i="92"/>
  <c r="X61" i="92"/>
  <c r="L61" i="92"/>
  <c r="N61" i="92" s="1"/>
  <c r="B61" i="92"/>
  <c r="X60" i="92"/>
  <c r="Z60" i="92" s="1"/>
  <c r="N60" i="92"/>
  <c r="L60" i="92"/>
  <c r="B60" i="92"/>
  <c r="Z59" i="92"/>
  <c r="X59" i="92"/>
  <c r="N59" i="92"/>
  <c r="L59" i="92"/>
  <c r="B59" i="92"/>
  <c r="T58" i="92"/>
  <c r="P58" i="92"/>
  <c r="H58" i="92"/>
  <c r="D58" i="92"/>
  <c r="B58" i="92"/>
  <c r="X57" i="92"/>
  <c r="Z57" i="92" s="1"/>
  <c r="N57" i="92"/>
  <c r="L57" i="92"/>
  <c r="B57" i="92"/>
  <c r="Z56" i="92"/>
  <c r="X56" i="92"/>
  <c r="N56" i="92"/>
  <c r="L56" i="92"/>
  <c r="B56" i="92"/>
  <c r="T55" i="92"/>
  <c r="P55" i="92"/>
  <c r="X55" i="92" s="1"/>
  <c r="Z55" i="92" s="1"/>
  <c r="L55" i="92"/>
  <c r="N55" i="92" s="1"/>
  <c r="H55" i="92"/>
  <c r="D55" i="92"/>
  <c r="B55" i="92"/>
  <c r="X54" i="92"/>
  <c r="Z54" i="92" s="1"/>
  <c r="N54" i="92"/>
  <c r="L54" i="92"/>
  <c r="B54" i="92"/>
  <c r="Z53" i="92"/>
  <c r="X53" i="92"/>
  <c r="N53" i="92"/>
  <c r="L53" i="92"/>
  <c r="B53" i="92"/>
  <c r="X52" i="92"/>
  <c r="Z52" i="92" s="1"/>
  <c r="T52" i="92"/>
  <c r="P52" i="92"/>
  <c r="L52" i="92"/>
  <c r="N52" i="92" s="1"/>
  <c r="H52" i="92"/>
  <c r="D52" i="92"/>
  <c r="B52" i="92"/>
  <c r="Z51" i="92"/>
  <c r="X51" i="92"/>
  <c r="N51" i="92"/>
  <c r="L51" i="92"/>
  <c r="B51" i="92"/>
  <c r="T50" i="92"/>
  <c r="P50" i="92"/>
  <c r="X50" i="92" s="1"/>
  <c r="H50" i="92"/>
  <c r="D50" i="92"/>
  <c r="B50" i="92"/>
  <c r="X49" i="92"/>
  <c r="Z49" i="92" s="1"/>
  <c r="N49" i="92"/>
  <c r="L49" i="92"/>
  <c r="B49" i="92"/>
  <c r="T48" i="92"/>
  <c r="Z48" i="92" s="1"/>
  <c r="R48" i="92"/>
  <c r="P48" i="92"/>
  <c r="X48" i="92" s="1"/>
  <c r="H48" i="92"/>
  <c r="N48" i="92" s="1"/>
  <c r="D48" i="92"/>
  <c r="L48" i="92" s="1"/>
  <c r="B48" i="92"/>
  <c r="X47" i="92"/>
  <c r="Z47" i="92" s="1"/>
  <c r="N47" i="92"/>
  <c r="L47" i="92"/>
  <c r="B47" i="92"/>
  <c r="X46" i="92"/>
  <c r="Z46" i="92" s="1"/>
  <c r="T46" i="92"/>
  <c r="P46" i="92"/>
  <c r="L46" i="92"/>
  <c r="N46" i="92" s="1"/>
  <c r="H46" i="92"/>
  <c r="D46" i="92"/>
  <c r="B46" i="92"/>
  <c r="Z45" i="92"/>
  <c r="X45" i="92"/>
  <c r="L45" i="92"/>
  <c r="N45" i="92" s="1"/>
  <c r="B45" i="92"/>
  <c r="T44" i="92"/>
  <c r="P44" i="92"/>
  <c r="H44" i="92"/>
  <c r="D44" i="92"/>
  <c r="B44" i="92"/>
  <c r="Z43" i="92"/>
  <c r="X43" i="92"/>
  <c r="L43" i="92"/>
  <c r="N43" i="92" s="1"/>
  <c r="B43" i="92"/>
  <c r="X42" i="92"/>
  <c r="T42" i="92"/>
  <c r="P42" i="92"/>
  <c r="H42" i="92"/>
  <c r="N42" i="92" s="1"/>
  <c r="D42" i="92"/>
  <c r="L42" i="92" s="1"/>
  <c r="B42" i="92"/>
  <c r="Z41" i="92"/>
  <c r="X41" i="92"/>
  <c r="N41" i="92"/>
  <c r="L41" i="92"/>
  <c r="B41" i="92"/>
  <c r="X40" i="92"/>
  <c r="Z40" i="92" s="1"/>
  <c r="T40" i="92"/>
  <c r="P40" i="92"/>
  <c r="L40" i="92"/>
  <c r="N40" i="92" s="1"/>
  <c r="H40" i="92"/>
  <c r="D40" i="92"/>
  <c r="B40" i="92"/>
  <c r="Z39" i="92"/>
  <c r="X39" i="92"/>
  <c r="N39" i="92"/>
  <c r="L39" i="92"/>
  <c r="B39" i="92"/>
  <c r="T38" i="92"/>
  <c r="P38" i="92"/>
  <c r="X38" i="92" s="1"/>
  <c r="H38" i="92"/>
  <c r="D38" i="92"/>
  <c r="B38" i="92"/>
  <c r="X37" i="92"/>
  <c r="Z37" i="92" s="1"/>
  <c r="N37" i="92"/>
  <c r="L37" i="92"/>
  <c r="B37" i="92"/>
  <c r="Z36" i="92"/>
  <c r="X36" i="92"/>
  <c r="N36" i="92"/>
  <c r="L36" i="92"/>
  <c r="B36" i="92"/>
  <c r="Z35" i="92"/>
  <c r="X35" i="92"/>
  <c r="N35" i="92"/>
  <c r="L35" i="92"/>
  <c r="B35" i="92"/>
  <c r="X34" i="92"/>
  <c r="Z34" i="92" s="1"/>
  <c r="L34" i="92"/>
  <c r="N34" i="92" s="1"/>
  <c r="B34" i="92"/>
  <c r="X33" i="92"/>
  <c r="Z33" i="92" s="1"/>
  <c r="N33" i="92"/>
  <c r="L33" i="92"/>
  <c r="B33" i="92"/>
  <c r="Z32" i="92"/>
  <c r="X32" i="92"/>
  <c r="L32" i="92"/>
  <c r="N32" i="92" s="1"/>
  <c r="B32" i="92"/>
  <c r="Z31" i="92"/>
  <c r="T31" i="92"/>
  <c r="P31" i="92"/>
  <c r="X31" i="92" s="1"/>
  <c r="L31" i="92"/>
  <c r="N31" i="92" s="1"/>
  <c r="H31" i="92"/>
  <c r="F31" i="92"/>
  <c r="D31" i="92"/>
  <c r="B31" i="92"/>
  <c r="X30" i="92"/>
  <c r="Z30" i="92" s="1"/>
  <c r="N30" i="92"/>
  <c r="L30" i="92"/>
  <c r="B30" i="92"/>
  <c r="Z29" i="92"/>
  <c r="X29" i="92"/>
  <c r="N29" i="92"/>
  <c r="L29" i="92"/>
  <c r="B29" i="92"/>
  <c r="X28" i="92"/>
  <c r="Z28" i="92" s="1"/>
  <c r="L28" i="92"/>
  <c r="N28" i="92" s="1"/>
  <c r="B28" i="92"/>
  <c r="X27" i="92"/>
  <c r="Z27" i="92" s="1"/>
  <c r="R27" i="92"/>
  <c r="N27" i="92"/>
  <c r="L27" i="92"/>
  <c r="B27" i="92"/>
  <c r="X26" i="92"/>
  <c r="Z26" i="92" s="1"/>
  <c r="N26" i="92"/>
  <c r="L26" i="92"/>
  <c r="B26" i="92"/>
  <c r="Z25" i="92"/>
  <c r="X25" i="92"/>
  <c r="N25" i="92"/>
  <c r="L25" i="92"/>
  <c r="B25" i="92"/>
  <c r="X24" i="92"/>
  <c r="Z24" i="92" s="1"/>
  <c r="L24" i="92"/>
  <c r="N24" i="92" s="1"/>
  <c r="B24" i="92"/>
  <c r="X23" i="92"/>
  <c r="Z23" i="92" s="1"/>
  <c r="R23" i="92"/>
  <c r="N23" i="92"/>
  <c r="L23" i="92"/>
  <c r="B23" i="92"/>
  <c r="X22" i="92"/>
  <c r="Z22" i="92" s="1"/>
  <c r="T22" i="92"/>
  <c r="P22" i="92"/>
  <c r="H22" i="92"/>
  <c r="D22" i="92"/>
  <c r="L22" i="92" s="1"/>
  <c r="B22" i="92"/>
  <c r="Z21" i="92"/>
  <c r="T21" i="92"/>
  <c r="P21" i="92"/>
  <c r="X21" i="92" s="1"/>
  <c r="N21" i="92"/>
  <c r="H21" i="92"/>
  <c r="F21" i="92"/>
  <c r="D21" i="92"/>
  <c r="L21" i="92" s="1"/>
  <c r="P19" i="92"/>
  <c r="F19" i="92"/>
  <c r="Z17" i="92"/>
  <c r="X17" i="92"/>
  <c r="L17" i="92"/>
  <c r="N17" i="92" s="1"/>
  <c r="B17" i="92"/>
  <c r="X16" i="92"/>
  <c r="T16" i="92"/>
  <c r="P16" i="92"/>
  <c r="H16" i="92"/>
  <c r="D16" i="92"/>
  <c r="X14" i="92"/>
  <c r="T14" i="92"/>
  <c r="P14" i="92"/>
  <c r="H14" i="92"/>
  <c r="D14" i="92"/>
  <c r="B14" i="92"/>
  <c r="T13" i="92"/>
  <c r="P13" i="92"/>
  <c r="H13" i="92"/>
  <c r="D13" i="92"/>
  <c r="B13" i="92"/>
  <c r="P12" i="92"/>
  <c r="R72" i="92" s="1"/>
  <c r="D12" i="92"/>
  <c r="F66" i="92" s="1"/>
  <c r="D6" i="92"/>
  <c r="D4" i="92"/>
  <c r="V98" i="91"/>
  <c r="Z93" i="91"/>
  <c r="X93" i="91"/>
  <c r="N93" i="91"/>
  <c r="L93" i="91"/>
  <c r="X89" i="91"/>
  <c r="T89" i="91"/>
  <c r="P89" i="91"/>
  <c r="N89" i="91"/>
  <c r="H89" i="91"/>
  <c r="D89" i="91"/>
  <c r="L89" i="91" s="1"/>
  <c r="B89" i="91"/>
  <c r="T88" i="91"/>
  <c r="T87" i="91" s="1"/>
  <c r="P88" i="91"/>
  <c r="P87" i="91" s="1"/>
  <c r="L88" i="91"/>
  <c r="N88" i="91" s="1"/>
  <c r="H88" i="91"/>
  <c r="D88" i="91"/>
  <c r="B88" i="91"/>
  <c r="H87" i="91"/>
  <c r="X85" i="91"/>
  <c r="Z85" i="91" s="1"/>
  <c r="N85" i="91"/>
  <c r="L85" i="91"/>
  <c r="J85" i="91"/>
  <c r="B85" i="91"/>
  <c r="T84" i="91"/>
  <c r="P84" i="91"/>
  <c r="H84" i="91"/>
  <c r="D84" i="91"/>
  <c r="B84" i="91"/>
  <c r="X83" i="91"/>
  <c r="Z83" i="91" s="1"/>
  <c r="N83" i="91"/>
  <c r="L83" i="91"/>
  <c r="B83" i="91"/>
  <c r="Z82" i="91"/>
  <c r="X82" i="91"/>
  <c r="N82" i="91"/>
  <c r="L82" i="91"/>
  <c r="B82" i="91"/>
  <c r="Z81" i="91"/>
  <c r="X81" i="91"/>
  <c r="L81" i="91"/>
  <c r="N81" i="91" s="1"/>
  <c r="B81" i="91"/>
  <c r="T80" i="91"/>
  <c r="Z80" i="91" s="1"/>
  <c r="P80" i="91"/>
  <c r="X80" i="91" s="1"/>
  <c r="H80" i="91"/>
  <c r="F80" i="91"/>
  <c r="D80" i="91"/>
  <c r="L80" i="91" s="1"/>
  <c r="N80" i="91" s="1"/>
  <c r="B80" i="91"/>
  <c r="X79" i="91"/>
  <c r="Z79" i="91" s="1"/>
  <c r="N79" i="91"/>
  <c r="L79" i="91"/>
  <c r="B79" i="91"/>
  <c r="T78" i="91"/>
  <c r="P78" i="91"/>
  <c r="X78" i="91" s="1"/>
  <c r="Z78" i="91" s="1"/>
  <c r="N78" i="91"/>
  <c r="L78" i="91"/>
  <c r="H78" i="91"/>
  <c r="D78" i="91"/>
  <c r="B78" i="91"/>
  <c r="X77" i="91"/>
  <c r="Z77" i="91" s="1"/>
  <c r="N77" i="91"/>
  <c r="L77" i="91"/>
  <c r="J77" i="91"/>
  <c r="B77" i="91"/>
  <c r="T76" i="91"/>
  <c r="X76" i="91" s="1"/>
  <c r="P76" i="91"/>
  <c r="H76" i="91"/>
  <c r="D76" i="91"/>
  <c r="B76" i="91"/>
  <c r="X75" i="91"/>
  <c r="Z75" i="91" s="1"/>
  <c r="N75" i="91"/>
  <c r="L75" i="91"/>
  <c r="B75" i="91"/>
  <c r="Z74" i="91"/>
  <c r="X74" i="91"/>
  <c r="L74" i="91"/>
  <c r="N74" i="91" s="1"/>
  <c r="B74" i="91"/>
  <c r="Z73" i="91"/>
  <c r="X73" i="91"/>
  <c r="N73" i="91"/>
  <c r="L73" i="91"/>
  <c r="B73" i="91"/>
  <c r="Z72" i="91"/>
  <c r="X72" i="91"/>
  <c r="L72" i="91"/>
  <c r="N72" i="91" s="1"/>
  <c r="B72" i="91"/>
  <c r="Z71" i="91"/>
  <c r="X71" i="91"/>
  <c r="N71" i="91"/>
  <c r="L71" i="91"/>
  <c r="J71" i="91"/>
  <c r="B71" i="91"/>
  <c r="X70" i="91"/>
  <c r="Z70" i="91" s="1"/>
  <c r="N70" i="91"/>
  <c r="L70" i="91"/>
  <c r="B70" i="91"/>
  <c r="X69" i="91"/>
  <c r="V69" i="91"/>
  <c r="T69" i="91"/>
  <c r="Z69" i="91" s="1"/>
  <c r="P69" i="91"/>
  <c r="L69" i="91"/>
  <c r="H69" i="91"/>
  <c r="D69" i="91"/>
  <c r="B69" i="91"/>
  <c r="Z68" i="91"/>
  <c r="X68" i="91"/>
  <c r="L68" i="91"/>
  <c r="N68" i="91" s="1"/>
  <c r="B68" i="91"/>
  <c r="T67" i="91"/>
  <c r="P67" i="91"/>
  <c r="L67" i="91"/>
  <c r="J67" i="91"/>
  <c r="H67" i="91"/>
  <c r="D67" i="91"/>
  <c r="B67" i="91"/>
  <c r="X66" i="91"/>
  <c r="Z66" i="91" s="1"/>
  <c r="L66" i="91"/>
  <c r="N66" i="91" s="1"/>
  <c r="F66" i="91"/>
  <c r="B66" i="91"/>
  <c r="X65" i="91"/>
  <c r="Z65" i="91" s="1"/>
  <c r="L65" i="91"/>
  <c r="N65" i="91" s="1"/>
  <c r="B65" i="91"/>
  <c r="X64" i="91"/>
  <c r="Z64" i="91" s="1"/>
  <c r="N64" i="91"/>
  <c r="L64" i="91"/>
  <c r="B64" i="91"/>
  <c r="Z63" i="91"/>
  <c r="X63" i="91"/>
  <c r="N63" i="91"/>
  <c r="L63" i="91"/>
  <c r="F63" i="91"/>
  <c r="B63" i="91"/>
  <c r="X62" i="91"/>
  <c r="Z62" i="91" s="1"/>
  <c r="L62" i="91"/>
  <c r="N62" i="91" s="1"/>
  <c r="J62" i="91"/>
  <c r="B62" i="91"/>
  <c r="X61" i="91"/>
  <c r="T61" i="91"/>
  <c r="P61" i="91"/>
  <c r="H61" i="91"/>
  <c r="D61" i="91"/>
  <c r="L61" i="91" s="1"/>
  <c r="B61" i="91"/>
  <c r="X60" i="91"/>
  <c r="Z60" i="91" s="1"/>
  <c r="L60" i="91"/>
  <c r="N60" i="91" s="1"/>
  <c r="B60" i="91"/>
  <c r="X59" i="91"/>
  <c r="Z59" i="91" s="1"/>
  <c r="R59" i="91"/>
  <c r="N59" i="91"/>
  <c r="L59" i="91"/>
  <c r="J59" i="91"/>
  <c r="B59" i="91"/>
  <c r="X58" i="91"/>
  <c r="Z58" i="91" s="1"/>
  <c r="T58" i="91"/>
  <c r="P58" i="91"/>
  <c r="L58" i="91"/>
  <c r="N58" i="91" s="1"/>
  <c r="H58" i="91"/>
  <c r="D58" i="91"/>
  <c r="B58" i="91"/>
  <c r="X57" i="91"/>
  <c r="Z57" i="91" s="1"/>
  <c r="N57" i="91"/>
  <c r="L57" i="91"/>
  <c r="J57" i="91"/>
  <c r="B57" i="91"/>
  <c r="X56" i="91"/>
  <c r="T56" i="91"/>
  <c r="Z56" i="91" s="1"/>
  <c r="P56" i="91"/>
  <c r="J56" i="91"/>
  <c r="H56" i="91"/>
  <c r="N56" i="91" s="1"/>
  <c r="D56" i="91"/>
  <c r="B56" i="91"/>
  <c r="Z55" i="91"/>
  <c r="X55" i="91"/>
  <c r="L55" i="91"/>
  <c r="N55" i="91" s="1"/>
  <c r="F55" i="91"/>
  <c r="B55" i="91"/>
  <c r="X54" i="91"/>
  <c r="Z54" i="91" s="1"/>
  <c r="T54" i="91"/>
  <c r="P54" i="91"/>
  <c r="J54" i="91"/>
  <c r="H54" i="91"/>
  <c r="F54" i="91"/>
  <c r="D54" i="91"/>
  <c r="L54" i="91" s="1"/>
  <c r="N54" i="91" s="1"/>
  <c r="B54" i="91"/>
  <c r="Z53" i="91"/>
  <c r="X53" i="91"/>
  <c r="L53" i="91"/>
  <c r="N53" i="91" s="1"/>
  <c r="B53" i="91"/>
  <c r="Z52" i="91"/>
  <c r="X52" i="91"/>
  <c r="T52" i="91"/>
  <c r="P52" i="91"/>
  <c r="L52" i="91"/>
  <c r="N52" i="91" s="1"/>
  <c r="J52" i="91"/>
  <c r="H52" i="91"/>
  <c r="D52" i="91"/>
  <c r="B52" i="91"/>
  <c r="Z51" i="91"/>
  <c r="X51" i="91"/>
  <c r="N51" i="91"/>
  <c r="L51" i="91"/>
  <c r="F51" i="91"/>
  <c r="B51" i="91"/>
  <c r="V50" i="91"/>
  <c r="T50" i="91"/>
  <c r="Z50" i="91" s="1"/>
  <c r="P50" i="91"/>
  <c r="L50" i="91"/>
  <c r="H50" i="91"/>
  <c r="N50" i="91" s="1"/>
  <c r="F50" i="91"/>
  <c r="D50" i="91"/>
  <c r="B50" i="91"/>
  <c r="X49" i="91"/>
  <c r="Z49" i="91" s="1"/>
  <c r="V49" i="91"/>
  <c r="N49" i="91"/>
  <c r="L49" i="91"/>
  <c r="B49" i="91"/>
  <c r="Z48" i="91"/>
  <c r="T48" i="91"/>
  <c r="R48" i="91"/>
  <c r="P48" i="91"/>
  <c r="X48" i="91" s="1"/>
  <c r="L48" i="91"/>
  <c r="N48" i="91" s="1"/>
  <c r="H48" i="91"/>
  <c r="D48" i="91"/>
  <c r="B48" i="91"/>
  <c r="X47" i="91"/>
  <c r="Z47" i="91" s="1"/>
  <c r="N47" i="91"/>
  <c r="L47" i="91"/>
  <c r="J47" i="91"/>
  <c r="B47" i="91"/>
  <c r="X46" i="91"/>
  <c r="Z46" i="91" s="1"/>
  <c r="T46" i="91"/>
  <c r="P46" i="91"/>
  <c r="L46" i="91"/>
  <c r="N46" i="91" s="1"/>
  <c r="J46" i="91"/>
  <c r="H46" i="91"/>
  <c r="D46" i="91"/>
  <c r="B46" i="91"/>
  <c r="X45" i="91"/>
  <c r="Z45" i="91" s="1"/>
  <c r="N45" i="91"/>
  <c r="L45" i="91"/>
  <c r="J45" i="91"/>
  <c r="B45" i="91"/>
  <c r="T44" i="91"/>
  <c r="P44" i="91"/>
  <c r="J44" i="91"/>
  <c r="H44" i="91"/>
  <c r="N44" i="91" s="1"/>
  <c r="D44" i="91"/>
  <c r="L44" i="91" s="1"/>
  <c r="B44" i="91"/>
  <c r="Z43" i="91"/>
  <c r="X43" i="91"/>
  <c r="R43" i="91"/>
  <c r="L43" i="91"/>
  <c r="N43" i="91" s="1"/>
  <c r="F43" i="91"/>
  <c r="B43" i="91"/>
  <c r="X42" i="91"/>
  <c r="Z42" i="91" s="1"/>
  <c r="L42" i="91"/>
  <c r="N42" i="91" s="1"/>
  <c r="J42" i="91"/>
  <c r="B42" i="91"/>
  <c r="X41" i="91"/>
  <c r="Z41" i="91" s="1"/>
  <c r="V41" i="91"/>
  <c r="N41" i="91"/>
  <c r="L41" i="91"/>
  <c r="B41" i="91"/>
  <c r="T40" i="91"/>
  <c r="R40" i="91"/>
  <c r="P40" i="91"/>
  <c r="X40" i="91" s="1"/>
  <c r="Z40" i="91" s="1"/>
  <c r="L40" i="91"/>
  <c r="N40" i="91" s="1"/>
  <c r="H40" i="91"/>
  <c r="D40" i="91"/>
  <c r="B40" i="91"/>
  <c r="Z39" i="91"/>
  <c r="X39" i="91"/>
  <c r="N39" i="91"/>
  <c r="L39" i="91"/>
  <c r="J39" i="91"/>
  <c r="B39" i="91"/>
  <c r="Z38" i="91"/>
  <c r="X38" i="91"/>
  <c r="V38" i="91"/>
  <c r="T38" i="91"/>
  <c r="P38" i="91"/>
  <c r="N38" i="91"/>
  <c r="L38" i="91"/>
  <c r="J38" i="91"/>
  <c r="H38" i="91"/>
  <c r="D38" i="91"/>
  <c r="B38" i="91"/>
  <c r="X37" i="91"/>
  <c r="Z37" i="91" s="1"/>
  <c r="L37" i="91"/>
  <c r="N37" i="91" s="1"/>
  <c r="J37" i="91"/>
  <c r="B37" i="91"/>
  <c r="T36" i="91"/>
  <c r="R36" i="91"/>
  <c r="P36" i="91"/>
  <c r="J36" i="91"/>
  <c r="H36" i="91"/>
  <c r="D36" i="91"/>
  <c r="L36" i="91" s="1"/>
  <c r="B36" i="91"/>
  <c r="Z35" i="91"/>
  <c r="X35" i="91"/>
  <c r="L35" i="91"/>
  <c r="N35" i="91" s="1"/>
  <c r="F35" i="91"/>
  <c r="B35" i="91"/>
  <c r="X34" i="91"/>
  <c r="Z34" i="91" s="1"/>
  <c r="N34" i="91"/>
  <c r="L34" i="91"/>
  <c r="J34" i="91"/>
  <c r="B34" i="91"/>
  <c r="X33" i="91"/>
  <c r="Z33" i="91" s="1"/>
  <c r="V33" i="91"/>
  <c r="N33" i="91"/>
  <c r="L33" i="91"/>
  <c r="J33" i="91"/>
  <c r="B33" i="91"/>
  <c r="Z32" i="91"/>
  <c r="X32" i="91"/>
  <c r="N32" i="91"/>
  <c r="L32" i="91"/>
  <c r="J32" i="91"/>
  <c r="F32" i="91"/>
  <c r="B32" i="91"/>
  <c r="Z31" i="91"/>
  <c r="X31" i="91"/>
  <c r="L31" i="91"/>
  <c r="N31" i="91" s="1"/>
  <c r="F31" i="91"/>
  <c r="B31" i="91"/>
  <c r="X30" i="91"/>
  <c r="Z30" i="91" s="1"/>
  <c r="L30" i="91"/>
  <c r="N30" i="91" s="1"/>
  <c r="J30" i="91"/>
  <c r="B30" i="91"/>
  <c r="X29" i="91"/>
  <c r="T29" i="91"/>
  <c r="P29" i="91"/>
  <c r="J29" i="91"/>
  <c r="H29" i="91"/>
  <c r="D29" i="91"/>
  <c r="L29" i="91" s="1"/>
  <c r="B29" i="91"/>
  <c r="X28" i="91"/>
  <c r="Z28" i="91" s="1"/>
  <c r="L28" i="91"/>
  <c r="N28" i="91" s="1"/>
  <c r="J28" i="91"/>
  <c r="B28" i="91"/>
  <c r="X27" i="91"/>
  <c r="Z27" i="91" s="1"/>
  <c r="R27" i="91"/>
  <c r="N27" i="91"/>
  <c r="L27" i="91"/>
  <c r="J27" i="91"/>
  <c r="B27" i="91"/>
  <c r="X26" i="91"/>
  <c r="Z26" i="91" s="1"/>
  <c r="V26" i="91"/>
  <c r="N26" i="91"/>
  <c r="L26" i="91"/>
  <c r="J26" i="91"/>
  <c r="F26" i="91"/>
  <c r="B26" i="91"/>
  <c r="Z25" i="91"/>
  <c r="X25" i="91"/>
  <c r="L25" i="91"/>
  <c r="N25" i="91" s="1"/>
  <c r="F25" i="91"/>
  <c r="B25" i="91"/>
  <c r="X24" i="91"/>
  <c r="Z24" i="91" s="1"/>
  <c r="L24" i="91"/>
  <c r="N24" i="91" s="1"/>
  <c r="J24" i="91"/>
  <c r="F24" i="91"/>
  <c r="B24" i="91"/>
  <c r="X23" i="91"/>
  <c r="Z23" i="91" s="1"/>
  <c r="R23" i="91"/>
  <c r="N23" i="91"/>
  <c r="L23" i="91"/>
  <c r="J23" i="91"/>
  <c r="B23" i="91"/>
  <c r="X22" i="91"/>
  <c r="Z22" i="91" s="1"/>
  <c r="V22" i="91"/>
  <c r="N22" i="91"/>
  <c r="L22" i="91"/>
  <c r="J22" i="91"/>
  <c r="F22" i="91"/>
  <c r="B22" i="91"/>
  <c r="Z21" i="91"/>
  <c r="X21" i="91"/>
  <c r="L21" i="91"/>
  <c r="N21" i="91" s="1"/>
  <c r="F21" i="91"/>
  <c r="B21" i="91"/>
  <c r="X20" i="91"/>
  <c r="Z20" i="91" s="1"/>
  <c r="L20" i="91"/>
  <c r="N20" i="91" s="1"/>
  <c r="J20" i="91"/>
  <c r="F20" i="91"/>
  <c r="B20" i="91"/>
  <c r="T19" i="91"/>
  <c r="R19" i="91"/>
  <c r="P19" i="91"/>
  <c r="J19" i="91"/>
  <c r="H19" i="91"/>
  <c r="F19" i="91"/>
  <c r="D19" i="91"/>
  <c r="L19" i="91" s="1"/>
  <c r="N19" i="91" s="1"/>
  <c r="B19" i="91"/>
  <c r="T18" i="91"/>
  <c r="P18" i="91"/>
  <c r="J18" i="91"/>
  <c r="H18" i="91"/>
  <c r="F18" i="91"/>
  <c r="D18" i="91"/>
  <c r="Z16" i="91"/>
  <c r="V16" i="91"/>
  <c r="T16" i="91"/>
  <c r="P16" i="91"/>
  <c r="J16" i="91"/>
  <c r="F16" i="91"/>
  <c r="V14" i="91"/>
  <c r="T14" i="91"/>
  <c r="Z14" i="91" s="1"/>
  <c r="P14" i="91"/>
  <c r="J14" i="91"/>
  <c r="H14" i="91"/>
  <c r="H16" i="91" s="1"/>
  <c r="F14" i="91"/>
  <c r="D14" i="91"/>
  <c r="Z12" i="91"/>
  <c r="T12" i="91"/>
  <c r="V88" i="91" s="1"/>
  <c r="P12" i="91"/>
  <c r="N12" i="91"/>
  <c r="L12" i="91"/>
  <c r="H12" i="91"/>
  <c r="J49" i="91" s="1"/>
  <c r="D12" i="91"/>
  <c r="F93" i="91" s="1"/>
  <c r="D6" i="91"/>
  <c r="D4" i="91"/>
  <c r="Z73" i="88"/>
  <c r="X73" i="88"/>
  <c r="N73" i="88"/>
  <c r="L73" i="88"/>
  <c r="T69" i="88"/>
  <c r="P69" i="88"/>
  <c r="N69" i="88"/>
  <c r="H69" i="88"/>
  <c r="D69" i="88"/>
  <c r="L69" i="88" s="1"/>
  <c r="X67" i="88"/>
  <c r="Z67" i="88" s="1"/>
  <c r="N67" i="88"/>
  <c r="L67" i="88"/>
  <c r="B67" i="88"/>
  <c r="X66" i="88"/>
  <c r="Z66" i="88" s="1"/>
  <c r="T66" i="88"/>
  <c r="P66" i="88"/>
  <c r="N66" i="88"/>
  <c r="H66" i="88"/>
  <c r="D66" i="88"/>
  <c r="L66" i="88" s="1"/>
  <c r="B66" i="88"/>
  <c r="X65" i="88"/>
  <c r="Z65" i="88" s="1"/>
  <c r="L65" i="88"/>
  <c r="N65" i="88" s="1"/>
  <c r="B65" i="88"/>
  <c r="T64" i="88"/>
  <c r="X64" i="88" s="1"/>
  <c r="P64" i="88"/>
  <c r="H64" i="88"/>
  <c r="D64" i="88"/>
  <c r="L64" i="88" s="1"/>
  <c r="B64" i="88"/>
  <c r="X63" i="88"/>
  <c r="Z63" i="88" s="1"/>
  <c r="N63" i="88"/>
  <c r="L63" i="88"/>
  <c r="B63" i="88"/>
  <c r="X62" i="88"/>
  <c r="Z62" i="88" s="1"/>
  <c r="N62" i="88"/>
  <c r="L62" i="88"/>
  <c r="B62" i="88"/>
  <c r="X61" i="88"/>
  <c r="Z61" i="88" s="1"/>
  <c r="N61" i="88"/>
  <c r="L61" i="88"/>
  <c r="B61" i="88"/>
  <c r="Z60" i="88"/>
  <c r="X60" i="88"/>
  <c r="N60" i="88"/>
  <c r="L60" i="88"/>
  <c r="B60" i="88"/>
  <c r="Z59" i="88"/>
  <c r="X59" i="88"/>
  <c r="L59" i="88"/>
  <c r="N59" i="88" s="1"/>
  <c r="B59" i="88"/>
  <c r="T58" i="88"/>
  <c r="P58" i="88"/>
  <c r="X58" i="88" s="1"/>
  <c r="N58" i="88"/>
  <c r="H58" i="88"/>
  <c r="D58" i="88"/>
  <c r="L58" i="88" s="1"/>
  <c r="B58" i="88"/>
  <c r="Z57" i="88"/>
  <c r="X57" i="88"/>
  <c r="N57" i="88"/>
  <c r="L57" i="88"/>
  <c r="B57" i="88"/>
  <c r="Z56" i="88"/>
  <c r="X56" i="88"/>
  <c r="T56" i="88"/>
  <c r="P56" i="88"/>
  <c r="N56" i="88"/>
  <c r="L56" i="88"/>
  <c r="H56" i="88"/>
  <c r="D56" i="88"/>
  <c r="B56" i="88"/>
  <c r="Z55" i="88"/>
  <c r="X55" i="88"/>
  <c r="N55" i="88"/>
  <c r="L55" i="88"/>
  <c r="B55" i="88"/>
  <c r="Z54" i="88"/>
  <c r="X54" i="88"/>
  <c r="L54" i="88"/>
  <c r="N54" i="88" s="1"/>
  <c r="B54" i="88"/>
  <c r="X53" i="88"/>
  <c r="Z53" i="88" s="1"/>
  <c r="N53" i="88"/>
  <c r="L53" i="88"/>
  <c r="B53" i="88"/>
  <c r="X52" i="88"/>
  <c r="Z52" i="88" s="1"/>
  <c r="T52" i="88"/>
  <c r="P52" i="88"/>
  <c r="H52" i="88"/>
  <c r="D52" i="88"/>
  <c r="L52" i="88" s="1"/>
  <c r="N52" i="88" s="1"/>
  <c r="B52" i="88"/>
  <c r="X51" i="88"/>
  <c r="Z51" i="88" s="1"/>
  <c r="N51" i="88"/>
  <c r="L51" i="88"/>
  <c r="B51" i="88"/>
  <c r="T50" i="88"/>
  <c r="P50" i="88"/>
  <c r="X50" i="88" s="1"/>
  <c r="H50" i="88"/>
  <c r="N50" i="88" s="1"/>
  <c r="D50" i="88"/>
  <c r="B50" i="88"/>
  <c r="X49" i="88"/>
  <c r="Z49" i="88" s="1"/>
  <c r="L49" i="88"/>
  <c r="N49" i="88" s="1"/>
  <c r="B49" i="88"/>
  <c r="T48" i="88"/>
  <c r="P48" i="88"/>
  <c r="X48" i="88" s="1"/>
  <c r="Z48" i="88" s="1"/>
  <c r="L48" i="88"/>
  <c r="N48" i="88" s="1"/>
  <c r="H48" i="88"/>
  <c r="D48" i="88"/>
  <c r="B48" i="88"/>
  <c r="Z47" i="88"/>
  <c r="X47" i="88"/>
  <c r="L47" i="88"/>
  <c r="N47" i="88" s="1"/>
  <c r="B47" i="88"/>
  <c r="Z46" i="88"/>
  <c r="T46" i="88"/>
  <c r="X46" i="88" s="1"/>
  <c r="P46" i="88"/>
  <c r="H46" i="88"/>
  <c r="D46" i="88"/>
  <c r="L46" i="88" s="1"/>
  <c r="N46" i="88" s="1"/>
  <c r="B46" i="88"/>
  <c r="Z45" i="88"/>
  <c r="X45" i="88"/>
  <c r="N45" i="88"/>
  <c r="L45" i="88"/>
  <c r="B45" i="88"/>
  <c r="X44" i="88"/>
  <c r="T44" i="88"/>
  <c r="Z44" i="88" s="1"/>
  <c r="R44" i="88"/>
  <c r="P44" i="88"/>
  <c r="L44" i="88"/>
  <c r="H44" i="88"/>
  <c r="N44" i="88" s="1"/>
  <c r="D44" i="88"/>
  <c r="B44" i="88"/>
  <c r="Z43" i="88"/>
  <c r="X43" i="88"/>
  <c r="R43" i="88"/>
  <c r="N43" i="88"/>
  <c r="L43" i="88"/>
  <c r="B43" i="88"/>
  <c r="T42" i="88"/>
  <c r="P42" i="88"/>
  <c r="X42" i="88" s="1"/>
  <c r="N42" i="88"/>
  <c r="H42" i="88"/>
  <c r="D42" i="88"/>
  <c r="L42" i="88" s="1"/>
  <c r="B42" i="88"/>
  <c r="X41" i="88"/>
  <c r="Z41" i="88" s="1"/>
  <c r="L41" i="88"/>
  <c r="N41" i="88" s="1"/>
  <c r="B41" i="88"/>
  <c r="T40" i="88"/>
  <c r="P40" i="88"/>
  <c r="X40" i="88" s="1"/>
  <c r="H40" i="88"/>
  <c r="D40" i="88"/>
  <c r="L40" i="88" s="1"/>
  <c r="N40" i="88" s="1"/>
  <c r="B40" i="88"/>
  <c r="Z39" i="88"/>
  <c r="X39" i="88"/>
  <c r="N39" i="88"/>
  <c r="L39" i="88"/>
  <c r="B39" i="88"/>
  <c r="X38" i="88"/>
  <c r="T38" i="88"/>
  <c r="Z38" i="88" s="1"/>
  <c r="P38" i="88"/>
  <c r="L38" i="88"/>
  <c r="H38" i="88"/>
  <c r="N38" i="88" s="1"/>
  <c r="D38" i="88"/>
  <c r="B38" i="88"/>
  <c r="Z37" i="88"/>
  <c r="X37" i="88"/>
  <c r="L37" i="88"/>
  <c r="N37" i="88" s="1"/>
  <c r="B37" i="88"/>
  <c r="Z36" i="88"/>
  <c r="X36" i="88"/>
  <c r="R36" i="88"/>
  <c r="L36" i="88"/>
  <c r="N36" i="88" s="1"/>
  <c r="B36" i="88"/>
  <c r="Z35" i="88"/>
  <c r="X35" i="88"/>
  <c r="R35" i="88"/>
  <c r="N35" i="88"/>
  <c r="L35" i="88"/>
  <c r="B35" i="88"/>
  <c r="Z34" i="88"/>
  <c r="X34" i="88"/>
  <c r="L34" i="88"/>
  <c r="N34" i="88" s="1"/>
  <c r="B34" i="88"/>
  <c r="Z33" i="88"/>
  <c r="X33" i="88"/>
  <c r="L33" i="88"/>
  <c r="N33" i="88" s="1"/>
  <c r="B33" i="88"/>
  <c r="Z32" i="88"/>
  <c r="T32" i="88"/>
  <c r="P32" i="88"/>
  <c r="X32" i="88" s="1"/>
  <c r="H32" i="88"/>
  <c r="N32" i="88" s="1"/>
  <c r="D32" i="88"/>
  <c r="L32" i="88" s="1"/>
  <c r="B32" i="88"/>
  <c r="Z31" i="88"/>
  <c r="X31" i="88"/>
  <c r="N31" i="88"/>
  <c r="L31" i="88"/>
  <c r="B31" i="88"/>
  <c r="X30" i="88"/>
  <c r="Z30" i="88" s="1"/>
  <c r="L30" i="88"/>
  <c r="N30" i="88" s="1"/>
  <c r="B30" i="88"/>
  <c r="X29" i="88"/>
  <c r="Z29" i="88" s="1"/>
  <c r="L29" i="88"/>
  <c r="N29" i="88" s="1"/>
  <c r="B29" i="88"/>
  <c r="X28" i="88"/>
  <c r="Z28" i="88" s="1"/>
  <c r="L28" i="88"/>
  <c r="N28" i="88" s="1"/>
  <c r="B28" i="88"/>
  <c r="Z27" i="88"/>
  <c r="X27" i="88"/>
  <c r="N27" i="88"/>
  <c r="L27" i="88"/>
  <c r="B27" i="88"/>
  <c r="X26" i="88"/>
  <c r="Z26" i="88" s="1"/>
  <c r="V26" i="88"/>
  <c r="L26" i="88"/>
  <c r="N26" i="88" s="1"/>
  <c r="B26" i="88"/>
  <c r="X25" i="88"/>
  <c r="Z25" i="88" s="1"/>
  <c r="L25" i="88"/>
  <c r="N25" i="88" s="1"/>
  <c r="B25" i="88"/>
  <c r="X24" i="88"/>
  <c r="Z24" i="88" s="1"/>
  <c r="L24" i="88"/>
  <c r="N24" i="88" s="1"/>
  <c r="B24" i="88"/>
  <c r="T23" i="88"/>
  <c r="P23" i="88"/>
  <c r="X23" i="88" s="1"/>
  <c r="Z23" i="88" s="1"/>
  <c r="H23" i="88"/>
  <c r="D23" i="88"/>
  <c r="L23" i="88" s="1"/>
  <c r="B23" i="88"/>
  <c r="X22" i="88"/>
  <c r="T22" i="88"/>
  <c r="Z22" i="88" s="1"/>
  <c r="P22" i="88"/>
  <c r="L22" i="88"/>
  <c r="H22" i="88"/>
  <c r="N22" i="88" s="1"/>
  <c r="D22" i="88"/>
  <c r="X18" i="88"/>
  <c r="Z18" i="88" s="1"/>
  <c r="N18" i="88"/>
  <c r="L18" i="88"/>
  <c r="B18" i="88"/>
  <c r="X17" i="88"/>
  <c r="Z17" i="88" s="1"/>
  <c r="N17" i="88"/>
  <c r="L17" i="88"/>
  <c r="B17" i="88"/>
  <c r="X16" i="88"/>
  <c r="T16" i="88"/>
  <c r="Z16" i="88" s="1"/>
  <c r="R16" i="88"/>
  <c r="P16" i="88"/>
  <c r="L16" i="88"/>
  <c r="H16" i="88"/>
  <c r="N16" i="88" s="1"/>
  <c r="D16" i="88"/>
  <c r="X14" i="88"/>
  <c r="T14" i="88"/>
  <c r="Z14" i="88" s="1"/>
  <c r="P14" i="88"/>
  <c r="H14" i="88"/>
  <c r="D14" i="88"/>
  <c r="L14" i="88" s="1"/>
  <c r="N14" i="88" s="1"/>
  <c r="B14" i="88"/>
  <c r="Z13" i="88"/>
  <c r="X13" i="88"/>
  <c r="T13" i="88"/>
  <c r="T12" i="88" s="1"/>
  <c r="P13" i="88"/>
  <c r="H13" i="88"/>
  <c r="H12" i="88" s="1"/>
  <c r="D13" i="88"/>
  <c r="B13" i="88"/>
  <c r="P12" i="88"/>
  <c r="R78" i="88" s="1"/>
  <c r="D6" i="88"/>
  <c r="D4" i="88"/>
  <c r="Z85" i="87"/>
  <c r="X85" i="87"/>
  <c r="L85" i="87"/>
  <c r="N85" i="87" s="1"/>
  <c r="X81" i="87"/>
  <c r="T81" i="87"/>
  <c r="Z81" i="87" s="1"/>
  <c r="P81" i="87"/>
  <c r="L81" i="87"/>
  <c r="H81" i="87"/>
  <c r="N81" i="87" s="1"/>
  <c r="D81" i="87"/>
  <c r="X79" i="87"/>
  <c r="Z79" i="87" s="1"/>
  <c r="N79" i="87"/>
  <c r="L79" i="87"/>
  <c r="B79" i="87"/>
  <c r="Z78" i="87"/>
  <c r="X78" i="87"/>
  <c r="T78" i="87"/>
  <c r="P78" i="87"/>
  <c r="L78" i="87"/>
  <c r="N78" i="87" s="1"/>
  <c r="H78" i="87"/>
  <c r="D78" i="87"/>
  <c r="B78" i="87"/>
  <c r="Z77" i="87"/>
  <c r="X77" i="87"/>
  <c r="N77" i="87"/>
  <c r="L77" i="87"/>
  <c r="B77" i="87"/>
  <c r="T76" i="87"/>
  <c r="P76" i="87"/>
  <c r="X76" i="87" s="1"/>
  <c r="Z76" i="87" s="1"/>
  <c r="H76" i="87"/>
  <c r="D76" i="87"/>
  <c r="B76" i="87"/>
  <c r="X75" i="87"/>
  <c r="Z75" i="87" s="1"/>
  <c r="L75" i="87"/>
  <c r="N75" i="87" s="1"/>
  <c r="B75" i="87"/>
  <c r="T74" i="87"/>
  <c r="P74" i="87"/>
  <c r="X74" i="87" s="1"/>
  <c r="Z74" i="87" s="1"/>
  <c r="H74" i="87"/>
  <c r="N74" i="87" s="1"/>
  <c r="D74" i="87"/>
  <c r="L74" i="87" s="1"/>
  <c r="B74" i="87"/>
  <c r="X73" i="87"/>
  <c r="Z73" i="87" s="1"/>
  <c r="N73" i="87"/>
  <c r="L73" i="87"/>
  <c r="B73" i="87"/>
  <c r="X72" i="87"/>
  <c r="Z72" i="87" s="1"/>
  <c r="N72" i="87"/>
  <c r="L72" i="87"/>
  <c r="B72" i="87"/>
  <c r="X71" i="87"/>
  <c r="Z71" i="87" s="1"/>
  <c r="N71" i="87"/>
  <c r="L71" i="87"/>
  <c r="B71" i="87"/>
  <c r="Z70" i="87"/>
  <c r="X70" i="87"/>
  <c r="N70" i="87"/>
  <c r="L70" i="87"/>
  <c r="B70" i="87"/>
  <c r="X69" i="87"/>
  <c r="Z69" i="87" s="1"/>
  <c r="N69" i="87"/>
  <c r="L69" i="87"/>
  <c r="B69" i="87"/>
  <c r="X68" i="87"/>
  <c r="Z68" i="87" s="1"/>
  <c r="N68" i="87"/>
  <c r="L68" i="87"/>
  <c r="B68" i="87"/>
  <c r="X67" i="87"/>
  <c r="Z67" i="87" s="1"/>
  <c r="N67" i="87"/>
  <c r="L67" i="87"/>
  <c r="B67" i="87"/>
  <c r="Z66" i="87"/>
  <c r="X66" i="87"/>
  <c r="T66" i="87"/>
  <c r="P66" i="87"/>
  <c r="L66" i="87"/>
  <c r="N66" i="87" s="1"/>
  <c r="H66" i="87"/>
  <c r="D66" i="87"/>
  <c r="B66" i="87"/>
  <c r="Z65" i="87"/>
  <c r="X65" i="87"/>
  <c r="N65" i="87"/>
  <c r="L65" i="87"/>
  <c r="J65" i="87"/>
  <c r="B65" i="87"/>
  <c r="Z64" i="87"/>
  <c r="X64" i="87"/>
  <c r="N64" i="87"/>
  <c r="L64" i="87"/>
  <c r="B64" i="87"/>
  <c r="T63" i="87"/>
  <c r="P63" i="87"/>
  <c r="X63" i="87" s="1"/>
  <c r="Z63" i="87" s="1"/>
  <c r="H63" i="87"/>
  <c r="N63" i="87" s="1"/>
  <c r="D63" i="87"/>
  <c r="L63" i="87" s="1"/>
  <c r="B63" i="87"/>
  <c r="Z62" i="87"/>
  <c r="X62" i="87"/>
  <c r="N62" i="87"/>
  <c r="L62" i="87"/>
  <c r="B62" i="87"/>
  <c r="X61" i="87"/>
  <c r="Z61" i="87" s="1"/>
  <c r="L61" i="87"/>
  <c r="N61" i="87" s="1"/>
  <c r="B61" i="87"/>
  <c r="Z60" i="87"/>
  <c r="X60" i="87"/>
  <c r="L60" i="87"/>
  <c r="N60" i="87" s="1"/>
  <c r="B60" i="87"/>
  <c r="X59" i="87"/>
  <c r="T59" i="87"/>
  <c r="Z59" i="87" s="1"/>
  <c r="P59" i="87"/>
  <c r="H59" i="87"/>
  <c r="N59" i="87" s="1"/>
  <c r="D59" i="87"/>
  <c r="L59" i="87" s="1"/>
  <c r="B59" i="87"/>
  <c r="Z58" i="87"/>
  <c r="X58" i="87"/>
  <c r="N58" i="87"/>
  <c r="L58" i="87"/>
  <c r="B58" i="87"/>
  <c r="X57" i="87"/>
  <c r="T57" i="87"/>
  <c r="Z57" i="87" s="1"/>
  <c r="P57" i="87"/>
  <c r="L57" i="87"/>
  <c r="H57" i="87"/>
  <c r="N57" i="87" s="1"/>
  <c r="D57" i="87"/>
  <c r="B57" i="87"/>
  <c r="Z56" i="87"/>
  <c r="X56" i="87"/>
  <c r="N56" i="87"/>
  <c r="L56" i="87"/>
  <c r="B56" i="87"/>
  <c r="Z55" i="87"/>
  <c r="X55" i="87"/>
  <c r="L55" i="87"/>
  <c r="N55" i="87" s="1"/>
  <c r="B55" i="87"/>
  <c r="T54" i="87"/>
  <c r="P54" i="87"/>
  <c r="N54" i="87"/>
  <c r="H54" i="87"/>
  <c r="D54" i="87"/>
  <c r="L54" i="87" s="1"/>
  <c r="B54" i="87"/>
  <c r="X53" i="87"/>
  <c r="Z53" i="87" s="1"/>
  <c r="L53" i="87"/>
  <c r="N53" i="87" s="1"/>
  <c r="B53" i="87"/>
  <c r="T52" i="87"/>
  <c r="P52" i="87"/>
  <c r="X52" i="87" s="1"/>
  <c r="Z52" i="87" s="1"/>
  <c r="J52" i="87"/>
  <c r="H52" i="87"/>
  <c r="D52" i="87"/>
  <c r="L52" i="87" s="1"/>
  <c r="N52" i="87" s="1"/>
  <c r="B52" i="87"/>
  <c r="X51" i="87"/>
  <c r="Z51" i="87" s="1"/>
  <c r="N51" i="87"/>
  <c r="L51" i="87"/>
  <c r="B51" i="87"/>
  <c r="Z50" i="87"/>
  <c r="X50" i="87"/>
  <c r="T50" i="87"/>
  <c r="P50" i="87"/>
  <c r="L50" i="87"/>
  <c r="N50" i="87" s="1"/>
  <c r="H50" i="87"/>
  <c r="D50" i="87"/>
  <c r="B50" i="87"/>
  <c r="Z49" i="87"/>
  <c r="X49" i="87"/>
  <c r="L49" i="87"/>
  <c r="N49" i="87" s="1"/>
  <c r="B49" i="87"/>
  <c r="Z48" i="87"/>
  <c r="T48" i="87"/>
  <c r="P48" i="87"/>
  <c r="X48" i="87" s="1"/>
  <c r="H48" i="87"/>
  <c r="D48" i="87"/>
  <c r="B48" i="87"/>
  <c r="X47" i="87"/>
  <c r="Z47" i="87" s="1"/>
  <c r="N47" i="87"/>
  <c r="L47" i="87"/>
  <c r="B47" i="87"/>
  <c r="T46" i="87"/>
  <c r="P46" i="87"/>
  <c r="X46" i="87" s="1"/>
  <c r="Z46" i="87" s="1"/>
  <c r="N46" i="87"/>
  <c r="H46" i="87"/>
  <c r="D46" i="87"/>
  <c r="L46" i="87" s="1"/>
  <c r="B46" i="87"/>
  <c r="X45" i="87"/>
  <c r="Z45" i="87" s="1"/>
  <c r="N45" i="87"/>
  <c r="L45" i="87"/>
  <c r="B45" i="87"/>
  <c r="X44" i="87"/>
  <c r="Z44" i="87" s="1"/>
  <c r="N44" i="87"/>
  <c r="L44" i="87"/>
  <c r="B44" i="87"/>
  <c r="X43" i="87"/>
  <c r="T43" i="87"/>
  <c r="Z43" i="87" s="1"/>
  <c r="R43" i="87"/>
  <c r="P43" i="87"/>
  <c r="L43" i="87"/>
  <c r="H43" i="87"/>
  <c r="D43" i="87"/>
  <c r="B43" i="87"/>
  <c r="Z42" i="87"/>
  <c r="X42" i="87"/>
  <c r="N42" i="87"/>
  <c r="L42" i="87"/>
  <c r="B42" i="87"/>
  <c r="T41" i="87"/>
  <c r="P41" i="87"/>
  <c r="X41" i="87" s="1"/>
  <c r="H41" i="87"/>
  <c r="D41" i="87"/>
  <c r="L41" i="87" s="1"/>
  <c r="N41" i="87" s="1"/>
  <c r="B41" i="87"/>
  <c r="Z40" i="87"/>
  <c r="X40" i="87"/>
  <c r="L40" i="87"/>
  <c r="N40" i="87" s="1"/>
  <c r="B40" i="87"/>
  <c r="X39" i="87"/>
  <c r="T39" i="87"/>
  <c r="Z39" i="87" s="1"/>
  <c r="P39" i="87"/>
  <c r="H39" i="87"/>
  <c r="N39" i="87" s="1"/>
  <c r="D39" i="87"/>
  <c r="L39" i="87" s="1"/>
  <c r="B39" i="87"/>
  <c r="Z38" i="87"/>
  <c r="X38" i="87"/>
  <c r="N38" i="87"/>
  <c r="L38" i="87"/>
  <c r="B38" i="87"/>
  <c r="X37" i="87"/>
  <c r="T37" i="87"/>
  <c r="P37" i="87"/>
  <c r="L37" i="87"/>
  <c r="H37" i="87"/>
  <c r="N37" i="87" s="1"/>
  <c r="D37" i="87"/>
  <c r="B37" i="87"/>
  <c r="Z36" i="87"/>
  <c r="X36" i="87"/>
  <c r="V36" i="87"/>
  <c r="N36" i="87"/>
  <c r="L36" i="87"/>
  <c r="B36" i="87"/>
  <c r="Z35" i="87"/>
  <c r="X35" i="87"/>
  <c r="L35" i="87"/>
  <c r="N35" i="87" s="1"/>
  <c r="B35" i="87"/>
  <c r="Z34" i="87"/>
  <c r="X34" i="87"/>
  <c r="R34" i="87"/>
  <c r="N34" i="87"/>
  <c r="L34" i="87"/>
  <c r="J34" i="87"/>
  <c r="B34" i="87"/>
  <c r="Z33" i="87"/>
  <c r="X33" i="87"/>
  <c r="L33" i="87"/>
  <c r="N33" i="87" s="1"/>
  <c r="J33" i="87"/>
  <c r="B33" i="87"/>
  <c r="T32" i="87"/>
  <c r="P32" i="87"/>
  <c r="X32" i="87" s="1"/>
  <c r="Z32" i="87" s="1"/>
  <c r="H32" i="87"/>
  <c r="D32" i="87"/>
  <c r="B32" i="87"/>
  <c r="X31" i="87"/>
  <c r="Z31" i="87" s="1"/>
  <c r="L31" i="87"/>
  <c r="N31" i="87" s="1"/>
  <c r="B31" i="87"/>
  <c r="Z30" i="87"/>
  <c r="X30" i="87"/>
  <c r="N30" i="87"/>
  <c r="L30" i="87"/>
  <c r="B30" i="87"/>
  <c r="X29" i="87"/>
  <c r="Z29" i="87" s="1"/>
  <c r="V29" i="87"/>
  <c r="L29" i="87"/>
  <c r="N29" i="87" s="1"/>
  <c r="B29" i="87"/>
  <c r="Z28" i="87"/>
  <c r="X28" i="87"/>
  <c r="L28" i="87"/>
  <c r="N28" i="87" s="1"/>
  <c r="B28" i="87"/>
  <c r="X27" i="87"/>
  <c r="Z27" i="87" s="1"/>
  <c r="L27" i="87"/>
  <c r="N27" i="87" s="1"/>
  <c r="B27" i="87"/>
  <c r="Z26" i="87"/>
  <c r="X26" i="87"/>
  <c r="N26" i="87"/>
  <c r="L26" i="87"/>
  <c r="B26" i="87"/>
  <c r="X25" i="87"/>
  <c r="Z25" i="87" s="1"/>
  <c r="L25" i="87"/>
  <c r="N25" i="87" s="1"/>
  <c r="B25" i="87"/>
  <c r="Z24" i="87"/>
  <c r="X24" i="87"/>
  <c r="L24" i="87"/>
  <c r="N24" i="87" s="1"/>
  <c r="B24" i="87"/>
  <c r="T23" i="87"/>
  <c r="P23" i="87"/>
  <c r="X23" i="87" s="1"/>
  <c r="H23" i="87"/>
  <c r="D23" i="87"/>
  <c r="L23" i="87" s="1"/>
  <c r="B23" i="87"/>
  <c r="Z22" i="87"/>
  <c r="X22" i="87"/>
  <c r="T22" i="87"/>
  <c r="R22" i="87"/>
  <c r="P22" i="87"/>
  <c r="L22" i="87"/>
  <c r="N22" i="87" s="1"/>
  <c r="H22" i="87"/>
  <c r="D22" i="87"/>
  <c r="R20" i="87"/>
  <c r="Z18" i="87"/>
  <c r="X18" i="87"/>
  <c r="N18" i="87"/>
  <c r="L18" i="87"/>
  <c r="B18" i="87"/>
  <c r="X17" i="87"/>
  <c r="Z17" i="87" s="1"/>
  <c r="N17" i="87"/>
  <c r="L17" i="87"/>
  <c r="B17" i="87"/>
  <c r="X16" i="87"/>
  <c r="Z16" i="87" s="1"/>
  <c r="T16" i="87"/>
  <c r="R16" i="87"/>
  <c r="P16" i="87"/>
  <c r="L16" i="87"/>
  <c r="N16" i="87" s="1"/>
  <c r="H16" i="87"/>
  <c r="D16" i="87"/>
  <c r="X14" i="87"/>
  <c r="Z14" i="87" s="1"/>
  <c r="T14" i="87"/>
  <c r="P14" i="87"/>
  <c r="N14" i="87"/>
  <c r="H14" i="87"/>
  <c r="H12" i="87" s="1"/>
  <c r="J39" i="87" s="1"/>
  <c r="D14" i="87"/>
  <c r="L14" i="87" s="1"/>
  <c r="B14" i="87"/>
  <c r="X13" i="87"/>
  <c r="T13" i="87"/>
  <c r="T12" i="87" s="1"/>
  <c r="V28" i="87" s="1"/>
  <c r="P13" i="87"/>
  <c r="P12" i="87" s="1"/>
  <c r="R55" i="87" s="1"/>
  <c r="H13" i="87"/>
  <c r="D13" i="87"/>
  <c r="L13" i="87" s="1"/>
  <c r="N13" i="87" s="1"/>
  <c r="B13" i="87"/>
  <c r="X12" i="87"/>
  <c r="D6" i="87"/>
  <c r="D4" i="87"/>
  <c r="X32" i="85"/>
  <c r="Z32" i="85" s="1"/>
  <c r="N32" i="85"/>
  <c r="L32" i="85"/>
  <c r="T28" i="85"/>
  <c r="Z28" i="85" s="1"/>
  <c r="P28" i="85"/>
  <c r="X28" i="85" s="1"/>
  <c r="N28" i="85"/>
  <c r="H28" i="85"/>
  <c r="D28" i="85"/>
  <c r="L28" i="85" s="1"/>
  <c r="X26" i="85"/>
  <c r="Z26" i="85" s="1"/>
  <c r="N26" i="85"/>
  <c r="L26" i="85"/>
  <c r="B26" i="85"/>
  <c r="X25" i="85"/>
  <c r="Z25" i="85" s="1"/>
  <c r="T25" i="85"/>
  <c r="P25" i="85"/>
  <c r="H25" i="85"/>
  <c r="N25" i="85" s="1"/>
  <c r="D25" i="85"/>
  <c r="B25" i="85"/>
  <c r="Z24" i="85"/>
  <c r="X24" i="85"/>
  <c r="N24" i="85"/>
  <c r="L24" i="85"/>
  <c r="B24" i="85"/>
  <c r="X23" i="85"/>
  <c r="T23" i="85"/>
  <c r="P23" i="85"/>
  <c r="N23" i="85"/>
  <c r="H23" i="85"/>
  <c r="D23" i="85"/>
  <c r="L23" i="85" s="1"/>
  <c r="B23" i="85"/>
  <c r="Z22" i="85"/>
  <c r="X22" i="85"/>
  <c r="L22" i="85"/>
  <c r="N22" i="85" s="1"/>
  <c r="B22" i="85"/>
  <c r="T21" i="85"/>
  <c r="P21" i="85"/>
  <c r="H21" i="85"/>
  <c r="N21" i="85" s="1"/>
  <c r="D21" i="85"/>
  <c r="L21" i="85" s="1"/>
  <c r="B21" i="85"/>
  <c r="Z20" i="85"/>
  <c r="V20" i="85"/>
  <c r="T20" i="85"/>
  <c r="P20" i="85"/>
  <c r="X20" i="85" s="1"/>
  <c r="H20" i="85"/>
  <c r="D20" i="85"/>
  <c r="L20" i="85" s="1"/>
  <c r="Z16" i="85"/>
  <c r="X16" i="85"/>
  <c r="N16" i="85"/>
  <c r="L16" i="85"/>
  <c r="B16" i="85"/>
  <c r="T15" i="85"/>
  <c r="P15" i="85"/>
  <c r="N15" i="85"/>
  <c r="L15" i="85"/>
  <c r="H15" i="85"/>
  <c r="D15" i="85"/>
  <c r="T13" i="85"/>
  <c r="T12" i="85" s="1"/>
  <c r="V16" i="85" s="1"/>
  <c r="P13" i="85"/>
  <c r="L13" i="85"/>
  <c r="H13" i="85"/>
  <c r="N13" i="85" s="1"/>
  <c r="D13" i="85"/>
  <c r="D12" i="85" s="1"/>
  <c r="B13" i="85"/>
  <c r="H12" i="85"/>
  <c r="D6" i="85"/>
  <c r="D4" i="85"/>
  <c r="X119" i="84"/>
  <c r="Z119" i="84" s="1"/>
  <c r="L119" i="84"/>
  <c r="N119" i="84" s="1"/>
  <c r="Z115" i="84"/>
  <c r="T115" i="84"/>
  <c r="P115" i="84"/>
  <c r="X115" i="84" s="1"/>
  <c r="H115" i="84"/>
  <c r="N115" i="84" s="1"/>
  <c r="D115" i="84"/>
  <c r="L115" i="84" s="1"/>
  <c r="Z113" i="84"/>
  <c r="X113" i="84"/>
  <c r="L113" i="84"/>
  <c r="N113" i="84" s="1"/>
  <c r="B113" i="84"/>
  <c r="T112" i="84"/>
  <c r="P112" i="84"/>
  <c r="X112" i="84" s="1"/>
  <c r="H112" i="84"/>
  <c r="D112" i="84"/>
  <c r="L112" i="84" s="1"/>
  <c r="N112" i="84" s="1"/>
  <c r="B112" i="84"/>
  <c r="X111" i="84"/>
  <c r="Z111" i="84" s="1"/>
  <c r="N111" i="84"/>
  <c r="L111" i="84"/>
  <c r="B111" i="84"/>
  <c r="T110" i="84"/>
  <c r="P110" i="84"/>
  <c r="X110" i="84" s="1"/>
  <c r="Z110" i="84" s="1"/>
  <c r="L110" i="84"/>
  <c r="H110" i="84"/>
  <c r="N110" i="84" s="1"/>
  <c r="D110" i="84"/>
  <c r="B110" i="84"/>
  <c r="X109" i="84"/>
  <c r="Z109" i="84" s="1"/>
  <c r="N109" i="84"/>
  <c r="L109" i="84"/>
  <c r="B109" i="84"/>
  <c r="T108" i="84"/>
  <c r="P108" i="84"/>
  <c r="L108" i="84"/>
  <c r="H108" i="84"/>
  <c r="D108" i="84"/>
  <c r="B108" i="84"/>
  <c r="X107" i="84"/>
  <c r="Z107" i="84" s="1"/>
  <c r="N107" i="84"/>
  <c r="L107" i="84"/>
  <c r="B107" i="84"/>
  <c r="Z106" i="84"/>
  <c r="X106" i="84"/>
  <c r="N106" i="84"/>
  <c r="L106" i="84"/>
  <c r="B106" i="84"/>
  <c r="Z105" i="84"/>
  <c r="X105" i="84"/>
  <c r="N105" i="84"/>
  <c r="L105" i="84"/>
  <c r="B105" i="84"/>
  <c r="Z104" i="84"/>
  <c r="X104" i="84"/>
  <c r="N104" i="84"/>
  <c r="L104" i="84"/>
  <c r="B104" i="84"/>
  <c r="T103" i="84"/>
  <c r="Z103" i="84" s="1"/>
  <c r="P103" i="84"/>
  <c r="X103" i="84" s="1"/>
  <c r="N103" i="84"/>
  <c r="H103" i="84"/>
  <c r="D103" i="84"/>
  <c r="L103" i="84" s="1"/>
  <c r="B103" i="84"/>
  <c r="Z102" i="84"/>
  <c r="X102" i="84"/>
  <c r="N102" i="84"/>
  <c r="L102" i="84"/>
  <c r="B102" i="84"/>
  <c r="Z101" i="84"/>
  <c r="X101" i="84"/>
  <c r="N101" i="84"/>
  <c r="L101" i="84"/>
  <c r="B101" i="84"/>
  <c r="X100" i="84"/>
  <c r="T100" i="84"/>
  <c r="P100" i="84"/>
  <c r="N100" i="84"/>
  <c r="H100" i="84"/>
  <c r="D100" i="84"/>
  <c r="L100" i="84" s="1"/>
  <c r="B100" i="84"/>
  <c r="Z99" i="84"/>
  <c r="X99" i="84"/>
  <c r="L99" i="84"/>
  <c r="N99" i="84" s="1"/>
  <c r="B99" i="84"/>
  <c r="X98" i="84"/>
  <c r="Z98" i="84" s="1"/>
  <c r="N98" i="84"/>
  <c r="L98" i="84"/>
  <c r="B98" i="84"/>
  <c r="X97" i="84"/>
  <c r="Z97" i="84" s="1"/>
  <c r="N97" i="84"/>
  <c r="L97" i="84"/>
  <c r="B97" i="84"/>
  <c r="T96" i="84"/>
  <c r="P96" i="84"/>
  <c r="H96" i="84"/>
  <c r="D96" i="84"/>
  <c r="B96" i="84"/>
  <c r="X95" i="84"/>
  <c r="Z95" i="84" s="1"/>
  <c r="L95" i="84"/>
  <c r="N95" i="84" s="1"/>
  <c r="B95" i="84"/>
  <c r="Z94" i="84"/>
  <c r="X94" i="84"/>
  <c r="N94" i="84"/>
  <c r="L94" i="84"/>
  <c r="B94" i="84"/>
  <c r="Z93" i="84"/>
  <c r="T93" i="84"/>
  <c r="P93" i="84"/>
  <c r="X93" i="84" s="1"/>
  <c r="H93" i="84"/>
  <c r="N93" i="84" s="1"/>
  <c r="D93" i="84"/>
  <c r="L93" i="84" s="1"/>
  <c r="B93" i="84"/>
  <c r="X92" i="84"/>
  <c r="Z92" i="84" s="1"/>
  <c r="N92" i="84"/>
  <c r="L92" i="84"/>
  <c r="B92" i="84"/>
  <c r="X91" i="84"/>
  <c r="T91" i="84"/>
  <c r="Z91" i="84" s="1"/>
  <c r="P91" i="84"/>
  <c r="H91" i="84"/>
  <c r="N91" i="84" s="1"/>
  <c r="D91" i="84"/>
  <c r="L91" i="84" s="1"/>
  <c r="B91" i="84"/>
  <c r="X90" i="84"/>
  <c r="Z90" i="84" s="1"/>
  <c r="N90" i="84"/>
  <c r="L90" i="84"/>
  <c r="B90" i="84"/>
  <c r="T89" i="84"/>
  <c r="P89" i="84"/>
  <c r="N89" i="84"/>
  <c r="H89" i="84"/>
  <c r="D89" i="84"/>
  <c r="L89" i="84" s="1"/>
  <c r="B89" i="84"/>
  <c r="Z88" i="84"/>
  <c r="X88" i="84"/>
  <c r="L88" i="84"/>
  <c r="N88" i="84" s="1"/>
  <c r="B88" i="84"/>
  <c r="T87" i="84"/>
  <c r="Z87" i="84" s="1"/>
  <c r="P87" i="84"/>
  <c r="X87" i="84" s="1"/>
  <c r="H87" i="84"/>
  <c r="D87" i="84"/>
  <c r="L87" i="84" s="1"/>
  <c r="N87" i="84" s="1"/>
  <c r="B87" i="84"/>
  <c r="Z86" i="84"/>
  <c r="X86" i="84"/>
  <c r="L86" i="84"/>
  <c r="N86" i="84" s="1"/>
  <c r="B86" i="84"/>
  <c r="T85" i="84"/>
  <c r="Z85" i="84" s="1"/>
  <c r="P85" i="84"/>
  <c r="X85" i="84" s="1"/>
  <c r="L85" i="84"/>
  <c r="H85" i="84"/>
  <c r="N85" i="84" s="1"/>
  <c r="D85" i="84"/>
  <c r="B85" i="84"/>
  <c r="Z84" i="84"/>
  <c r="X84" i="84"/>
  <c r="N84" i="84"/>
  <c r="L84" i="84"/>
  <c r="B84" i="84"/>
  <c r="T83" i="84"/>
  <c r="P83" i="84"/>
  <c r="X83" i="84" s="1"/>
  <c r="Z83" i="84" s="1"/>
  <c r="H83" i="84"/>
  <c r="D83" i="84"/>
  <c r="B83" i="84"/>
  <c r="Z82" i="84"/>
  <c r="X82" i="84"/>
  <c r="N82" i="84"/>
  <c r="L82" i="84"/>
  <c r="B82" i="84"/>
  <c r="T81" i="84"/>
  <c r="P81" i="84"/>
  <c r="X81" i="84" s="1"/>
  <c r="Z81" i="84" s="1"/>
  <c r="L81" i="84"/>
  <c r="H81" i="84"/>
  <c r="N81" i="84" s="1"/>
  <c r="D81" i="84"/>
  <c r="B81" i="84"/>
  <c r="X80" i="84"/>
  <c r="Z80" i="84" s="1"/>
  <c r="N80" i="84"/>
  <c r="L80" i="84"/>
  <c r="B80" i="84"/>
  <c r="X79" i="84"/>
  <c r="T79" i="84"/>
  <c r="Z79" i="84" s="1"/>
  <c r="P79" i="84"/>
  <c r="H79" i="84"/>
  <c r="D79" i="84"/>
  <c r="L79" i="84" s="1"/>
  <c r="B79" i="84"/>
  <c r="X78" i="84"/>
  <c r="Z78" i="84" s="1"/>
  <c r="N78" i="84"/>
  <c r="L78" i="84"/>
  <c r="B78" i="84"/>
  <c r="T77" i="84"/>
  <c r="P77" i="84"/>
  <c r="N77" i="84"/>
  <c r="H77" i="84"/>
  <c r="D77" i="84"/>
  <c r="L77" i="84" s="1"/>
  <c r="B77" i="84"/>
  <c r="Z76" i="84"/>
  <c r="X76" i="84"/>
  <c r="L76" i="84"/>
  <c r="N76" i="84" s="1"/>
  <c r="B76" i="84"/>
  <c r="X75" i="84"/>
  <c r="T75" i="84"/>
  <c r="Z75" i="84" s="1"/>
  <c r="P75" i="84"/>
  <c r="N75" i="84"/>
  <c r="H75" i="84"/>
  <c r="D75" i="84"/>
  <c r="L75" i="84" s="1"/>
  <c r="B75" i="84"/>
  <c r="Z74" i="84"/>
  <c r="X74" i="84"/>
  <c r="L74" i="84"/>
  <c r="N74" i="84" s="1"/>
  <c r="B74" i="84"/>
  <c r="T73" i="84"/>
  <c r="Z73" i="84" s="1"/>
  <c r="P73" i="84"/>
  <c r="X73" i="84" s="1"/>
  <c r="L73" i="84"/>
  <c r="H73" i="84"/>
  <c r="N73" i="84" s="1"/>
  <c r="D73" i="84"/>
  <c r="B73" i="84"/>
  <c r="Z72" i="84"/>
  <c r="X72" i="84"/>
  <c r="N72" i="84"/>
  <c r="L72" i="84"/>
  <c r="B72" i="84"/>
  <c r="Z71" i="84"/>
  <c r="X71" i="84"/>
  <c r="L71" i="84"/>
  <c r="N71" i="84" s="1"/>
  <c r="B71" i="84"/>
  <c r="X70" i="84"/>
  <c r="Z70" i="84" s="1"/>
  <c r="N70" i="84"/>
  <c r="L70" i="84"/>
  <c r="B70" i="84"/>
  <c r="Z69" i="84"/>
  <c r="X69" i="84"/>
  <c r="N69" i="84"/>
  <c r="L69" i="84"/>
  <c r="B69" i="84"/>
  <c r="Z68" i="84"/>
  <c r="X68" i="84"/>
  <c r="N68" i="84"/>
  <c r="L68" i="84"/>
  <c r="B68" i="84"/>
  <c r="T67" i="84"/>
  <c r="P67" i="84"/>
  <c r="X67" i="84" s="1"/>
  <c r="Z67" i="84" s="1"/>
  <c r="H67" i="84"/>
  <c r="D67" i="84"/>
  <c r="B67" i="84"/>
  <c r="Z66" i="84"/>
  <c r="X66" i="84"/>
  <c r="N66" i="84"/>
  <c r="L66" i="84"/>
  <c r="B66" i="84"/>
  <c r="Z65" i="84"/>
  <c r="X65" i="84"/>
  <c r="L65" i="84"/>
  <c r="N65" i="84" s="1"/>
  <c r="B65" i="84"/>
  <c r="Z64" i="84"/>
  <c r="X64" i="84"/>
  <c r="L64" i="84"/>
  <c r="N64" i="84" s="1"/>
  <c r="B64" i="84"/>
  <c r="X63" i="84"/>
  <c r="Z63" i="84" s="1"/>
  <c r="L63" i="84"/>
  <c r="N63" i="84" s="1"/>
  <c r="B63" i="84"/>
  <c r="Z62" i="84"/>
  <c r="X62" i="84"/>
  <c r="N62" i="84"/>
  <c r="L62" i="84"/>
  <c r="B62" i="84"/>
  <c r="Z61" i="84"/>
  <c r="X61" i="84"/>
  <c r="L61" i="84"/>
  <c r="N61" i="84" s="1"/>
  <c r="B61" i="84"/>
  <c r="Z60" i="84"/>
  <c r="X60" i="84"/>
  <c r="L60" i="84"/>
  <c r="N60" i="84" s="1"/>
  <c r="B60" i="84"/>
  <c r="X59" i="84"/>
  <c r="Z59" i="84" s="1"/>
  <c r="L59" i="84"/>
  <c r="N59" i="84" s="1"/>
  <c r="B59" i="84"/>
  <c r="T58" i="84"/>
  <c r="P58" i="84"/>
  <c r="X58" i="84" s="1"/>
  <c r="Z58" i="84" s="1"/>
  <c r="H58" i="84"/>
  <c r="D58" i="84"/>
  <c r="B58" i="84"/>
  <c r="T57" i="84"/>
  <c r="P57" i="84"/>
  <c r="X57" i="84" s="1"/>
  <c r="L57" i="84"/>
  <c r="H57" i="84"/>
  <c r="N57" i="84" s="1"/>
  <c r="D57" i="84"/>
  <c r="X53" i="84"/>
  <c r="Z53" i="84" s="1"/>
  <c r="L53" i="84"/>
  <c r="N53" i="84" s="1"/>
  <c r="B53" i="84"/>
  <c r="X52" i="84"/>
  <c r="Z52" i="84" s="1"/>
  <c r="N52" i="84"/>
  <c r="L52" i="84"/>
  <c r="B52" i="84"/>
  <c r="X51" i="84"/>
  <c r="Z51" i="84" s="1"/>
  <c r="N51" i="84"/>
  <c r="L51" i="84"/>
  <c r="B51" i="84"/>
  <c r="Z50" i="84"/>
  <c r="X50" i="84"/>
  <c r="N50" i="84"/>
  <c r="L50" i="84"/>
  <c r="B50" i="84"/>
  <c r="X49" i="84"/>
  <c r="Z49" i="84" s="1"/>
  <c r="N49" i="84"/>
  <c r="L49" i="84"/>
  <c r="B49" i="84"/>
  <c r="X48" i="84"/>
  <c r="Z48" i="84" s="1"/>
  <c r="N48" i="84"/>
  <c r="L48" i="84"/>
  <c r="B48" i="84"/>
  <c r="X47" i="84"/>
  <c r="Z47" i="84" s="1"/>
  <c r="N47" i="84"/>
  <c r="L47" i="84"/>
  <c r="B47" i="84"/>
  <c r="Z46" i="84"/>
  <c r="X46" i="84"/>
  <c r="L46" i="84"/>
  <c r="N46" i="84" s="1"/>
  <c r="B46" i="84"/>
  <c r="X45" i="84"/>
  <c r="Z45" i="84" s="1"/>
  <c r="L45" i="84"/>
  <c r="N45" i="84" s="1"/>
  <c r="B45" i="84"/>
  <c r="X44" i="84"/>
  <c r="Z44" i="84" s="1"/>
  <c r="N44" i="84"/>
  <c r="L44" i="84"/>
  <c r="B44" i="84"/>
  <c r="X43" i="84"/>
  <c r="Z43" i="84" s="1"/>
  <c r="N43" i="84"/>
  <c r="L43" i="84"/>
  <c r="B43" i="84"/>
  <c r="Z42" i="84"/>
  <c r="X42" i="84"/>
  <c r="N42" i="84"/>
  <c r="L42" i="84"/>
  <c r="B42" i="84"/>
  <c r="X41" i="84"/>
  <c r="Z41" i="84" s="1"/>
  <c r="N41" i="84"/>
  <c r="L41" i="84"/>
  <c r="B41" i="84"/>
  <c r="X40" i="84"/>
  <c r="Z40" i="84" s="1"/>
  <c r="N40" i="84"/>
  <c r="L40" i="84"/>
  <c r="B40" i="84"/>
  <c r="T39" i="84"/>
  <c r="Z39" i="84" s="1"/>
  <c r="P39" i="84"/>
  <c r="X39" i="84" s="1"/>
  <c r="H39" i="84"/>
  <c r="D39" i="84"/>
  <c r="T37" i="84"/>
  <c r="P37" i="84"/>
  <c r="N37" i="84"/>
  <c r="L37" i="84"/>
  <c r="H37" i="84"/>
  <c r="D37" i="84"/>
  <c r="B37" i="84"/>
  <c r="Z36" i="84"/>
  <c r="T36" i="84"/>
  <c r="X36" i="84" s="1"/>
  <c r="P36" i="84"/>
  <c r="N36" i="84"/>
  <c r="H36" i="84"/>
  <c r="D36" i="84"/>
  <c r="L36" i="84" s="1"/>
  <c r="B36" i="84"/>
  <c r="T35" i="84"/>
  <c r="P35" i="84"/>
  <c r="X35" i="84" s="1"/>
  <c r="Z35" i="84" s="1"/>
  <c r="L35" i="84"/>
  <c r="N35" i="84" s="1"/>
  <c r="H35" i="84"/>
  <c r="D35" i="84"/>
  <c r="B35" i="84"/>
  <c r="X34" i="84"/>
  <c r="T34" i="84"/>
  <c r="P34" i="84"/>
  <c r="H34" i="84"/>
  <c r="D34" i="84"/>
  <c r="B34" i="84"/>
  <c r="T33" i="84"/>
  <c r="P33" i="84"/>
  <c r="N33" i="84"/>
  <c r="L33" i="84"/>
  <c r="H33" i="84"/>
  <c r="D33" i="84"/>
  <c r="B33" i="84"/>
  <c r="Z32" i="84"/>
  <c r="T32" i="84"/>
  <c r="X32" i="84" s="1"/>
  <c r="P32" i="84"/>
  <c r="L32" i="84"/>
  <c r="N32" i="84" s="1"/>
  <c r="H32" i="84"/>
  <c r="D32" i="84"/>
  <c r="B32" i="84"/>
  <c r="Z31" i="84"/>
  <c r="T31" i="84"/>
  <c r="P31" i="84"/>
  <c r="X31" i="84" s="1"/>
  <c r="N31" i="84"/>
  <c r="L31" i="84"/>
  <c r="H31" i="84"/>
  <c r="D31" i="84"/>
  <c r="B31" i="84"/>
  <c r="X30" i="84"/>
  <c r="T30" i="84"/>
  <c r="Z30" i="84" s="1"/>
  <c r="P30" i="84"/>
  <c r="H30" i="84"/>
  <c r="N30" i="84" s="1"/>
  <c r="D30" i="84"/>
  <c r="B30" i="84"/>
  <c r="T29" i="84"/>
  <c r="P29" i="84"/>
  <c r="N29" i="84"/>
  <c r="L29" i="84"/>
  <c r="H29" i="84"/>
  <c r="D29" i="84"/>
  <c r="B29" i="84"/>
  <c r="Z28" i="84"/>
  <c r="T28" i="84"/>
  <c r="X28" i="84" s="1"/>
  <c r="P28" i="84"/>
  <c r="H28" i="84"/>
  <c r="D28" i="84"/>
  <c r="L28" i="84" s="1"/>
  <c r="N28" i="84" s="1"/>
  <c r="B28" i="84"/>
  <c r="Z27" i="84"/>
  <c r="T27" i="84"/>
  <c r="P27" i="84"/>
  <c r="X27" i="84" s="1"/>
  <c r="N27" i="84"/>
  <c r="L27" i="84"/>
  <c r="H27" i="84"/>
  <c r="D27" i="84"/>
  <c r="B27" i="84"/>
  <c r="X26" i="84"/>
  <c r="T26" i="84"/>
  <c r="Z26" i="84" s="1"/>
  <c r="P26" i="84"/>
  <c r="H26" i="84"/>
  <c r="D26" i="84"/>
  <c r="B26" i="84"/>
  <c r="T25" i="84"/>
  <c r="P25" i="84"/>
  <c r="N25" i="84"/>
  <c r="L25" i="84"/>
  <c r="H25" i="84"/>
  <c r="D25" i="84"/>
  <c r="B25" i="84"/>
  <c r="T24" i="84"/>
  <c r="X24" i="84" s="1"/>
  <c r="Z24" i="84" s="1"/>
  <c r="P24" i="84"/>
  <c r="L24" i="84"/>
  <c r="N24" i="84" s="1"/>
  <c r="H24" i="84"/>
  <c r="D24" i="84"/>
  <c r="B24" i="84"/>
  <c r="T23" i="84"/>
  <c r="P23" i="84"/>
  <c r="X23" i="84" s="1"/>
  <c r="Z23" i="84" s="1"/>
  <c r="N23" i="84"/>
  <c r="L23" i="84"/>
  <c r="H23" i="84"/>
  <c r="D23" i="84"/>
  <c r="B23" i="84"/>
  <c r="X22" i="84"/>
  <c r="T22" i="84"/>
  <c r="P22" i="84"/>
  <c r="H22" i="84"/>
  <c r="N22" i="84" s="1"/>
  <c r="D22" i="84"/>
  <c r="L22" i="84" s="1"/>
  <c r="B22" i="84"/>
  <c r="T21" i="84"/>
  <c r="P21" i="84"/>
  <c r="N21" i="84"/>
  <c r="L21" i="84"/>
  <c r="H21" i="84"/>
  <c r="D21" i="84"/>
  <c r="B21" i="84"/>
  <c r="Z20" i="84"/>
  <c r="T20" i="84"/>
  <c r="X20" i="84" s="1"/>
  <c r="P20" i="84"/>
  <c r="H20" i="84"/>
  <c r="D20" i="84"/>
  <c r="B20" i="84"/>
  <c r="T19" i="84"/>
  <c r="P19" i="84"/>
  <c r="X19" i="84" s="1"/>
  <c r="Z19" i="84" s="1"/>
  <c r="L19" i="84"/>
  <c r="N19" i="84" s="1"/>
  <c r="H19" i="84"/>
  <c r="D19" i="84"/>
  <c r="B19" i="84"/>
  <c r="X18" i="84"/>
  <c r="T18" i="84"/>
  <c r="P18" i="84"/>
  <c r="H18" i="84"/>
  <c r="D18" i="84"/>
  <c r="L18" i="84" s="1"/>
  <c r="B18" i="84"/>
  <c r="T17" i="84"/>
  <c r="P17" i="84"/>
  <c r="N17" i="84"/>
  <c r="L17" i="84"/>
  <c r="H17" i="84"/>
  <c r="D17" i="84"/>
  <c r="B17" i="84"/>
  <c r="T16" i="84"/>
  <c r="X16" i="84" s="1"/>
  <c r="P16" i="84"/>
  <c r="N16" i="84"/>
  <c r="L16" i="84"/>
  <c r="H16" i="84"/>
  <c r="D16" i="84"/>
  <c r="B16" i="84"/>
  <c r="T15" i="84"/>
  <c r="Z15" i="84" s="1"/>
  <c r="P15" i="84"/>
  <c r="X15" i="84" s="1"/>
  <c r="N15" i="84"/>
  <c r="L15" i="84"/>
  <c r="H15" i="84"/>
  <c r="D15" i="84"/>
  <c r="B15" i="84"/>
  <c r="X14" i="84"/>
  <c r="T14" i="84"/>
  <c r="P14" i="84"/>
  <c r="H14" i="84"/>
  <c r="D14" i="84"/>
  <c r="L14" i="84" s="1"/>
  <c r="B14" i="84"/>
  <c r="T13" i="84"/>
  <c r="T12" i="84" s="1"/>
  <c r="P13" i="84"/>
  <c r="N13" i="84"/>
  <c r="L13" i="84"/>
  <c r="H13" i="84"/>
  <c r="D13" i="84"/>
  <c r="B13" i="84"/>
  <c r="D6" i="84"/>
  <c r="D4" i="84"/>
  <c r="Z82" i="83"/>
  <c r="X82" i="83"/>
  <c r="N82" i="83"/>
  <c r="L82" i="83"/>
  <c r="Z78" i="83"/>
  <c r="X78" i="83"/>
  <c r="T78" i="83"/>
  <c r="P78" i="83"/>
  <c r="N78" i="83"/>
  <c r="H78" i="83"/>
  <c r="D78" i="83"/>
  <c r="L78" i="83" s="1"/>
  <c r="X76" i="83"/>
  <c r="Z76" i="83" s="1"/>
  <c r="N76" i="83"/>
  <c r="L76" i="83"/>
  <c r="B76" i="83"/>
  <c r="T75" i="83"/>
  <c r="P75" i="83"/>
  <c r="X75" i="83" s="1"/>
  <c r="H75" i="83"/>
  <c r="D75" i="83"/>
  <c r="B75" i="83"/>
  <c r="X74" i="83"/>
  <c r="Z74" i="83" s="1"/>
  <c r="N74" i="83"/>
  <c r="L74" i="83"/>
  <c r="B74" i="83"/>
  <c r="X73" i="83"/>
  <c r="T73" i="83"/>
  <c r="P73" i="83"/>
  <c r="N73" i="83"/>
  <c r="L73" i="83"/>
  <c r="H73" i="83"/>
  <c r="D73" i="83"/>
  <c r="B73" i="83"/>
  <c r="Z72" i="83"/>
  <c r="X72" i="83"/>
  <c r="L72" i="83"/>
  <c r="N72" i="83" s="1"/>
  <c r="B72" i="83"/>
  <c r="X71" i="83"/>
  <c r="Z71" i="83" s="1"/>
  <c r="N71" i="83"/>
  <c r="L71" i="83"/>
  <c r="B71" i="83"/>
  <c r="Z70" i="83"/>
  <c r="X70" i="83"/>
  <c r="N70" i="83"/>
  <c r="L70" i="83"/>
  <c r="B70" i="83"/>
  <c r="Z69" i="83"/>
  <c r="X69" i="83"/>
  <c r="N69" i="83"/>
  <c r="L69" i="83"/>
  <c r="B69" i="83"/>
  <c r="Z68" i="83"/>
  <c r="X68" i="83"/>
  <c r="N68" i="83"/>
  <c r="L68" i="83"/>
  <c r="B68" i="83"/>
  <c r="X67" i="83"/>
  <c r="T67" i="83"/>
  <c r="P67" i="83"/>
  <c r="N67" i="83"/>
  <c r="H67" i="83"/>
  <c r="D67" i="83"/>
  <c r="L67" i="83" s="1"/>
  <c r="B67" i="83"/>
  <c r="Z66" i="83"/>
  <c r="X66" i="83"/>
  <c r="L66" i="83"/>
  <c r="N66" i="83" s="1"/>
  <c r="B66" i="83"/>
  <c r="T65" i="83"/>
  <c r="P65" i="83"/>
  <c r="H65" i="83"/>
  <c r="N65" i="83" s="1"/>
  <c r="D65" i="83"/>
  <c r="L65" i="83" s="1"/>
  <c r="B65" i="83"/>
  <c r="Z64" i="83"/>
  <c r="X64" i="83"/>
  <c r="N64" i="83"/>
  <c r="L64" i="83"/>
  <c r="B64" i="83"/>
  <c r="Z63" i="83"/>
  <c r="X63" i="83"/>
  <c r="L63" i="83"/>
  <c r="N63" i="83" s="1"/>
  <c r="B63" i="83"/>
  <c r="X62" i="83"/>
  <c r="Z62" i="83" s="1"/>
  <c r="N62" i="83"/>
  <c r="L62" i="83"/>
  <c r="B62" i="83"/>
  <c r="X61" i="83"/>
  <c r="T61" i="83"/>
  <c r="P61" i="83"/>
  <c r="H61" i="83"/>
  <c r="D61" i="83"/>
  <c r="L61" i="83" s="1"/>
  <c r="N61" i="83" s="1"/>
  <c r="B61" i="83"/>
  <c r="Z60" i="83"/>
  <c r="X60" i="83"/>
  <c r="L60" i="83"/>
  <c r="N60" i="83" s="1"/>
  <c r="B60" i="83"/>
  <c r="X59" i="83"/>
  <c r="Z59" i="83" s="1"/>
  <c r="L59" i="83"/>
  <c r="N59" i="83" s="1"/>
  <c r="B59" i="83"/>
  <c r="Z58" i="83"/>
  <c r="X58" i="83"/>
  <c r="N58" i="83"/>
  <c r="L58" i="83"/>
  <c r="B58" i="83"/>
  <c r="T57" i="83"/>
  <c r="P57" i="83"/>
  <c r="H57" i="83"/>
  <c r="D57" i="83"/>
  <c r="L57" i="83" s="1"/>
  <c r="B57" i="83"/>
  <c r="X56" i="83"/>
  <c r="Z56" i="83" s="1"/>
  <c r="N56" i="83"/>
  <c r="L56" i="83"/>
  <c r="B56" i="83"/>
  <c r="T55" i="83"/>
  <c r="P55" i="83"/>
  <c r="X55" i="83" s="1"/>
  <c r="H55" i="83"/>
  <c r="D55" i="83"/>
  <c r="B55" i="83"/>
  <c r="X54" i="83"/>
  <c r="Z54" i="83" s="1"/>
  <c r="N54" i="83"/>
  <c r="L54" i="83"/>
  <c r="B54" i="83"/>
  <c r="Z53" i="83"/>
  <c r="X53" i="83"/>
  <c r="T53" i="83"/>
  <c r="P53" i="83"/>
  <c r="N53" i="83"/>
  <c r="L53" i="83"/>
  <c r="H53" i="83"/>
  <c r="D53" i="83"/>
  <c r="B53" i="83"/>
  <c r="Z52" i="83"/>
  <c r="X52" i="83"/>
  <c r="L52" i="83"/>
  <c r="N52" i="83" s="1"/>
  <c r="B52" i="83"/>
  <c r="T51" i="83"/>
  <c r="P51" i="83"/>
  <c r="H51" i="83"/>
  <c r="D51" i="83"/>
  <c r="L51" i="83" s="1"/>
  <c r="N51" i="83" s="1"/>
  <c r="B51" i="83"/>
  <c r="Z50" i="83"/>
  <c r="X50" i="83"/>
  <c r="N50" i="83"/>
  <c r="L50" i="83"/>
  <c r="F50" i="83"/>
  <c r="B50" i="83"/>
  <c r="T49" i="83"/>
  <c r="P49" i="83"/>
  <c r="L49" i="83"/>
  <c r="H49" i="83"/>
  <c r="D49" i="83"/>
  <c r="B49" i="83"/>
  <c r="Z48" i="83"/>
  <c r="X48" i="83"/>
  <c r="N48" i="83"/>
  <c r="L48" i="83"/>
  <c r="B48" i="83"/>
  <c r="T47" i="83"/>
  <c r="P47" i="83"/>
  <c r="X47" i="83" s="1"/>
  <c r="H47" i="83"/>
  <c r="L47" i="83" s="1"/>
  <c r="N47" i="83" s="1"/>
  <c r="D47" i="83"/>
  <c r="B47" i="83"/>
  <c r="Z46" i="83"/>
  <c r="X46" i="83"/>
  <c r="L46" i="83"/>
  <c r="N46" i="83" s="1"/>
  <c r="B46" i="83"/>
  <c r="Z45" i="83"/>
  <c r="X45" i="83"/>
  <c r="L45" i="83"/>
  <c r="N45" i="83" s="1"/>
  <c r="B45" i="83"/>
  <c r="T44" i="83"/>
  <c r="P44" i="83"/>
  <c r="N44" i="83"/>
  <c r="H44" i="83"/>
  <c r="D44" i="83"/>
  <c r="L44" i="83" s="1"/>
  <c r="B44" i="83"/>
  <c r="X43" i="83"/>
  <c r="Z43" i="83" s="1"/>
  <c r="N43" i="83"/>
  <c r="L43" i="83"/>
  <c r="B43" i="83"/>
  <c r="T42" i="83"/>
  <c r="P42" i="83"/>
  <c r="X42" i="83" s="1"/>
  <c r="Z42" i="83" s="1"/>
  <c r="L42" i="83"/>
  <c r="N42" i="83" s="1"/>
  <c r="H42" i="83"/>
  <c r="D42" i="83"/>
  <c r="B42" i="83"/>
  <c r="Z41" i="83"/>
  <c r="X41" i="83"/>
  <c r="N41" i="83"/>
  <c r="L41" i="83"/>
  <c r="B41" i="83"/>
  <c r="T40" i="83"/>
  <c r="X40" i="83" s="1"/>
  <c r="P40" i="83"/>
  <c r="L40" i="83"/>
  <c r="N40" i="83" s="1"/>
  <c r="H40" i="83"/>
  <c r="D40" i="83"/>
  <c r="B40" i="83"/>
  <c r="X39" i="83"/>
  <c r="Z39" i="83" s="1"/>
  <c r="L39" i="83"/>
  <c r="N39" i="83" s="1"/>
  <c r="B39" i="83"/>
  <c r="T38" i="83"/>
  <c r="P38" i="83"/>
  <c r="X38" i="83" s="1"/>
  <c r="Z38" i="83" s="1"/>
  <c r="H38" i="83"/>
  <c r="D38" i="83"/>
  <c r="B38" i="83"/>
  <c r="X37" i="83"/>
  <c r="Z37" i="83" s="1"/>
  <c r="R37" i="83"/>
  <c r="L37" i="83"/>
  <c r="N37" i="83" s="1"/>
  <c r="B37" i="83"/>
  <c r="X36" i="83"/>
  <c r="Z36" i="83" s="1"/>
  <c r="N36" i="83"/>
  <c r="L36" i="83"/>
  <c r="B36" i="83"/>
  <c r="X35" i="83"/>
  <c r="Z35" i="83" s="1"/>
  <c r="N35" i="83"/>
  <c r="L35" i="83"/>
  <c r="B35" i="83"/>
  <c r="Z34" i="83"/>
  <c r="X34" i="83"/>
  <c r="N34" i="83"/>
  <c r="L34" i="83"/>
  <c r="B34" i="83"/>
  <c r="X33" i="83"/>
  <c r="Z33" i="83" s="1"/>
  <c r="L33" i="83"/>
  <c r="N33" i="83" s="1"/>
  <c r="B33" i="83"/>
  <c r="X32" i="83"/>
  <c r="Z32" i="83" s="1"/>
  <c r="T32" i="83"/>
  <c r="P32" i="83"/>
  <c r="H32" i="83"/>
  <c r="D32" i="83"/>
  <c r="L32" i="83" s="1"/>
  <c r="N32" i="83" s="1"/>
  <c r="B32" i="83"/>
  <c r="Z31" i="83"/>
  <c r="X31" i="83"/>
  <c r="L31" i="83"/>
  <c r="N31" i="83" s="1"/>
  <c r="F31" i="83"/>
  <c r="B31" i="83"/>
  <c r="Z30" i="83"/>
  <c r="X30" i="83"/>
  <c r="N30" i="83"/>
  <c r="L30" i="83"/>
  <c r="B30" i="83"/>
  <c r="X29" i="83"/>
  <c r="Z29" i="83" s="1"/>
  <c r="N29" i="83"/>
  <c r="L29" i="83"/>
  <c r="B29" i="83"/>
  <c r="Z28" i="83"/>
  <c r="X28" i="83"/>
  <c r="N28" i="83"/>
  <c r="L28" i="83"/>
  <c r="B28" i="83"/>
  <c r="X27" i="83"/>
  <c r="Z27" i="83" s="1"/>
  <c r="N27" i="83"/>
  <c r="L27" i="83"/>
  <c r="B27" i="83"/>
  <c r="X26" i="83"/>
  <c r="Z26" i="83" s="1"/>
  <c r="N26" i="83"/>
  <c r="L26" i="83"/>
  <c r="B26" i="83"/>
  <c r="Z25" i="83"/>
  <c r="X25" i="83"/>
  <c r="L25" i="83"/>
  <c r="N25" i="83" s="1"/>
  <c r="B25" i="83"/>
  <c r="Z24" i="83"/>
  <c r="X24" i="83"/>
  <c r="N24" i="83"/>
  <c r="L24" i="83"/>
  <c r="B24" i="83"/>
  <c r="T23" i="83"/>
  <c r="P23" i="83"/>
  <c r="L23" i="83"/>
  <c r="H23" i="83"/>
  <c r="N23" i="83" s="1"/>
  <c r="F23" i="83"/>
  <c r="D23" i="83"/>
  <c r="B23" i="83"/>
  <c r="T22" i="83"/>
  <c r="P22" i="83"/>
  <c r="X22" i="83" s="1"/>
  <c r="H22" i="83"/>
  <c r="F22" i="83"/>
  <c r="D22" i="83"/>
  <c r="D20" i="83"/>
  <c r="D80" i="83" s="1"/>
  <c r="Z18" i="83"/>
  <c r="X18" i="83"/>
  <c r="L18" i="83"/>
  <c r="N18" i="83" s="1"/>
  <c r="B18" i="83"/>
  <c r="X17" i="83"/>
  <c r="Z17" i="83" s="1"/>
  <c r="R17" i="83"/>
  <c r="N17" i="83"/>
  <c r="L17" i="83"/>
  <c r="B17" i="83"/>
  <c r="T16" i="83"/>
  <c r="P16" i="83"/>
  <c r="X16" i="83" s="1"/>
  <c r="Z16" i="83" s="1"/>
  <c r="H16" i="83"/>
  <c r="D16" i="83"/>
  <c r="L16" i="83" s="1"/>
  <c r="N16" i="83" s="1"/>
  <c r="T14" i="83"/>
  <c r="X14" i="83" s="1"/>
  <c r="Z14" i="83" s="1"/>
  <c r="P14" i="83"/>
  <c r="H14" i="83"/>
  <c r="D14" i="83"/>
  <c r="B14" i="83"/>
  <c r="T13" i="83"/>
  <c r="P13" i="83"/>
  <c r="P12" i="83" s="1"/>
  <c r="R84" i="83" s="1"/>
  <c r="H13" i="83"/>
  <c r="D13" i="83"/>
  <c r="D12" i="83" s="1"/>
  <c r="B13" i="83"/>
  <c r="D6" i="83"/>
  <c r="D4" i="83"/>
  <c r="Z29" i="82"/>
  <c r="X29" i="82"/>
  <c r="V29" i="82"/>
  <c r="N29" i="82"/>
  <c r="L29" i="82"/>
  <c r="Z25" i="82"/>
  <c r="T25" i="82"/>
  <c r="P25" i="82"/>
  <c r="X25" i="82" s="1"/>
  <c r="N25" i="82"/>
  <c r="H25" i="82"/>
  <c r="D25" i="82"/>
  <c r="L25" i="82" s="1"/>
  <c r="Z23" i="82"/>
  <c r="T23" i="82"/>
  <c r="P23" i="82"/>
  <c r="X23" i="82" s="1"/>
  <c r="N23" i="82"/>
  <c r="H23" i="82"/>
  <c r="D23" i="82"/>
  <c r="L23" i="82" s="1"/>
  <c r="Z19" i="82"/>
  <c r="X19" i="82"/>
  <c r="N19" i="82"/>
  <c r="L19" i="82"/>
  <c r="B19" i="82"/>
  <c r="X18" i="82"/>
  <c r="Z18" i="82" s="1"/>
  <c r="L18" i="82"/>
  <c r="N18" i="82" s="1"/>
  <c r="B18" i="82"/>
  <c r="Z17" i="82"/>
  <c r="T17" i="82"/>
  <c r="P17" i="82"/>
  <c r="X17" i="82" s="1"/>
  <c r="H17" i="82"/>
  <c r="D17" i="82"/>
  <c r="L17" i="82" s="1"/>
  <c r="N17" i="82" s="1"/>
  <c r="Z15" i="82"/>
  <c r="X15" i="82"/>
  <c r="T15" i="82"/>
  <c r="P15" i="82"/>
  <c r="H15" i="82"/>
  <c r="D15" i="82"/>
  <c r="B15" i="82"/>
  <c r="T14" i="82"/>
  <c r="P14" i="82"/>
  <c r="N14" i="82"/>
  <c r="L14" i="82"/>
  <c r="H14" i="82"/>
  <c r="D14" i="82"/>
  <c r="B14" i="82"/>
  <c r="T13" i="82"/>
  <c r="X13" i="82" s="1"/>
  <c r="Z13" i="82" s="1"/>
  <c r="P13" i="82"/>
  <c r="H13" i="82"/>
  <c r="D13" i="82"/>
  <c r="B13" i="82"/>
  <c r="T12" i="82"/>
  <c r="D12" i="82"/>
  <c r="D6" i="82"/>
  <c r="D4" i="82"/>
  <c r="F29" i="81"/>
  <c r="F26" i="81"/>
  <c r="Z24" i="81"/>
  <c r="X24" i="81"/>
  <c r="N24" i="81"/>
  <c r="L24" i="81"/>
  <c r="J24" i="81"/>
  <c r="F24" i="81"/>
  <c r="J22" i="81"/>
  <c r="F22" i="81"/>
  <c r="T20" i="81"/>
  <c r="P20" i="81"/>
  <c r="J20" i="81"/>
  <c r="H20" i="81"/>
  <c r="N20" i="81" s="1"/>
  <c r="F20" i="81"/>
  <c r="D20" i="81"/>
  <c r="L20" i="81" s="1"/>
  <c r="T18" i="81"/>
  <c r="P18" i="81"/>
  <c r="J18" i="81"/>
  <c r="H18" i="81"/>
  <c r="N18" i="81" s="1"/>
  <c r="F18" i="81"/>
  <c r="D18" i="81"/>
  <c r="L18" i="81" s="1"/>
  <c r="J16" i="81"/>
  <c r="F16" i="81"/>
  <c r="T14" i="81"/>
  <c r="P14" i="81"/>
  <c r="J14" i="81"/>
  <c r="H14" i="81"/>
  <c r="N14" i="81" s="1"/>
  <c r="F14" i="81"/>
  <c r="D14" i="81"/>
  <c r="L14" i="81" s="1"/>
  <c r="T12" i="81"/>
  <c r="V29" i="81" s="1"/>
  <c r="P12" i="81"/>
  <c r="N12" i="81"/>
  <c r="L12" i="81"/>
  <c r="H12" i="81"/>
  <c r="J29" i="81" s="1"/>
  <c r="D12" i="81"/>
  <c r="D6" i="81"/>
  <c r="D4" i="81"/>
  <c r="X71" i="80"/>
  <c r="Z71" i="80" s="1"/>
  <c r="L71" i="80"/>
  <c r="N71" i="80" s="1"/>
  <c r="T67" i="80"/>
  <c r="Z67" i="80" s="1"/>
  <c r="P67" i="80"/>
  <c r="X67" i="80" s="1"/>
  <c r="H67" i="80"/>
  <c r="D67" i="80"/>
  <c r="X65" i="80"/>
  <c r="Z65" i="80" s="1"/>
  <c r="L65" i="80"/>
  <c r="N65" i="80" s="1"/>
  <c r="B65" i="80"/>
  <c r="Z64" i="80"/>
  <c r="T64" i="80"/>
  <c r="P64" i="80"/>
  <c r="X64" i="80" s="1"/>
  <c r="H64" i="80"/>
  <c r="D64" i="80"/>
  <c r="L64" i="80" s="1"/>
  <c r="N64" i="80" s="1"/>
  <c r="B64" i="80"/>
  <c r="Z63" i="80"/>
  <c r="X63" i="80"/>
  <c r="L63" i="80"/>
  <c r="N63" i="80" s="1"/>
  <c r="B63" i="80"/>
  <c r="X62" i="80"/>
  <c r="Z62" i="80" s="1"/>
  <c r="T62" i="80"/>
  <c r="P62" i="80"/>
  <c r="L62" i="80"/>
  <c r="H62" i="80"/>
  <c r="N62" i="80" s="1"/>
  <c r="D62" i="80"/>
  <c r="B62" i="80"/>
  <c r="X61" i="80"/>
  <c r="Z61" i="80" s="1"/>
  <c r="L61" i="80"/>
  <c r="N61" i="80" s="1"/>
  <c r="B61" i="80"/>
  <c r="Z60" i="80"/>
  <c r="X60" i="80"/>
  <c r="N60" i="80"/>
  <c r="L60" i="80"/>
  <c r="B60" i="80"/>
  <c r="X59" i="80"/>
  <c r="Z59" i="80" s="1"/>
  <c r="L59" i="80"/>
  <c r="N59" i="80" s="1"/>
  <c r="B59" i="80"/>
  <c r="Z58" i="80"/>
  <c r="X58" i="80"/>
  <c r="N58" i="80"/>
  <c r="L58" i="80"/>
  <c r="B58" i="80"/>
  <c r="X57" i="80"/>
  <c r="Z57" i="80" s="1"/>
  <c r="N57" i="80"/>
  <c r="L57" i="80"/>
  <c r="B57" i="80"/>
  <c r="T56" i="80"/>
  <c r="R56" i="80"/>
  <c r="P56" i="80"/>
  <c r="X56" i="80" s="1"/>
  <c r="H56" i="80"/>
  <c r="N56" i="80" s="1"/>
  <c r="D56" i="80"/>
  <c r="L56" i="80" s="1"/>
  <c r="B56" i="80"/>
  <c r="X55" i="80"/>
  <c r="Z55" i="80" s="1"/>
  <c r="R55" i="80"/>
  <c r="N55" i="80"/>
  <c r="L55" i="80"/>
  <c r="B55" i="80"/>
  <c r="Z54" i="80"/>
  <c r="X54" i="80"/>
  <c r="L54" i="80"/>
  <c r="N54" i="80" s="1"/>
  <c r="J54" i="80"/>
  <c r="B54" i="80"/>
  <c r="X53" i="80"/>
  <c r="Z53" i="80" s="1"/>
  <c r="N53" i="80"/>
  <c r="L53" i="80"/>
  <c r="B53" i="80"/>
  <c r="Z52" i="80"/>
  <c r="T52" i="80"/>
  <c r="P52" i="80"/>
  <c r="X52" i="80" s="1"/>
  <c r="H52" i="80"/>
  <c r="D52" i="80"/>
  <c r="L52" i="80" s="1"/>
  <c r="N52" i="80" s="1"/>
  <c r="B52" i="80"/>
  <c r="Z51" i="80"/>
  <c r="X51" i="80"/>
  <c r="L51" i="80"/>
  <c r="N51" i="80" s="1"/>
  <c r="B51" i="80"/>
  <c r="Z50" i="80"/>
  <c r="X50" i="80"/>
  <c r="N50" i="80"/>
  <c r="L50" i="80"/>
  <c r="B50" i="80"/>
  <c r="T49" i="80"/>
  <c r="P49" i="80"/>
  <c r="X49" i="80" s="1"/>
  <c r="H49" i="80"/>
  <c r="D49" i="80"/>
  <c r="L49" i="80" s="1"/>
  <c r="N49" i="80" s="1"/>
  <c r="B49" i="80"/>
  <c r="Z48" i="80"/>
  <c r="X48" i="80"/>
  <c r="N48" i="80"/>
  <c r="L48" i="80"/>
  <c r="B48" i="80"/>
  <c r="T47" i="80"/>
  <c r="P47" i="80"/>
  <c r="X47" i="80" s="1"/>
  <c r="Z47" i="80" s="1"/>
  <c r="L47" i="80"/>
  <c r="N47" i="80" s="1"/>
  <c r="H47" i="80"/>
  <c r="D47" i="80"/>
  <c r="B47" i="80"/>
  <c r="Z46" i="80"/>
  <c r="X46" i="80"/>
  <c r="N46" i="80"/>
  <c r="L46" i="80"/>
  <c r="B46" i="80"/>
  <c r="T45" i="80"/>
  <c r="P45" i="80"/>
  <c r="X45" i="80" s="1"/>
  <c r="H45" i="80"/>
  <c r="D45" i="80"/>
  <c r="B45" i="80"/>
  <c r="X44" i="80"/>
  <c r="Z44" i="80" s="1"/>
  <c r="N44" i="80"/>
  <c r="L44" i="80"/>
  <c r="B44" i="80"/>
  <c r="T43" i="80"/>
  <c r="P43" i="80"/>
  <c r="X43" i="80" s="1"/>
  <c r="Z43" i="80" s="1"/>
  <c r="H43" i="80"/>
  <c r="N43" i="80" s="1"/>
  <c r="D43" i="80"/>
  <c r="L43" i="80" s="1"/>
  <c r="B43" i="80"/>
  <c r="Z42" i="80"/>
  <c r="X42" i="80"/>
  <c r="N42" i="80"/>
  <c r="L42" i="80"/>
  <c r="B42" i="80"/>
  <c r="X41" i="80"/>
  <c r="Z41" i="80" s="1"/>
  <c r="T41" i="80"/>
  <c r="P41" i="80"/>
  <c r="H41" i="80"/>
  <c r="D41" i="80"/>
  <c r="L41" i="80" s="1"/>
  <c r="N41" i="80" s="1"/>
  <c r="B41" i="80"/>
  <c r="Z40" i="80"/>
  <c r="X40" i="80"/>
  <c r="L40" i="80"/>
  <c r="N40" i="80" s="1"/>
  <c r="B40" i="80"/>
  <c r="T39" i="80"/>
  <c r="P39" i="80"/>
  <c r="H39" i="80"/>
  <c r="N39" i="80" s="1"/>
  <c r="D39" i="80"/>
  <c r="L39" i="80" s="1"/>
  <c r="B39" i="80"/>
  <c r="Z38" i="80"/>
  <c r="X38" i="80"/>
  <c r="N38" i="80"/>
  <c r="L38" i="80"/>
  <c r="B38" i="80"/>
  <c r="T37" i="80"/>
  <c r="Z37" i="80" s="1"/>
  <c r="P37" i="80"/>
  <c r="X37" i="80" s="1"/>
  <c r="N37" i="80"/>
  <c r="H37" i="80"/>
  <c r="D37" i="80"/>
  <c r="L37" i="80" s="1"/>
  <c r="B37" i="80"/>
  <c r="Z36" i="80"/>
  <c r="X36" i="80"/>
  <c r="N36" i="80"/>
  <c r="L36" i="80"/>
  <c r="B36" i="80"/>
  <c r="X35" i="80"/>
  <c r="Z35" i="80" s="1"/>
  <c r="L35" i="80"/>
  <c r="N35" i="80" s="1"/>
  <c r="B35" i="80"/>
  <c r="Z34" i="80"/>
  <c r="X34" i="80"/>
  <c r="N34" i="80"/>
  <c r="L34" i="80"/>
  <c r="B34" i="80"/>
  <c r="X33" i="80"/>
  <c r="Z33" i="80" s="1"/>
  <c r="L33" i="80"/>
  <c r="N33" i="80" s="1"/>
  <c r="B33" i="80"/>
  <c r="T32" i="80"/>
  <c r="Z32" i="80" s="1"/>
  <c r="R32" i="80"/>
  <c r="P32" i="80"/>
  <c r="X32" i="80" s="1"/>
  <c r="H32" i="80"/>
  <c r="D32" i="80"/>
  <c r="L32" i="80" s="1"/>
  <c r="B32" i="80"/>
  <c r="X31" i="80"/>
  <c r="Z31" i="80" s="1"/>
  <c r="R31" i="80"/>
  <c r="N31" i="80"/>
  <c r="L31" i="80"/>
  <c r="B31" i="80"/>
  <c r="Z30" i="80"/>
  <c r="X30" i="80"/>
  <c r="N30" i="80"/>
  <c r="L30" i="80"/>
  <c r="B30" i="80"/>
  <c r="X29" i="80"/>
  <c r="Z29" i="80" s="1"/>
  <c r="R29" i="80"/>
  <c r="N29" i="80"/>
  <c r="L29" i="80"/>
  <c r="B29" i="80"/>
  <c r="Z28" i="80"/>
  <c r="X28" i="80"/>
  <c r="L28" i="80"/>
  <c r="N28" i="80" s="1"/>
  <c r="B28" i="80"/>
  <c r="X27" i="80"/>
  <c r="Z27" i="80" s="1"/>
  <c r="R27" i="80"/>
  <c r="N27" i="80"/>
  <c r="L27" i="80"/>
  <c r="B27" i="80"/>
  <c r="Z26" i="80"/>
  <c r="X26" i="80"/>
  <c r="N26" i="80"/>
  <c r="L26" i="80"/>
  <c r="B26" i="80"/>
  <c r="X25" i="80"/>
  <c r="Z25" i="80" s="1"/>
  <c r="R25" i="80"/>
  <c r="N25" i="80"/>
  <c r="L25" i="80"/>
  <c r="B25" i="80"/>
  <c r="Z24" i="80"/>
  <c r="X24" i="80"/>
  <c r="L24" i="80"/>
  <c r="N24" i="80" s="1"/>
  <c r="B24" i="80"/>
  <c r="T23" i="80"/>
  <c r="P23" i="80"/>
  <c r="J23" i="80"/>
  <c r="H23" i="80"/>
  <c r="N23" i="80" s="1"/>
  <c r="D23" i="80"/>
  <c r="L23" i="80" s="1"/>
  <c r="B23" i="80"/>
  <c r="Z22" i="80"/>
  <c r="X22" i="80"/>
  <c r="T22" i="80"/>
  <c r="P22" i="80"/>
  <c r="L22" i="80"/>
  <c r="H22" i="80"/>
  <c r="D22" i="80"/>
  <c r="Z18" i="80"/>
  <c r="X18" i="80"/>
  <c r="N18" i="80"/>
  <c r="L18" i="80"/>
  <c r="F18" i="80"/>
  <c r="B18" i="80"/>
  <c r="Z17" i="80"/>
  <c r="X17" i="80"/>
  <c r="R17" i="80"/>
  <c r="L17" i="80"/>
  <c r="N17" i="80" s="1"/>
  <c r="B17" i="80"/>
  <c r="X16" i="80"/>
  <c r="T16" i="80"/>
  <c r="Z16" i="80" s="1"/>
  <c r="P16" i="80"/>
  <c r="N16" i="80"/>
  <c r="L16" i="80"/>
  <c r="J16" i="80"/>
  <c r="H16" i="80"/>
  <c r="D16" i="80"/>
  <c r="X14" i="80"/>
  <c r="T14" i="80"/>
  <c r="Z14" i="80" s="1"/>
  <c r="P14" i="80"/>
  <c r="H14" i="80"/>
  <c r="N14" i="80" s="1"/>
  <c r="D14" i="80"/>
  <c r="L14" i="80" s="1"/>
  <c r="B14" i="80"/>
  <c r="T13" i="80"/>
  <c r="P13" i="80"/>
  <c r="X13" i="80" s="1"/>
  <c r="Z13" i="80" s="1"/>
  <c r="N13" i="80"/>
  <c r="L13" i="80"/>
  <c r="H13" i="80"/>
  <c r="H12" i="80" s="1"/>
  <c r="D13" i="80"/>
  <c r="B13" i="80"/>
  <c r="T12" i="80"/>
  <c r="V25" i="80" s="1"/>
  <c r="P12" i="80"/>
  <c r="R41" i="80" s="1"/>
  <c r="D12" i="80"/>
  <c r="D6" i="80"/>
  <c r="D4" i="80"/>
  <c r="Z70" i="79"/>
  <c r="X70" i="79"/>
  <c r="N70" i="79"/>
  <c r="L70" i="79"/>
  <c r="X66" i="79"/>
  <c r="T66" i="79"/>
  <c r="Z66" i="79" s="1"/>
  <c r="P66" i="79"/>
  <c r="N66" i="79"/>
  <c r="L66" i="79"/>
  <c r="J66" i="79"/>
  <c r="H66" i="79"/>
  <c r="D66" i="79"/>
  <c r="X64" i="79"/>
  <c r="Z64" i="79" s="1"/>
  <c r="N64" i="79"/>
  <c r="L64" i="79"/>
  <c r="B64" i="79"/>
  <c r="T63" i="79"/>
  <c r="P63" i="79"/>
  <c r="X63" i="79" s="1"/>
  <c r="Z63" i="79" s="1"/>
  <c r="H63" i="79"/>
  <c r="N63" i="79" s="1"/>
  <c r="D63" i="79"/>
  <c r="L63" i="79" s="1"/>
  <c r="B63" i="79"/>
  <c r="Z62" i="79"/>
  <c r="X62" i="79"/>
  <c r="N62" i="79"/>
  <c r="L62" i="79"/>
  <c r="B62" i="79"/>
  <c r="X61" i="79"/>
  <c r="Z61" i="79" s="1"/>
  <c r="T61" i="79"/>
  <c r="P61" i="79"/>
  <c r="H61" i="79"/>
  <c r="D61" i="79"/>
  <c r="L61" i="79" s="1"/>
  <c r="N61" i="79" s="1"/>
  <c r="B61" i="79"/>
  <c r="Z60" i="79"/>
  <c r="X60" i="79"/>
  <c r="L60" i="79"/>
  <c r="N60" i="79" s="1"/>
  <c r="B60" i="79"/>
  <c r="X59" i="79"/>
  <c r="Z59" i="79" s="1"/>
  <c r="N59" i="79"/>
  <c r="L59" i="79"/>
  <c r="B59" i="79"/>
  <c r="Z58" i="79"/>
  <c r="X58" i="79"/>
  <c r="N58" i="79"/>
  <c r="L58" i="79"/>
  <c r="B58" i="79"/>
  <c r="X57" i="79"/>
  <c r="Z57" i="79" s="1"/>
  <c r="N57" i="79"/>
  <c r="L57" i="79"/>
  <c r="B57" i="79"/>
  <c r="T56" i="79"/>
  <c r="P56" i="79"/>
  <c r="X56" i="79" s="1"/>
  <c r="Z56" i="79" s="1"/>
  <c r="H56" i="79"/>
  <c r="D56" i="79"/>
  <c r="L56" i="79" s="1"/>
  <c r="N56" i="79" s="1"/>
  <c r="B56" i="79"/>
  <c r="Z55" i="79"/>
  <c r="X55" i="79"/>
  <c r="N55" i="79"/>
  <c r="L55" i="79"/>
  <c r="B55" i="79"/>
  <c r="Z54" i="79"/>
  <c r="X54" i="79"/>
  <c r="N54" i="79"/>
  <c r="L54" i="79"/>
  <c r="B54" i="79"/>
  <c r="Z53" i="79"/>
  <c r="X53" i="79"/>
  <c r="L53" i="79"/>
  <c r="N53" i="79" s="1"/>
  <c r="B53" i="79"/>
  <c r="X52" i="79"/>
  <c r="T52" i="79"/>
  <c r="P52" i="79"/>
  <c r="N52" i="79"/>
  <c r="L52" i="79"/>
  <c r="H52" i="79"/>
  <c r="D52" i="79"/>
  <c r="B52" i="79"/>
  <c r="Z51" i="79"/>
  <c r="X51" i="79"/>
  <c r="L51" i="79"/>
  <c r="N51" i="79" s="1"/>
  <c r="B51" i="79"/>
  <c r="T50" i="79"/>
  <c r="P50" i="79"/>
  <c r="H50" i="79"/>
  <c r="N50" i="79" s="1"/>
  <c r="D50" i="79"/>
  <c r="L50" i="79" s="1"/>
  <c r="B50" i="79"/>
  <c r="X49" i="79"/>
  <c r="Z49" i="79" s="1"/>
  <c r="V49" i="79"/>
  <c r="N49" i="79"/>
  <c r="L49" i="79"/>
  <c r="B49" i="79"/>
  <c r="Z48" i="79"/>
  <c r="X48" i="79"/>
  <c r="L48" i="79"/>
  <c r="N48" i="79" s="1"/>
  <c r="B48" i="79"/>
  <c r="X47" i="79"/>
  <c r="Z47" i="79" s="1"/>
  <c r="N47" i="79"/>
  <c r="L47" i="79"/>
  <c r="B47" i="79"/>
  <c r="T46" i="79"/>
  <c r="P46" i="79"/>
  <c r="X46" i="79" s="1"/>
  <c r="Z46" i="79" s="1"/>
  <c r="H46" i="79"/>
  <c r="D46" i="79"/>
  <c r="L46" i="79" s="1"/>
  <c r="N46" i="79" s="1"/>
  <c r="B46" i="79"/>
  <c r="Z45" i="79"/>
  <c r="X45" i="79"/>
  <c r="L45" i="79"/>
  <c r="N45" i="79" s="1"/>
  <c r="B45" i="79"/>
  <c r="X44" i="79"/>
  <c r="T44" i="79"/>
  <c r="Z44" i="79" s="1"/>
  <c r="P44" i="79"/>
  <c r="N44" i="79"/>
  <c r="L44" i="79"/>
  <c r="H44" i="79"/>
  <c r="D44" i="79"/>
  <c r="B44" i="79"/>
  <c r="Z43" i="79"/>
  <c r="X43" i="79"/>
  <c r="L43" i="79"/>
  <c r="N43" i="79" s="1"/>
  <c r="B43" i="79"/>
  <c r="T42" i="79"/>
  <c r="P42" i="79"/>
  <c r="H42" i="79"/>
  <c r="D42" i="79"/>
  <c r="L42" i="79" s="1"/>
  <c r="B42" i="79"/>
  <c r="X41" i="79"/>
  <c r="Z41" i="79" s="1"/>
  <c r="N41" i="79"/>
  <c r="L41" i="79"/>
  <c r="B41" i="79"/>
  <c r="Z40" i="79"/>
  <c r="T40" i="79"/>
  <c r="P40" i="79"/>
  <c r="X40" i="79" s="1"/>
  <c r="H40" i="79"/>
  <c r="D40" i="79"/>
  <c r="L40" i="79" s="1"/>
  <c r="N40" i="79" s="1"/>
  <c r="B40" i="79"/>
  <c r="Z39" i="79"/>
  <c r="X39" i="79"/>
  <c r="N39" i="79"/>
  <c r="L39" i="79"/>
  <c r="B39" i="79"/>
  <c r="Z38" i="79"/>
  <c r="X38" i="79"/>
  <c r="V38" i="79"/>
  <c r="T38" i="79"/>
  <c r="P38" i="79"/>
  <c r="L38" i="79"/>
  <c r="H38" i="79"/>
  <c r="N38" i="79" s="1"/>
  <c r="D38" i="79"/>
  <c r="B38" i="79"/>
  <c r="X37" i="79"/>
  <c r="Z37" i="79" s="1"/>
  <c r="L37" i="79"/>
  <c r="N37" i="79" s="1"/>
  <c r="B37" i="79"/>
  <c r="X36" i="79"/>
  <c r="Z36" i="79" s="1"/>
  <c r="N36" i="79"/>
  <c r="L36" i="79"/>
  <c r="B36" i="79"/>
  <c r="Z35" i="79"/>
  <c r="X35" i="79"/>
  <c r="L35" i="79"/>
  <c r="N35" i="79" s="1"/>
  <c r="B35" i="79"/>
  <c r="X34" i="79"/>
  <c r="Z34" i="79" s="1"/>
  <c r="N34" i="79"/>
  <c r="L34" i="79"/>
  <c r="B34" i="79"/>
  <c r="X33" i="79"/>
  <c r="Z33" i="79" s="1"/>
  <c r="N33" i="79"/>
  <c r="L33" i="79"/>
  <c r="J33" i="79"/>
  <c r="B33" i="79"/>
  <c r="T32" i="79"/>
  <c r="Z32" i="79" s="1"/>
  <c r="P32" i="79"/>
  <c r="X32" i="79" s="1"/>
  <c r="H32" i="79"/>
  <c r="D32" i="79"/>
  <c r="L32" i="79" s="1"/>
  <c r="B32" i="79"/>
  <c r="Z31" i="79"/>
  <c r="X31" i="79"/>
  <c r="N31" i="79"/>
  <c r="L31" i="79"/>
  <c r="B31" i="79"/>
  <c r="Z30" i="79"/>
  <c r="X30" i="79"/>
  <c r="N30" i="79"/>
  <c r="L30" i="79"/>
  <c r="J30" i="79"/>
  <c r="B30" i="79"/>
  <c r="X29" i="79"/>
  <c r="Z29" i="79" s="1"/>
  <c r="N29" i="79"/>
  <c r="L29" i="79"/>
  <c r="B29" i="79"/>
  <c r="Z28" i="79"/>
  <c r="X28" i="79"/>
  <c r="N28" i="79"/>
  <c r="L28" i="79"/>
  <c r="B28" i="79"/>
  <c r="X27" i="79"/>
  <c r="Z27" i="79" s="1"/>
  <c r="N27" i="79"/>
  <c r="L27" i="79"/>
  <c r="B27" i="79"/>
  <c r="Z26" i="79"/>
  <c r="X26" i="79"/>
  <c r="N26" i="79"/>
  <c r="L26" i="79"/>
  <c r="B26" i="79"/>
  <c r="X25" i="79"/>
  <c r="Z25" i="79" s="1"/>
  <c r="V25" i="79"/>
  <c r="N25" i="79"/>
  <c r="L25" i="79"/>
  <c r="B25" i="79"/>
  <c r="Z24" i="79"/>
  <c r="X24" i="79"/>
  <c r="L24" i="79"/>
  <c r="N24" i="79" s="1"/>
  <c r="B24" i="79"/>
  <c r="T23" i="79"/>
  <c r="P23" i="79"/>
  <c r="H23" i="79"/>
  <c r="D23" i="79"/>
  <c r="B23" i="79"/>
  <c r="Z22" i="79"/>
  <c r="X22" i="79"/>
  <c r="T22" i="79"/>
  <c r="P22" i="79"/>
  <c r="L22" i="79"/>
  <c r="H22" i="79"/>
  <c r="N22" i="79" s="1"/>
  <c r="D22" i="79"/>
  <c r="Z18" i="79"/>
  <c r="X18" i="79"/>
  <c r="V18" i="79"/>
  <c r="L18" i="79"/>
  <c r="N18" i="79" s="1"/>
  <c r="B18" i="79"/>
  <c r="Z17" i="79"/>
  <c r="X17" i="79"/>
  <c r="L17" i="79"/>
  <c r="N17" i="79" s="1"/>
  <c r="B17" i="79"/>
  <c r="X16" i="79"/>
  <c r="T16" i="79"/>
  <c r="P16" i="79"/>
  <c r="N16" i="79"/>
  <c r="L16" i="79"/>
  <c r="H16" i="79"/>
  <c r="D16" i="79"/>
  <c r="X14" i="79"/>
  <c r="T14" i="79"/>
  <c r="P14" i="79"/>
  <c r="P12" i="79" s="1"/>
  <c r="H14" i="79"/>
  <c r="D14" i="79"/>
  <c r="L14" i="79" s="1"/>
  <c r="B14" i="79"/>
  <c r="T13" i="79"/>
  <c r="P13" i="79"/>
  <c r="X13" i="79" s="1"/>
  <c r="Z13" i="79" s="1"/>
  <c r="N13" i="79"/>
  <c r="L13" i="79"/>
  <c r="H13" i="79"/>
  <c r="H12" i="79" s="1"/>
  <c r="J44" i="79" s="1"/>
  <c r="D13" i="79"/>
  <c r="B13" i="79"/>
  <c r="T12" i="79"/>
  <c r="V41" i="79" s="1"/>
  <c r="D12" i="79"/>
  <c r="D6" i="79"/>
  <c r="D4" i="79"/>
  <c r="X65" i="78"/>
  <c r="Z65" i="78" s="1"/>
  <c r="N65" i="78"/>
  <c r="L65" i="78"/>
  <c r="X61" i="78"/>
  <c r="T61" i="78"/>
  <c r="P61" i="78"/>
  <c r="N61" i="78"/>
  <c r="L61" i="78"/>
  <c r="H61" i="78"/>
  <c r="D61" i="78"/>
  <c r="B61" i="78"/>
  <c r="T60" i="78"/>
  <c r="P60" i="78"/>
  <c r="X60" i="78" s="1"/>
  <c r="Z60" i="78" s="1"/>
  <c r="N60" i="78"/>
  <c r="L60" i="78"/>
  <c r="H60" i="78"/>
  <c r="D60" i="78"/>
  <c r="B60" i="78"/>
  <c r="X59" i="78"/>
  <c r="Z59" i="78" s="1"/>
  <c r="T59" i="78"/>
  <c r="P59" i="78"/>
  <c r="N59" i="78"/>
  <c r="H59" i="78"/>
  <c r="D59" i="78"/>
  <c r="L59" i="78" s="1"/>
  <c r="B59" i="78"/>
  <c r="T58" i="78"/>
  <c r="Z58" i="78" s="1"/>
  <c r="P58" i="78"/>
  <c r="X58" i="78" s="1"/>
  <c r="N58" i="78"/>
  <c r="H58" i="78"/>
  <c r="D58" i="78"/>
  <c r="L58" i="78" s="1"/>
  <c r="B58" i="78"/>
  <c r="T57" i="78"/>
  <c r="Z57" i="78" s="1"/>
  <c r="P57" i="78"/>
  <c r="X57" i="78" s="1"/>
  <c r="H57" i="78"/>
  <c r="D57" i="78"/>
  <c r="B57" i="78"/>
  <c r="T56" i="78"/>
  <c r="X54" i="78"/>
  <c r="Z54" i="78" s="1"/>
  <c r="N54" i="78"/>
  <c r="L54" i="78"/>
  <c r="B54" i="78"/>
  <c r="Z53" i="78"/>
  <c r="X53" i="78"/>
  <c r="T53" i="78"/>
  <c r="P53" i="78"/>
  <c r="N53" i="78"/>
  <c r="H53" i="78"/>
  <c r="D53" i="78"/>
  <c r="L53" i="78" s="1"/>
  <c r="B53" i="78"/>
  <c r="Z52" i="78"/>
  <c r="X52" i="78"/>
  <c r="L52" i="78"/>
  <c r="N52" i="78" s="1"/>
  <c r="B52" i="78"/>
  <c r="X51" i="78"/>
  <c r="Z51" i="78" s="1"/>
  <c r="L51" i="78"/>
  <c r="N51" i="78" s="1"/>
  <c r="B51" i="78"/>
  <c r="T50" i="78"/>
  <c r="P50" i="78"/>
  <c r="X50" i="78" s="1"/>
  <c r="Z50" i="78" s="1"/>
  <c r="H50" i="78"/>
  <c r="N50" i="78" s="1"/>
  <c r="D50" i="78"/>
  <c r="L50" i="78" s="1"/>
  <c r="B50" i="78"/>
  <c r="X49" i="78"/>
  <c r="Z49" i="78" s="1"/>
  <c r="N49" i="78"/>
  <c r="L49" i="78"/>
  <c r="B49" i="78"/>
  <c r="X48" i="78"/>
  <c r="Z48" i="78" s="1"/>
  <c r="T48" i="78"/>
  <c r="P48" i="78"/>
  <c r="N48" i="78"/>
  <c r="H48" i="78"/>
  <c r="D48" i="78"/>
  <c r="L48" i="78" s="1"/>
  <c r="B48" i="78"/>
  <c r="Z47" i="78"/>
  <c r="X47" i="78"/>
  <c r="N47" i="78"/>
  <c r="L47" i="78"/>
  <c r="B47" i="78"/>
  <c r="X46" i="78"/>
  <c r="T46" i="78"/>
  <c r="P46" i="78"/>
  <c r="H46" i="78"/>
  <c r="N46" i="78" s="1"/>
  <c r="D46" i="78"/>
  <c r="B46" i="78"/>
  <c r="Z45" i="78"/>
  <c r="X45" i="78"/>
  <c r="L45" i="78"/>
  <c r="N45" i="78" s="1"/>
  <c r="B45" i="78"/>
  <c r="Z44" i="78"/>
  <c r="X44" i="78"/>
  <c r="L44" i="78"/>
  <c r="N44" i="78" s="1"/>
  <c r="B44" i="78"/>
  <c r="X43" i="78"/>
  <c r="T43" i="78"/>
  <c r="Z43" i="78" s="1"/>
  <c r="P43" i="78"/>
  <c r="N43" i="78"/>
  <c r="L43" i="78"/>
  <c r="H43" i="78"/>
  <c r="D43" i="78"/>
  <c r="B43" i="78"/>
  <c r="Z42" i="78"/>
  <c r="X42" i="78"/>
  <c r="N42" i="78"/>
  <c r="L42" i="78"/>
  <c r="F42" i="78"/>
  <c r="B42" i="78"/>
  <c r="T41" i="78"/>
  <c r="P41" i="78"/>
  <c r="H41" i="78"/>
  <c r="N41" i="78" s="1"/>
  <c r="D41" i="78"/>
  <c r="L41" i="78" s="1"/>
  <c r="B41" i="78"/>
  <c r="X40" i="78"/>
  <c r="Z40" i="78" s="1"/>
  <c r="N40" i="78"/>
  <c r="L40" i="78"/>
  <c r="B40" i="78"/>
  <c r="T39" i="78"/>
  <c r="P39" i="78"/>
  <c r="X39" i="78" s="1"/>
  <c r="Z39" i="78" s="1"/>
  <c r="N39" i="78"/>
  <c r="L39" i="78"/>
  <c r="H39" i="78"/>
  <c r="D39" i="78"/>
  <c r="B39" i="78"/>
  <c r="Z38" i="78"/>
  <c r="X38" i="78"/>
  <c r="N38" i="78"/>
  <c r="L38" i="78"/>
  <c r="B38" i="78"/>
  <c r="Z37" i="78"/>
  <c r="X37" i="78"/>
  <c r="N37" i="78"/>
  <c r="L37" i="78"/>
  <c r="B37" i="78"/>
  <c r="Z36" i="78"/>
  <c r="X36" i="78"/>
  <c r="N36" i="78"/>
  <c r="L36" i="78"/>
  <c r="B36" i="78"/>
  <c r="X35" i="78"/>
  <c r="T35" i="78"/>
  <c r="Z35" i="78" s="1"/>
  <c r="P35" i="78"/>
  <c r="N35" i="78"/>
  <c r="L35" i="78"/>
  <c r="H35" i="78"/>
  <c r="D35" i="78"/>
  <c r="B35" i="78"/>
  <c r="Z34" i="78"/>
  <c r="X34" i="78"/>
  <c r="N34" i="78"/>
  <c r="L34" i="78"/>
  <c r="F34" i="78"/>
  <c r="B34" i="78"/>
  <c r="X33" i="78"/>
  <c r="Z33" i="78" s="1"/>
  <c r="N33" i="78"/>
  <c r="L33" i="78"/>
  <c r="B33" i="78"/>
  <c r="X32" i="78"/>
  <c r="Z32" i="78" s="1"/>
  <c r="N32" i="78"/>
  <c r="L32" i="78"/>
  <c r="B32" i="78"/>
  <c r="X31" i="78"/>
  <c r="Z31" i="78" s="1"/>
  <c r="N31" i="78"/>
  <c r="L31" i="78"/>
  <c r="B31" i="78"/>
  <c r="Z30" i="78"/>
  <c r="X30" i="78"/>
  <c r="N30" i="78"/>
  <c r="L30" i="78"/>
  <c r="B30" i="78"/>
  <c r="X29" i="78"/>
  <c r="Z29" i="78" s="1"/>
  <c r="N29" i="78"/>
  <c r="L29" i="78"/>
  <c r="B29" i="78"/>
  <c r="X28" i="78"/>
  <c r="Z28" i="78" s="1"/>
  <c r="N28" i="78"/>
  <c r="L28" i="78"/>
  <c r="B28" i="78"/>
  <c r="T27" i="78"/>
  <c r="P27" i="78"/>
  <c r="X27" i="78" s="1"/>
  <c r="H27" i="78"/>
  <c r="N27" i="78" s="1"/>
  <c r="D27" i="78"/>
  <c r="L27" i="78" s="1"/>
  <c r="B27" i="78"/>
  <c r="T26" i="78"/>
  <c r="P26" i="78"/>
  <c r="H26" i="78"/>
  <c r="D26" i="78"/>
  <c r="X22" i="78"/>
  <c r="Z22" i="78" s="1"/>
  <c r="N22" i="78"/>
  <c r="L22" i="78"/>
  <c r="B22" i="78"/>
  <c r="Z21" i="78"/>
  <c r="X21" i="78"/>
  <c r="N21" i="78"/>
  <c r="L21" i="78"/>
  <c r="B21" i="78"/>
  <c r="X20" i="78"/>
  <c r="Z20" i="78" s="1"/>
  <c r="N20" i="78"/>
  <c r="L20" i="78"/>
  <c r="F20" i="78"/>
  <c r="B20" i="78"/>
  <c r="Z19" i="78"/>
  <c r="X19" i="78"/>
  <c r="N19" i="78"/>
  <c r="L19" i="78"/>
  <c r="B19" i="78"/>
  <c r="X18" i="78"/>
  <c r="Z18" i="78" s="1"/>
  <c r="N18" i="78"/>
  <c r="L18" i="78"/>
  <c r="B18" i="78"/>
  <c r="Z17" i="78"/>
  <c r="X17" i="78"/>
  <c r="T17" i="78"/>
  <c r="P17" i="78"/>
  <c r="N17" i="78"/>
  <c r="H17" i="78"/>
  <c r="D17" i="78"/>
  <c r="L17" i="78" s="1"/>
  <c r="Z15" i="78"/>
  <c r="X15" i="78"/>
  <c r="T15" i="78"/>
  <c r="P15" i="78"/>
  <c r="N15" i="78"/>
  <c r="H15" i="78"/>
  <c r="L15" i="78" s="1"/>
  <c r="D15" i="78"/>
  <c r="B15" i="78"/>
  <c r="T14" i="78"/>
  <c r="P14" i="78"/>
  <c r="H14" i="78"/>
  <c r="D14" i="78"/>
  <c r="L14" i="78" s="1"/>
  <c r="N14" i="78" s="1"/>
  <c r="B14" i="78"/>
  <c r="Z13" i="78"/>
  <c r="X13" i="78"/>
  <c r="T13" i="78"/>
  <c r="P13" i="78"/>
  <c r="H13" i="78"/>
  <c r="D13" i="78"/>
  <c r="D12" i="78" s="1"/>
  <c r="F41" i="78" s="1"/>
  <c r="B13" i="78"/>
  <c r="D6" i="78"/>
  <c r="D4" i="78"/>
  <c r="Z109" i="76"/>
  <c r="X109" i="76"/>
  <c r="L109" i="76"/>
  <c r="N109" i="76" s="1"/>
  <c r="X105" i="76"/>
  <c r="T105" i="76"/>
  <c r="P105" i="76"/>
  <c r="J105" i="76"/>
  <c r="H105" i="76"/>
  <c r="D105" i="76"/>
  <c r="B105" i="76"/>
  <c r="Z104" i="76"/>
  <c r="X104" i="76"/>
  <c r="T104" i="76"/>
  <c r="T101" i="76" s="1"/>
  <c r="P104" i="76"/>
  <c r="H104" i="76"/>
  <c r="D104" i="76"/>
  <c r="B104" i="76"/>
  <c r="X103" i="76"/>
  <c r="Z103" i="76" s="1"/>
  <c r="T103" i="76"/>
  <c r="P103" i="76"/>
  <c r="N103" i="76"/>
  <c r="H103" i="76"/>
  <c r="D103" i="76"/>
  <c r="B103" i="76"/>
  <c r="T102" i="76"/>
  <c r="P102" i="76"/>
  <c r="X102" i="76" s="1"/>
  <c r="Z102" i="76" s="1"/>
  <c r="H102" i="76"/>
  <c r="D102" i="76"/>
  <c r="L102" i="76" s="1"/>
  <c r="N102" i="76" s="1"/>
  <c r="B102" i="76"/>
  <c r="Z99" i="76"/>
  <c r="X99" i="76"/>
  <c r="N99" i="76"/>
  <c r="L99" i="76"/>
  <c r="B99" i="76"/>
  <c r="T98" i="76"/>
  <c r="P98" i="76"/>
  <c r="L98" i="76"/>
  <c r="H98" i="76"/>
  <c r="N98" i="76" s="1"/>
  <c r="D98" i="76"/>
  <c r="B98" i="76"/>
  <c r="X97" i="76"/>
  <c r="Z97" i="76" s="1"/>
  <c r="N97" i="76"/>
  <c r="L97" i="76"/>
  <c r="B97" i="76"/>
  <c r="T96" i="76"/>
  <c r="P96" i="76"/>
  <c r="X96" i="76" s="1"/>
  <c r="H96" i="76"/>
  <c r="N96" i="76" s="1"/>
  <c r="D96" i="76"/>
  <c r="B96" i="76"/>
  <c r="X95" i="76"/>
  <c r="Z95" i="76" s="1"/>
  <c r="N95" i="76"/>
  <c r="L95" i="76"/>
  <c r="B95" i="76"/>
  <c r="X94" i="76"/>
  <c r="Z94" i="76" s="1"/>
  <c r="T94" i="76"/>
  <c r="P94" i="76"/>
  <c r="H94" i="76"/>
  <c r="D94" i="76"/>
  <c r="L94" i="76" s="1"/>
  <c r="N94" i="76" s="1"/>
  <c r="B94" i="76"/>
  <c r="Z93" i="76"/>
  <c r="X93" i="76"/>
  <c r="N93" i="76"/>
  <c r="L93" i="76"/>
  <c r="B93" i="76"/>
  <c r="X92" i="76"/>
  <c r="Z92" i="76" s="1"/>
  <c r="N92" i="76"/>
  <c r="L92" i="76"/>
  <c r="B92" i="76"/>
  <c r="Z91" i="76"/>
  <c r="X91" i="76"/>
  <c r="N91" i="76"/>
  <c r="L91" i="76"/>
  <c r="B91" i="76"/>
  <c r="T90" i="76"/>
  <c r="P90" i="76"/>
  <c r="N90" i="76"/>
  <c r="H90" i="76"/>
  <c r="L90" i="76" s="1"/>
  <c r="D90" i="76"/>
  <c r="B90" i="76"/>
  <c r="X89" i="76"/>
  <c r="Z89" i="76" s="1"/>
  <c r="N89" i="76"/>
  <c r="L89" i="76"/>
  <c r="J89" i="76"/>
  <c r="B89" i="76"/>
  <c r="T88" i="76"/>
  <c r="P88" i="76"/>
  <c r="H88" i="76"/>
  <c r="N88" i="76" s="1"/>
  <c r="D88" i="76"/>
  <c r="L88" i="76" s="1"/>
  <c r="B88" i="76"/>
  <c r="X87" i="76"/>
  <c r="Z87" i="76" s="1"/>
  <c r="N87" i="76"/>
  <c r="L87" i="76"/>
  <c r="B87" i="76"/>
  <c r="Z86" i="76"/>
  <c r="T86" i="76"/>
  <c r="P86" i="76"/>
  <c r="X86" i="76" s="1"/>
  <c r="H86" i="76"/>
  <c r="D86" i="76"/>
  <c r="L86" i="76" s="1"/>
  <c r="N86" i="76" s="1"/>
  <c r="B86" i="76"/>
  <c r="Z85" i="76"/>
  <c r="X85" i="76"/>
  <c r="N85" i="76"/>
  <c r="L85" i="76"/>
  <c r="B85" i="76"/>
  <c r="T84" i="76"/>
  <c r="P84" i="76"/>
  <c r="H84" i="76"/>
  <c r="N84" i="76" s="1"/>
  <c r="D84" i="76"/>
  <c r="B84" i="76"/>
  <c r="Z83" i="76"/>
  <c r="X83" i="76"/>
  <c r="N83" i="76"/>
  <c r="L83" i="76"/>
  <c r="B83" i="76"/>
  <c r="T82" i="76"/>
  <c r="Z82" i="76" s="1"/>
  <c r="P82" i="76"/>
  <c r="X82" i="76" s="1"/>
  <c r="H82" i="76"/>
  <c r="N82" i="76" s="1"/>
  <c r="D82" i="76"/>
  <c r="L82" i="76" s="1"/>
  <c r="B82" i="76"/>
  <c r="Z81" i="76"/>
  <c r="X81" i="76"/>
  <c r="N81" i="76"/>
  <c r="L81" i="76"/>
  <c r="B81" i="76"/>
  <c r="Z80" i="76"/>
  <c r="X80" i="76"/>
  <c r="N80" i="76"/>
  <c r="L80" i="76"/>
  <c r="B80" i="76"/>
  <c r="T79" i="76"/>
  <c r="P79" i="76"/>
  <c r="X79" i="76" s="1"/>
  <c r="H79" i="76"/>
  <c r="N79" i="76" s="1"/>
  <c r="D79" i="76"/>
  <c r="L79" i="76" s="1"/>
  <c r="B79" i="76"/>
  <c r="X78" i="76"/>
  <c r="Z78" i="76" s="1"/>
  <c r="L78" i="76"/>
  <c r="N78" i="76" s="1"/>
  <c r="B78" i="76"/>
  <c r="T77" i="76"/>
  <c r="P77" i="76"/>
  <c r="X77" i="76" s="1"/>
  <c r="Z77" i="76" s="1"/>
  <c r="H77" i="76"/>
  <c r="D77" i="76"/>
  <c r="L77" i="76" s="1"/>
  <c r="N77" i="76" s="1"/>
  <c r="B77" i="76"/>
  <c r="X76" i="76"/>
  <c r="Z76" i="76" s="1"/>
  <c r="N76" i="76"/>
  <c r="L76" i="76"/>
  <c r="B76" i="76"/>
  <c r="Z75" i="76"/>
  <c r="X75" i="76"/>
  <c r="T75" i="76"/>
  <c r="P75" i="76"/>
  <c r="L75" i="76"/>
  <c r="N75" i="76" s="1"/>
  <c r="H75" i="76"/>
  <c r="D75" i="76"/>
  <c r="B75" i="76"/>
  <c r="X74" i="76"/>
  <c r="Z74" i="76" s="1"/>
  <c r="L74" i="76"/>
  <c r="N74" i="76" s="1"/>
  <c r="B74" i="76"/>
  <c r="T73" i="76"/>
  <c r="Z73" i="76" s="1"/>
  <c r="P73" i="76"/>
  <c r="X73" i="76" s="1"/>
  <c r="H73" i="76"/>
  <c r="D73" i="76"/>
  <c r="L73" i="76" s="1"/>
  <c r="B73" i="76"/>
  <c r="X72" i="76"/>
  <c r="Z72" i="76" s="1"/>
  <c r="L72" i="76"/>
  <c r="N72" i="76" s="1"/>
  <c r="B72" i="76"/>
  <c r="Z71" i="76"/>
  <c r="X71" i="76"/>
  <c r="N71" i="76"/>
  <c r="L71" i="76"/>
  <c r="J71" i="76"/>
  <c r="B71" i="76"/>
  <c r="X70" i="76"/>
  <c r="Z70" i="76" s="1"/>
  <c r="N70" i="76"/>
  <c r="L70" i="76"/>
  <c r="B70" i="76"/>
  <c r="Z69" i="76"/>
  <c r="X69" i="76"/>
  <c r="N69" i="76"/>
  <c r="L69" i="76"/>
  <c r="B69" i="76"/>
  <c r="X68" i="76"/>
  <c r="Z68" i="76" s="1"/>
  <c r="L68" i="76"/>
  <c r="N68" i="76" s="1"/>
  <c r="B68" i="76"/>
  <c r="T67" i="76"/>
  <c r="P67" i="76"/>
  <c r="X67" i="76" s="1"/>
  <c r="Z67" i="76" s="1"/>
  <c r="N67" i="76"/>
  <c r="H67" i="76"/>
  <c r="D67" i="76"/>
  <c r="L67" i="76" s="1"/>
  <c r="B67" i="76"/>
  <c r="X66" i="76"/>
  <c r="Z66" i="76" s="1"/>
  <c r="L66" i="76"/>
  <c r="N66" i="76" s="1"/>
  <c r="B66" i="76"/>
  <c r="X65" i="76"/>
  <c r="Z65" i="76" s="1"/>
  <c r="N65" i="76"/>
  <c r="L65" i="76"/>
  <c r="B65" i="76"/>
  <c r="X64" i="76"/>
  <c r="Z64" i="76" s="1"/>
  <c r="N64" i="76"/>
  <c r="L64" i="76"/>
  <c r="B64" i="76"/>
  <c r="X63" i="76"/>
  <c r="Z63" i="76" s="1"/>
  <c r="N63" i="76"/>
  <c r="L63" i="76"/>
  <c r="B63" i="76"/>
  <c r="X62" i="76"/>
  <c r="Z62" i="76" s="1"/>
  <c r="L62" i="76"/>
  <c r="N62" i="76" s="1"/>
  <c r="B62" i="76"/>
  <c r="X61" i="76"/>
  <c r="Z61" i="76" s="1"/>
  <c r="N61" i="76"/>
  <c r="L61" i="76"/>
  <c r="B61" i="76"/>
  <c r="X60" i="76"/>
  <c r="Z60" i="76" s="1"/>
  <c r="N60" i="76"/>
  <c r="L60" i="76"/>
  <c r="B60" i="76"/>
  <c r="X59" i="76"/>
  <c r="Z59" i="76" s="1"/>
  <c r="N59" i="76"/>
  <c r="L59" i="76"/>
  <c r="B59" i="76"/>
  <c r="X58" i="76"/>
  <c r="Z58" i="76" s="1"/>
  <c r="L58" i="76"/>
  <c r="N58" i="76" s="1"/>
  <c r="B58" i="76"/>
  <c r="X57" i="76"/>
  <c r="Z57" i="76" s="1"/>
  <c r="T57" i="76"/>
  <c r="P57" i="76"/>
  <c r="L57" i="76"/>
  <c r="N57" i="76" s="1"/>
  <c r="J57" i="76"/>
  <c r="H57" i="76"/>
  <c r="D57" i="76"/>
  <c r="B57" i="76"/>
  <c r="Z56" i="76"/>
  <c r="X56" i="76"/>
  <c r="T56" i="76"/>
  <c r="P56" i="76"/>
  <c r="L56" i="76"/>
  <c r="H56" i="76"/>
  <c r="N56" i="76" s="1"/>
  <c r="D56" i="76"/>
  <c r="Z52" i="76"/>
  <c r="X52" i="76"/>
  <c r="N52" i="76"/>
  <c r="L52" i="76"/>
  <c r="B52" i="76"/>
  <c r="Z51" i="76"/>
  <c r="X51" i="76"/>
  <c r="N51" i="76"/>
  <c r="L51" i="76"/>
  <c r="B51" i="76"/>
  <c r="X50" i="76"/>
  <c r="Z50" i="76" s="1"/>
  <c r="N50" i="76"/>
  <c r="L50" i="76"/>
  <c r="B50" i="76"/>
  <c r="Z49" i="76"/>
  <c r="X49" i="76"/>
  <c r="N49" i="76"/>
  <c r="L49" i="76"/>
  <c r="B49" i="76"/>
  <c r="Z48" i="76"/>
  <c r="X48" i="76"/>
  <c r="L48" i="76"/>
  <c r="N48" i="76" s="1"/>
  <c r="B48" i="76"/>
  <c r="Z47" i="76"/>
  <c r="X47" i="76"/>
  <c r="N47" i="76"/>
  <c r="L47" i="76"/>
  <c r="B47" i="76"/>
  <c r="X46" i="76"/>
  <c r="Z46" i="76" s="1"/>
  <c r="N46" i="76"/>
  <c r="L46" i="76"/>
  <c r="B46" i="76"/>
  <c r="Z45" i="76"/>
  <c r="X45" i="76"/>
  <c r="N45" i="76"/>
  <c r="L45" i="76"/>
  <c r="B45" i="76"/>
  <c r="Z44" i="76"/>
  <c r="X44" i="76"/>
  <c r="L44" i="76"/>
  <c r="N44" i="76" s="1"/>
  <c r="B44" i="76"/>
  <c r="Z43" i="76"/>
  <c r="X43" i="76"/>
  <c r="N43" i="76"/>
  <c r="L43" i="76"/>
  <c r="B43" i="76"/>
  <c r="X42" i="76"/>
  <c r="Z42" i="76" s="1"/>
  <c r="L42" i="76"/>
  <c r="N42" i="76" s="1"/>
  <c r="B42" i="76"/>
  <c r="Z41" i="76"/>
  <c r="X41" i="76"/>
  <c r="N41" i="76"/>
  <c r="L41" i="76"/>
  <c r="B41" i="76"/>
  <c r="Z40" i="76"/>
  <c r="X40" i="76"/>
  <c r="L40" i="76"/>
  <c r="N40" i="76" s="1"/>
  <c r="B40" i="76"/>
  <c r="T39" i="76"/>
  <c r="Z39" i="76" s="1"/>
  <c r="P39" i="76"/>
  <c r="X39" i="76" s="1"/>
  <c r="H39" i="76"/>
  <c r="D39" i="76"/>
  <c r="L39" i="76" s="1"/>
  <c r="N39" i="76" s="1"/>
  <c r="T37" i="76"/>
  <c r="Z37" i="76" s="1"/>
  <c r="P37" i="76"/>
  <c r="X37" i="76" s="1"/>
  <c r="N37" i="76"/>
  <c r="H37" i="76"/>
  <c r="L37" i="76" s="1"/>
  <c r="D37" i="76"/>
  <c r="B37" i="76"/>
  <c r="X36" i="76"/>
  <c r="Z36" i="76" s="1"/>
  <c r="T36" i="76"/>
  <c r="P36" i="76"/>
  <c r="H36" i="76"/>
  <c r="N36" i="76" s="1"/>
  <c r="D36" i="76"/>
  <c r="B36" i="76"/>
  <c r="T35" i="76"/>
  <c r="Z35" i="76" s="1"/>
  <c r="P35" i="76"/>
  <c r="X35" i="76" s="1"/>
  <c r="N35" i="76"/>
  <c r="H35" i="76"/>
  <c r="L35" i="76" s="1"/>
  <c r="D35" i="76"/>
  <c r="B35" i="76"/>
  <c r="Z34" i="76"/>
  <c r="X34" i="76"/>
  <c r="T34" i="76"/>
  <c r="P34" i="76"/>
  <c r="H34" i="76"/>
  <c r="N34" i="76" s="1"/>
  <c r="D34" i="76"/>
  <c r="L34" i="76" s="1"/>
  <c r="B34" i="76"/>
  <c r="T33" i="76"/>
  <c r="P33" i="76"/>
  <c r="X33" i="76" s="1"/>
  <c r="N33" i="76"/>
  <c r="L33" i="76"/>
  <c r="H33" i="76"/>
  <c r="D33" i="76"/>
  <c r="B33" i="76"/>
  <c r="X32" i="76"/>
  <c r="T32" i="76"/>
  <c r="Z32" i="76" s="1"/>
  <c r="P32" i="76"/>
  <c r="H32" i="76"/>
  <c r="N32" i="76" s="1"/>
  <c r="D32" i="76"/>
  <c r="B32" i="76"/>
  <c r="T31" i="76"/>
  <c r="Z31" i="76" s="1"/>
  <c r="P31" i="76"/>
  <c r="X31" i="76" s="1"/>
  <c r="N31" i="76"/>
  <c r="H31" i="76"/>
  <c r="L31" i="76" s="1"/>
  <c r="D31" i="76"/>
  <c r="B31" i="76"/>
  <c r="Z30" i="76"/>
  <c r="X30" i="76"/>
  <c r="T30" i="76"/>
  <c r="P30" i="76"/>
  <c r="H30" i="76"/>
  <c r="N30" i="76" s="1"/>
  <c r="D30" i="76"/>
  <c r="L30" i="76" s="1"/>
  <c r="B30" i="76"/>
  <c r="T29" i="76"/>
  <c r="P29" i="76"/>
  <c r="X29" i="76" s="1"/>
  <c r="N29" i="76"/>
  <c r="L29" i="76"/>
  <c r="H29" i="76"/>
  <c r="D29" i="76"/>
  <c r="B29" i="76"/>
  <c r="X28" i="76"/>
  <c r="T28" i="76"/>
  <c r="Z28" i="76" s="1"/>
  <c r="P28" i="76"/>
  <c r="H28" i="76"/>
  <c r="D28" i="76"/>
  <c r="B28" i="76"/>
  <c r="T27" i="76"/>
  <c r="Z27" i="76" s="1"/>
  <c r="P27" i="76"/>
  <c r="X27" i="76" s="1"/>
  <c r="N27" i="76"/>
  <c r="H27" i="76"/>
  <c r="L27" i="76" s="1"/>
  <c r="D27" i="76"/>
  <c r="B27" i="76"/>
  <c r="Z26" i="76"/>
  <c r="X26" i="76"/>
  <c r="T26" i="76"/>
  <c r="P26" i="76"/>
  <c r="H26" i="76"/>
  <c r="N26" i="76" s="1"/>
  <c r="D26" i="76"/>
  <c r="L26" i="76" s="1"/>
  <c r="B26" i="76"/>
  <c r="T25" i="76"/>
  <c r="P25" i="76"/>
  <c r="X25" i="76" s="1"/>
  <c r="N25" i="76"/>
  <c r="L25" i="76"/>
  <c r="H25" i="76"/>
  <c r="D25" i="76"/>
  <c r="B25" i="76"/>
  <c r="X24" i="76"/>
  <c r="T24" i="76"/>
  <c r="P24" i="76"/>
  <c r="H24" i="76"/>
  <c r="N24" i="76" s="1"/>
  <c r="D24" i="76"/>
  <c r="B24" i="76"/>
  <c r="T23" i="76"/>
  <c r="P23" i="76"/>
  <c r="X23" i="76" s="1"/>
  <c r="N23" i="76"/>
  <c r="L23" i="76"/>
  <c r="H23" i="76"/>
  <c r="D23" i="76"/>
  <c r="B23" i="76"/>
  <c r="Z22" i="76"/>
  <c r="X22" i="76"/>
  <c r="T22" i="76"/>
  <c r="P22" i="76"/>
  <c r="H22" i="76"/>
  <c r="D22" i="76"/>
  <c r="L22" i="76" s="1"/>
  <c r="B22" i="76"/>
  <c r="T21" i="76"/>
  <c r="P21" i="76"/>
  <c r="X21" i="76" s="1"/>
  <c r="N21" i="76"/>
  <c r="L21" i="76"/>
  <c r="H21" i="76"/>
  <c r="D21" i="76"/>
  <c r="B21" i="76"/>
  <c r="X20" i="76"/>
  <c r="T20" i="76"/>
  <c r="Z20" i="76" s="1"/>
  <c r="P20" i="76"/>
  <c r="H20" i="76"/>
  <c r="N20" i="76" s="1"/>
  <c r="D20" i="76"/>
  <c r="B20" i="76"/>
  <c r="T19" i="76"/>
  <c r="P19" i="76"/>
  <c r="X19" i="76" s="1"/>
  <c r="N19" i="76"/>
  <c r="L19" i="76"/>
  <c r="H19" i="76"/>
  <c r="D19" i="76"/>
  <c r="B19" i="76"/>
  <c r="Z18" i="76"/>
  <c r="X18" i="76"/>
  <c r="T18" i="76"/>
  <c r="P18" i="76"/>
  <c r="H18" i="76"/>
  <c r="N18" i="76" s="1"/>
  <c r="D18" i="76"/>
  <c r="L18" i="76" s="1"/>
  <c r="B18" i="76"/>
  <c r="T17" i="76"/>
  <c r="Z17" i="76" s="1"/>
  <c r="P17" i="76"/>
  <c r="X17" i="76" s="1"/>
  <c r="N17" i="76"/>
  <c r="L17" i="76"/>
  <c r="H17" i="76"/>
  <c r="D17" i="76"/>
  <c r="B17" i="76"/>
  <c r="X16" i="76"/>
  <c r="T16" i="76"/>
  <c r="Z16" i="76" s="1"/>
  <c r="P16" i="76"/>
  <c r="H16" i="76"/>
  <c r="D16" i="76"/>
  <c r="B16" i="76"/>
  <c r="T15" i="76"/>
  <c r="Z15" i="76" s="1"/>
  <c r="P15" i="76"/>
  <c r="X15" i="76" s="1"/>
  <c r="N15" i="76"/>
  <c r="L15" i="76"/>
  <c r="H15" i="76"/>
  <c r="D15" i="76"/>
  <c r="B15" i="76"/>
  <c r="Z14" i="76"/>
  <c r="X14" i="76"/>
  <c r="T14" i="76"/>
  <c r="P14" i="76"/>
  <c r="H14" i="76"/>
  <c r="D14" i="76"/>
  <c r="B14" i="76"/>
  <c r="T13" i="76"/>
  <c r="T12" i="76" s="1"/>
  <c r="P13" i="76"/>
  <c r="X13" i="76" s="1"/>
  <c r="N13" i="76"/>
  <c r="L13" i="76"/>
  <c r="H13" i="76"/>
  <c r="D13" i="76"/>
  <c r="B13" i="76"/>
  <c r="H12" i="76"/>
  <c r="J85" i="76" s="1"/>
  <c r="D6" i="76"/>
  <c r="D4" i="76"/>
  <c r="X82" i="75"/>
  <c r="Z82" i="75" s="1"/>
  <c r="N82" i="75"/>
  <c r="L82" i="75"/>
  <c r="T78" i="75"/>
  <c r="T77" i="75" s="1"/>
  <c r="P78" i="75"/>
  <c r="X78" i="75" s="1"/>
  <c r="Z78" i="75" s="1"/>
  <c r="L78" i="75"/>
  <c r="H78" i="75"/>
  <c r="H77" i="75" s="1"/>
  <c r="D78" i="75"/>
  <c r="B78" i="75"/>
  <c r="D77" i="75"/>
  <c r="Z75" i="75"/>
  <c r="X75" i="75"/>
  <c r="N75" i="75"/>
  <c r="L75" i="75"/>
  <c r="J75" i="75"/>
  <c r="B75" i="75"/>
  <c r="X74" i="75"/>
  <c r="T74" i="75"/>
  <c r="Z74" i="75" s="1"/>
  <c r="P74" i="75"/>
  <c r="H74" i="75"/>
  <c r="D74" i="75"/>
  <c r="B74" i="75"/>
  <c r="X73" i="75"/>
  <c r="Z73" i="75" s="1"/>
  <c r="N73" i="75"/>
  <c r="L73" i="75"/>
  <c r="B73" i="75"/>
  <c r="T72" i="75"/>
  <c r="P72" i="75"/>
  <c r="X72" i="75" s="1"/>
  <c r="H72" i="75"/>
  <c r="N72" i="75" s="1"/>
  <c r="D72" i="75"/>
  <c r="L72" i="75" s="1"/>
  <c r="B72" i="75"/>
  <c r="Z71" i="75"/>
  <c r="X71" i="75"/>
  <c r="N71" i="75"/>
  <c r="L71" i="75"/>
  <c r="B71" i="75"/>
  <c r="X70" i="75"/>
  <c r="T70" i="75"/>
  <c r="Z70" i="75" s="1"/>
  <c r="P70" i="75"/>
  <c r="H70" i="75"/>
  <c r="D70" i="75"/>
  <c r="L70" i="75" s="1"/>
  <c r="N70" i="75" s="1"/>
  <c r="B70" i="75"/>
  <c r="Z69" i="75"/>
  <c r="X69" i="75"/>
  <c r="L69" i="75"/>
  <c r="N69" i="75" s="1"/>
  <c r="B69" i="75"/>
  <c r="X68" i="75"/>
  <c r="Z68" i="75" s="1"/>
  <c r="N68" i="75"/>
  <c r="L68" i="75"/>
  <c r="B68" i="75"/>
  <c r="Z67" i="75"/>
  <c r="X67" i="75"/>
  <c r="N67" i="75"/>
  <c r="L67" i="75"/>
  <c r="J67" i="75"/>
  <c r="B67" i="75"/>
  <c r="X66" i="75"/>
  <c r="Z66" i="75" s="1"/>
  <c r="N66" i="75"/>
  <c r="L66" i="75"/>
  <c r="B66" i="75"/>
  <c r="Z65" i="75"/>
  <c r="X65" i="75"/>
  <c r="N65" i="75"/>
  <c r="L65" i="75"/>
  <c r="B65" i="75"/>
  <c r="X64" i="75"/>
  <c r="Z64" i="75" s="1"/>
  <c r="N64" i="75"/>
  <c r="L64" i="75"/>
  <c r="B64" i="75"/>
  <c r="Z63" i="75"/>
  <c r="X63" i="75"/>
  <c r="T63" i="75"/>
  <c r="P63" i="75"/>
  <c r="H63" i="75"/>
  <c r="D63" i="75"/>
  <c r="L63" i="75" s="1"/>
  <c r="N63" i="75" s="1"/>
  <c r="B63" i="75"/>
  <c r="Z62" i="75"/>
  <c r="X62" i="75"/>
  <c r="L62" i="75"/>
  <c r="N62" i="75" s="1"/>
  <c r="B62" i="75"/>
  <c r="X61" i="75"/>
  <c r="Z61" i="75" s="1"/>
  <c r="T61" i="75"/>
  <c r="P61" i="75"/>
  <c r="J61" i="75"/>
  <c r="H61" i="75"/>
  <c r="L61" i="75" s="1"/>
  <c r="N61" i="75" s="1"/>
  <c r="D61" i="75"/>
  <c r="B61" i="75"/>
  <c r="Z60" i="75"/>
  <c r="X60" i="75"/>
  <c r="L60" i="75"/>
  <c r="N60" i="75" s="1"/>
  <c r="B60" i="75"/>
  <c r="Z59" i="75"/>
  <c r="X59" i="75"/>
  <c r="N59" i="75"/>
  <c r="L59" i="75"/>
  <c r="B59" i="75"/>
  <c r="Z58" i="75"/>
  <c r="X58" i="75"/>
  <c r="N58" i="75"/>
  <c r="L58" i="75"/>
  <c r="B58" i="75"/>
  <c r="T57" i="75"/>
  <c r="P57" i="75"/>
  <c r="X57" i="75" s="1"/>
  <c r="Z57" i="75" s="1"/>
  <c r="H57" i="75"/>
  <c r="D57" i="75"/>
  <c r="L57" i="75" s="1"/>
  <c r="B57" i="75"/>
  <c r="X56" i="75"/>
  <c r="Z56" i="75" s="1"/>
  <c r="N56" i="75"/>
  <c r="L56" i="75"/>
  <c r="B56" i="75"/>
  <c r="Z55" i="75"/>
  <c r="X55" i="75"/>
  <c r="T55" i="75"/>
  <c r="P55" i="75"/>
  <c r="N55" i="75"/>
  <c r="H55" i="75"/>
  <c r="D55" i="75"/>
  <c r="L55" i="75" s="1"/>
  <c r="B55" i="75"/>
  <c r="Z54" i="75"/>
  <c r="X54" i="75"/>
  <c r="N54" i="75"/>
  <c r="L54" i="75"/>
  <c r="B54" i="75"/>
  <c r="X53" i="75"/>
  <c r="Z53" i="75" s="1"/>
  <c r="N53" i="75"/>
  <c r="L53" i="75"/>
  <c r="B53" i="75"/>
  <c r="T52" i="75"/>
  <c r="Z52" i="75" s="1"/>
  <c r="P52" i="75"/>
  <c r="X52" i="75" s="1"/>
  <c r="H52" i="75"/>
  <c r="N52" i="75" s="1"/>
  <c r="D52" i="75"/>
  <c r="L52" i="75" s="1"/>
  <c r="B52" i="75"/>
  <c r="Z51" i="75"/>
  <c r="X51" i="75"/>
  <c r="N51" i="75"/>
  <c r="L51" i="75"/>
  <c r="B51" i="75"/>
  <c r="X50" i="75"/>
  <c r="T50" i="75"/>
  <c r="Z50" i="75" s="1"/>
  <c r="P50" i="75"/>
  <c r="N50" i="75"/>
  <c r="H50" i="75"/>
  <c r="D50" i="75"/>
  <c r="L50" i="75" s="1"/>
  <c r="B50" i="75"/>
  <c r="Z49" i="75"/>
  <c r="X49" i="75"/>
  <c r="L49" i="75"/>
  <c r="N49" i="75" s="1"/>
  <c r="B49" i="75"/>
  <c r="T48" i="75"/>
  <c r="P48" i="75"/>
  <c r="L48" i="75"/>
  <c r="H48" i="75"/>
  <c r="N48" i="75" s="1"/>
  <c r="D48" i="75"/>
  <c r="B48" i="75"/>
  <c r="Z47" i="75"/>
  <c r="X47" i="75"/>
  <c r="N47" i="75"/>
  <c r="L47" i="75"/>
  <c r="B47" i="75"/>
  <c r="T46" i="75"/>
  <c r="Z46" i="75" s="1"/>
  <c r="P46" i="75"/>
  <c r="X46" i="75" s="1"/>
  <c r="H46" i="75"/>
  <c r="D46" i="75"/>
  <c r="L46" i="75" s="1"/>
  <c r="B46" i="75"/>
  <c r="Z45" i="75"/>
  <c r="X45" i="75"/>
  <c r="N45" i="75"/>
  <c r="L45" i="75"/>
  <c r="B45" i="75"/>
  <c r="T44" i="75"/>
  <c r="P44" i="75"/>
  <c r="X44" i="75" s="1"/>
  <c r="Z44" i="75" s="1"/>
  <c r="L44" i="75"/>
  <c r="H44" i="75"/>
  <c r="D44" i="75"/>
  <c r="B44" i="75"/>
  <c r="Z43" i="75"/>
  <c r="X43" i="75"/>
  <c r="N43" i="75"/>
  <c r="L43" i="75"/>
  <c r="J43" i="75"/>
  <c r="B43" i="75"/>
  <c r="X42" i="75"/>
  <c r="Z42" i="75" s="1"/>
  <c r="N42" i="75"/>
  <c r="L42" i="75"/>
  <c r="B42" i="75"/>
  <c r="Z41" i="75"/>
  <c r="X41" i="75"/>
  <c r="L41" i="75"/>
  <c r="N41" i="75" s="1"/>
  <c r="B41" i="75"/>
  <c r="T40" i="75"/>
  <c r="P40" i="75"/>
  <c r="L40" i="75"/>
  <c r="H40" i="75"/>
  <c r="N40" i="75" s="1"/>
  <c r="D40" i="75"/>
  <c r="B40" i="75"/>
  <c r="Z39" i="75"/>
  <c r="X39" i="75"/>
  <c r="N39" i="75"/>
  <c r="L39" i="75"/>
  <c r="B39" i="75"/>
  <c r="Z38" i="75"/>
  <c r="X38" i="75"/>
  <c r="L38" i="75"/>
  <c r="N38" i="75" s="1"/>
  <c r="B38" i="75"/>
  <c r="X37" i="75"/>
  <c r="Z37" i="75" s="1"/>
  <c r="N37" i="75"/>
  <c r="L37" i="75"/>
  <c r="B37" i="75"/>
  <c r="Z36" i="75"/>
  <c r="X36" i="75"/>
  <c r="N36" i="75"/>
  <c r="L36" i="75"/>
  <c r="B36" i="75"/>
  <c r="Z35" i="75"/>
  <c r="X35" i="75"/>
  <c r="N35" i="75"/>
  <c r="L35" i="75"/>
  <c r="B35" i="75"/>
  <c r="Z34" i="75"/>
  <c r="X34" i="75"/>
  <c r="L34" i="75"/>
  <c r="N34" i="75" s="1"/>
  <c r="B34" i="75"/>
  <c r="X33" i="75"/>
  <c r="Z33" i="75" s="1"/>
  <c r="N33" i="75"/>
  <c r="L33" i="75"/>
  <c r="B33" i="75"/>
  <c r="Z32" i="75"/>
  <c r="X32" i="75"/>
  <c r="N32" i="75"/>
  <c r="L32" i="75"/>
  <c r="B32" i="75"/>
  <c r="T31" i="75"/>
  <c r="X31" i="75" s="1"/>
  <c r="Z31" i="75" s="1"/>
  <c r="P31" i="75"/>
  <c r="L31" i="75"/>
  <c r="N31" i="75" s="1"/>
  <c r="H31" i="75"/>
  <c r="D31" i="75"/>
  <c r="B31" i="75"/>
  <c r="X30" i="75"/>
  <c r="T30" i="75"/>
  <c r="Z30" i="75" s="1"/>
  <c r="P30" i="75"/>
  <c r="H30" i="75"/>
  <c r="D30" i="75"/>
  <c r="L30" i="75" s="1"/>
  <c r="N30" i="75" s="1"/>
  <c r="X26" i="75"/>
  <c r="T26" i="75"/>
  <c r="Z26" i="75" s="1"/>
  <c r="P26" i="75"/>
  <c r="N26" i="75"/>
  <c r="H26" i="75"/>
  <c r="D26" i="75"/>
  <c r="L26" i="75" s="1"/>
  <c r="X24" i="75"/>
  <c r="T24" i="75"/>
  <c r="Z24" i="75" s="1"/>
  <c r="P24" i="75"/>
  <c r="H24" i="75"/>
  <c r="N24" i="75" s="1"/>
  <c r="D24" i="75"/>
  <c r="B24" i="75"/>
  <c r="T23" i="75"/>
  <c r="Z23" i="75" s="1"/>
  <c r="P23" i="75"/>
  <c r="X23" i="75" s="1"/>
  <c r="N23" i="75"/>
  <c r="H23" i="75"/>
  <c r="L23" i="75" s="1"/>
  <c r="D23" i="75"/>
  <c r="B23" i="75"/>
  <c r="Z22" i="75"/>
  <c r="X22" i="75"/>
  <c r="T22" i="75"/>
  <c r="P22" i="75"/>
  <c r="H22" i="75"/>
  <c r="N22" i="75" s="1"/>
  <c r="D22" i="75"/>
  <c r="L22" i="75" s="1"/>
  <c r="B22" i="75"/>
  <c r="T21" i="75"/>
  <c r="P21" i="75"/>
  <c r="X21" i="75" s="1"/>
  <c r="N21" i="75"/>
  <c r="L21" i="75"/>
  <c r="H21" i="75"/>
  <c r="D21" i="75"/>
  <c r="B21" i="75"/>
  <c r="X20" i="75"/>
  <c r="T20" i="75"/>
  <c r="Z20" i="75" s="1"/>
  <c r="P20" i="75"/>
  <c r="H20" i="75"/>
  <c r="D20" i="75"/>
  <c r="B20" i="75"/>
  <c r="T19" i="75"/>
  <c r="P19" i="75"/>
  <c r="X19" i="75" s="1"/>
  <c r="N19" i="75"/>
  <c r="H19" i="75"/>
  <c r="L19" i="75" s="1"/>
  <c r="D19" i="75"/>
  <c r="B19" i="75"/>
  <c r="Z18" i="75"/>
  <c r="X18" i="75"/>
  <c r="T18" i="75"/>
  <c r="P18" i="75"/>
  <c r="H18" i="75"/>
  <c r="N18" i="75" s="1"/>
  <c r="D18" i="75"/>
  <c r="L18" i="75" s="1"/>
  <c r="B18" i="75"/>
  <c r="T17" i="75"/>
  <c r="P17" i="75"/>
  <c r="X17" i="75" s="1"/>
  <c r="N17" i="75"/>
  <c r="L17" i="75"/>
  <c r="H17" i="75"/>
  <c r="D17" i="75"/>
  <c r="B17" i="75"/>
  <c r="X16" i="75"/>
  <c r="T16" i="75"/>
  <c r="Z16" i="75" s="1"/>
  <c r="P16" i="75"/>
  <c r="L16" i="75"/>
  <c r="H16" i="75"/>
  <c r="N16" i="75" s="1"/>
  <c r="D16" i="75"/>
  <c r="B16" i="75"/>
  <c r="T15" i="75"/>
  <c r="Z15" i="75" s="1"/>
  <c r="P15" i="75"/>
  <c r="X15" i="75" s="1"/>
  <c r="N15" i="75"/>
  <c r="L15" i="75"/>
  <c r="H15" i="75"/>
  <c r="D15" i="75"/>
  <c r="B15" i="75"/>
  <c r="Z14" i="75"/>
  <c r="X14" i="75"/>
  <c r="T14" i="75"/>
  <c r="P14" i="75"/>
  <c r="H14" i="75"/>
  <c r="D14" i="75"/>
  <c r="B14" i="75"/>
  <c r="T13" i="75"/>
  <c r="T12" i="75" s="1"/>
  <c r="P13" i="75"/>
  <c r="X13" i="75" s="1"/>
  <c r="N13" i="75"/>
  <c r="L13" i="75"/>
  <c r="H13" i="75"/>
  <c r="D13" i="75"/>
  <c r="B13" i="75"/>
  <c r="H12" i="75"/>
  <c r="J82" i="75" s="1"/>
  <c r="D6" i="75"/>
  <c r="D4" i="75"/>
  <c r="X134" i="74"/>
  <c r="Z134" i="74" s="1"/>
  <c r="N134" i="74"/>
  <c r="L134" i="74"/>
  <c r="Z130" i="74"/>
  <c r="T130" i="74"/>
  <c r="P130" i="74"/>
  <c r="X130" i="74" s="1"/>
  <c r="L130" i="74"/>
  <c r="H130" i="74"/>
  <c r="N130" i="74" s="1"/>
  <c r="D130" i="74"/>
  <c r="B130" i="74"/>
  <c r="Z129" i="74"/>
  <c r="X129" i="74"/>
  <c r="T129" i="74"/>
  <c r="P129" i="74"/>
  <c r="N129" i="74"/>
  <c r="H129" i="74"/>
  <c r="D129" i="74"/>
  <c r="B129" i="74"/>
  <c r="T128" i="74"/>
  <c r="Z128" i="74" s="1"/>
  <c r="P128" i="74"/>
  <c r="X128" i="74" s="1"/>
  <c r="H128" i="74"/>
  <c r="N128" i="74" s="1"/>
  <c r="Z126" i="74"/>
  <c r="X126" i="74"/>
  <c r="L126" i="74"/>
  <c r="N126" i="74" s="1"/>
  <c r="B126" i="74"/>
  <c r="Z125" i="74"/>
  <c r="X125" i="74"/>
  <c r="N125" i="74"/>
  <c r="L125" i="74"/>
  <c r="B125" i="74"/>
  <c r="T124" i="74"/>
  <c r="P124" i="74"/>
  <c r="X124" i="74" s="1"/>
  <c r="H124" i="74"/>
  <c r="D124" i="74"/>
  <c r="L124" i="74" s="1"/>
  <c r="B124" i="74"/>
  <c r="Z123" i="74"/>
  <c r="X123" i="74"/>
  <c r="N123" i="74"/>
  <c r="L123" i="74"/>
  <c r="B123" i="74"/>
  <c r="X122" i="74"/>
  <c r="T122" i="74"/>
  <c r="Z122" i="74" s="1"/>
  <c r="P122" i="74"/>
  <c r="N122" i="74"/>
  <c r="H122" i="74"/>
  <c r="D122" i="74"/>
  <c r="L122" i="74" s="1"/>
  <c r="B122" i="74"/>
  <c r="Z121" i="74"/>
  <c r="X121" i="74"/>
  <c r="L121" i="74"/>
  <c r="N121" i="74" s="1"/>
  <c r="B121" i="74"/>
  <c r="T120" i="74"/>
  <c r="P120" i="74"/>
  <c r="L120" i="74"/>
  <c r="H120" i="74"/>
  <c r="N120" i="74" s="1"/>
  <c r="D120" i="74"/>
  <c r="B120" i="74"/>
  <c r="Z119" i="74"/>
  <c r="X119" i="74"/>
  <c r="N119" i="74"/>
  <c r="L119" i="74"/>
  <c r="B119" i="74"/>
  <c r="Z118" i="74"/>
  <c r="X118" i="74"/>
  <c r="N118" i="74"/>
  <c r="L118" i="74"/>
  <c r="B118" i="74"/>
  <c r="Z117" i="74"/>
  <c r="X117" i="74"/>
  <c r="N117" i="74"/>
  <c r="L117" i="74"/>
  <c r="B117" i="74"/>
  <c r="Z116" i="74"/>
  <c r="X116" i="74"/>
  <c r="N116" i="74"/>
  <c r="L116" i="74"/>
  <c r="B116" i="74"/>
  <c r="Z115" i="74"/>
  <c r="X115" i="74"/>
  <c r="N115" i="74"/>
  <c r="L115" i="74"/>
  <c r="B115" i="74"/>
  <c r="T114" i="74"/>
  <c r="P114" i="74"/>
  <c r="X114" i="74" s="1"/>
  <c r="H114" i="74"/>
  <c r="D114" i="74"/>
  <c r="B114" i="74"/>
  <c r="Z113" i="74"/>
  <c r="X113" i="74"/>
  <c r="N113" i="74"/>
  <c r="L113" i="74"/>
  <c r="B113" i="74"/>
  <c r="Z112" i="74"/>
  <c r="X112" i="74"/>
  <c r="N112" i="74"/>
  <c r="L112" i="74"/>
  <c r="B112" i="74"/>
  <c r="T111" i="74"/>
  <c r="P111" i="74"/>
  <c r="X111" i="74" s="1"/>
  <c r="N111" i="74"/>
  <c r="H111" i="74"/>
  <c r="D111" i="74"/>
  <c r="L111" i="74" s="1"/>
  <c r="B111" i="74"/>
  <c r="X110" i="74"/>
  <c r="Z110" i="74" s="1"/>
  <c r="N110" i="74"/>
  <c r="L110" i="74"/>
  <c r="B110" i="74"/>
  <c r="Z109" i="74"/>
  <c r="X109" i="74"/>
  <c r="N109" i="74"/>
  <c r="L109" i="74"/>
  <c r="B109" i="74"/>
  <c r="T108" i="74"/>
  <c r="P108" i="74"/>
  <c r="L108" i="74"/>
  <c r="H108" i="74"/>
  <c r="D108" i="74"/>
  <c r="B108" i="74"/>
  <c r="Z107" i="74"/>
  <c r="X107" i="74"/>
  <c r="N107" i="74"/>
  <c r="L107" i="74"/>
  <c r="B107" i="74"/>
  <c r="T106" i="74"/>
  <c r="Z106" i="74" s="1"/>
  <c r="P106" i="74"/>
  <c r="X106" i="74" s="1"/>
  <c r="H106" i="74"/>
  <c r="D106" i="74"/>
  <c r="L106" i="74" s="1"/>
  <c r="B106" i="74"/>
  <c r="Z105" i="74"/>
  <c r="X105" i="74"/>
  <c r="N105" i="74"/>
  <c r="L105" i="74"/>
  <c r="B105" i="74"/>
  <c r="Z104" i="74"/>
  <c r="X104" i="74"/>
  <c r="N104" i="74"/>
  <c r="L104" i="74"/>
  <c r="B104" i="74"/>
  <c r="T103" i="74"/>
  <c r="P103" i="74"/>
  <c r="X103" i="74" s="1"/>
  <c r="N103" i="74"/>
  <c r="H103" i="74"/>
  <c r="D103" i="74"/>
  <c r="L103" i="74" s="1"/>
  <c r="B103" i="74"/>
  <c r="X102" i="74"/>
  <c r="Z102" i="74" s="1"/>
  <c r="N102" i="74"/>
  <c r="L102" i="74"/>
  <c r="B102" i="74"/>
  <c r="Z101" i="74"/>
  <c r="T101" i="74"/>
  <c r="P101" i="74"/>
  <c r="X101" i="74" s="1"/>
  <c r="N101" i="74"/>
  <c r="L101" i="74"/>
  <c r="H101" i="74"/>
  <c r="D101" i="74"/>
  <c r="B101" i="74"/>
  <c r="Z100" i="74"/>
  <c r="X100" i="74"/>
  <c r="N100" i="74"/>
  <c r="L100" i="74"/>
  <c r="B100" i="74"/>
  <c r="Z99" i="74"/>
  <c r="X99" i="74"/>
  <c r="N99" i="74"/>
  <c r="L99" i="74"/>
  <c r="B99" i="74"/>
  <c r="T98" i="74"/>
  <c r="Z98" i="74" s="1"/>
  <c r="P98" i="74"/>
  <c r="X98" i="74" s="1"/>
  <c r="H98" i="74"/>
  <c r="D98" i="74"/>
  <c r="B98" i="74"/>
  <c r="Z97" i="74"/>
  <c r="X97" i="74"/>
  <c r="N97" i="74"/>
  <c r="L97" i="74"/>
  <c r="B97" i="74"/>
  <c r="Z96" i="74"/>
  <c r="X96" i="74"/>
  <c r="T96" i="74"/>
  <c r="P96" i="74"/>
  <c r="L96" i="74"/>
  <c r="H96" i="74"/>
  <c r="D96" i="74"/>
  <c r="B96" i="74"/>
  <c r="Z95" i="74"/>
  <c r="X95" i="74"/>
  <c r="N95" i="74"/>
  <c r="L95" i="74"/>
  <c r="B95" i="74"/>
  <c r="X94" i="74"/>
  <c r="Z94" i="74" s="1"/>
  <c r="N94" i="74"/>
  <c r="L94" i="74"/>
  <c r="B94" i="74"/>
  <c r="Z93" i="74"/>
  <c r="X93" i="74"/>
  <c r="N93" i="74"/>
  <c r="L93" i="74"/>
  <c r="B93" i="74"/>
  <c r="X92" i="74"/>
  <c r="Z92" i="74" s="1"/>
  <c r="N92" i="74"/>
  <c r="L92" i="74"/>
  <c r="B92" i="74"/>
  <c r="Z91" i="74"/>
  <c r="X91" i="74"/>
  <c r="N91" i="74"/>
  <c r="L91" i="74"/>
  <c r="B91" i="74"/>
  <c r="X90" i="74"/>
  <c r="Z90" i="74" s="1"/>
  <c r="N90" i="74"/>
  <c r="L90" i="74"/>
  <c r="B90" i="74"/>
  <c r="T89" i="74"/>
  <c r="P89" i="74"/>
  <c r="X89" i="74" s="1"/>
  <c r="Z89" i="74" s="1"/>
  <c r="N89" i="74"/>
  <c r="L89" i="74"/>
  <c r="H89" i="74"/>
  <c r="D89" i="74"/>
  <c r="B89" i="74"/>
  <c r="X88" i="74"/>
  <c r="Z88" i="74" s="1"/>
  <c r="N88" i="74"/>
  <c r="L88" i="74"/>
  <c r="B88" i="74"/>
  <c r="Z87" i="74"/>
  <c r="X87" i="74"/>
  <c r="N87" i="74"/>
  <c r="L87" i="74"/>
  <c r="B87" i="74"/>
  <c r="Z86" i="74"/>
  <c r="X86" i="74"/>
  <c r="L86" i="74"/>
  <c r="N86" i="74" s="1"/>
  <c r="B86" i="74"/>
  <c r="X85" i="74"/>
  <c r="Z85" i="74" s="1"/>
  <c r="N85" i="74"/>
  <c r="L85" i="74"/>
  <c r="B85" i="74"/>
  <c r="X84" i="74"/>
  <c r="Z84" i="74" s="1"/>
  <c r="L84" i="74"/>
  <c r="N84" i="74" s="1"/>
  <c r="B84" i="74"/>
  <c r="Z83" i="74"/>
  <c r="X83" i="74"/>
  <c r="N83" i="74"/>
  <c r="L83" i="74"/>
  <c r="B83" i="74"/>
  <c r="Z82" i="74"/>
  <c r="X82" i="74"/>
  <c r="L82" i="74"/>
  <c r="N82" i="74" s="1"/>
  <c r="B82" i="74"/>
  <c r="Z81" i="74"/>
  <c r="X81" i="74"/>
  <c r="N81" i="74"/>
  <c r="L81" i="74"/>
  <c r="B81" i="74"/>
  <c r="T80" i="74"/>
  <c r="P80" i="74"/>
  <c r="H80" i="74"/>
  <c r="D80" i="74"/>
  <c r="B80" i="74"/>
  <c r="T79" i="74"/>
  <c r="P79" i="74"/>
  <c r="H79" i="74"/>
  <c r="D79" i="74"/>
  <c r="L79" i="74" s="1"/>
  <c r="N79" i="74" s="1"/>
  <c r="Z75" i="74"/>
  <c r="X75" i="74"/>
  <c r="N75" i="74"/>
  <c r="L75" i="74"/>
  <c r="B75" i="74"/>
  <c r="X74" i="74"/>
  <c r="Z74" i="74" s="1"/>
  <c r="L74" i="74"/>
  <c r="N74" i="74" s="1"/>
  <c r="B74" i="74"/>
  <c r="Z73" i="74"/>
  <c r="X73" i="74"/>
  <c r="N73" i="74"/>
  <c r="L73" i="74"/>
  <c r="B73" i="74"/>
  <c r="X72" i="74"/>
  <c r="Z72" i="74" s="1"/>
  <c r="L72" i="74"/>
  <c r="N72" i="74" s="1"/>
  <c r="B72" i="74"/>
  <c r="Z71" i="74"/>
  <c r="X71" i="74"/>
  <c r="N71" i="74"/>
  <c r="L71" i="74"/>
  <c r="B71" i="74"/>
  <c r="X70" i="74"/>
  <c r="Z70" i="74" s="1"/>
  <c r="L70" i="74"/>
  <c r="N70" i="74" s="1"/>
  <c r="B70" i="74"/>
  <c r="Z69" i="74"/>
  <c r="X69" i="74"/>
  <c r="N69" i="74"/>
  <c r="L69" i="74"/>
  <c r="B69" i="74"/>
  <c r="Z68" i="74"/>
  <c r="X68" i="74"/>
  <c r="N68" i="74"/>
  <c r="L68" i="74"/>
  <c r="B68" i="74"/>
  <c r="Z67" i="74"/>
  <c r="X67" i="74"/>
  <c r="N67" i="74"/>
  <c r="L67" i="74"/>
  <c r="B67" i="74"/>
  <c r="X66" i="74"/>
  <c r="Z66" i="74" s="1"/>
  <c r="N66" i="74"/>
  <c r="L66" i="74"/>
  <c r="B66" i="74"/>
  <c r="Z65" i="74"/>
  <c r="X65" i="74"/>
  <c r="L65" i="74"/>
  <c r="N65" i="74" s="1"/>
  <c r="B65" i="74"/>
  <c r="Z64" i="74"/>
  <c r="X64" i="74"/>
  <c r="L64" i="74"/>
  <c r="N64" i="74" s="1"/>
  <c r="B64" i="74"/>
  <c r="Z63" i="74"/>
  <c r="X63" i="74"/>
  <c r="N63" i="74"/>
  <c r="L63" i="74"/>
  <c r="B63" i="74"/>
  <c r="X62" i="74"/>
  <c r="Z62" i="74" s="1"/>
  <c r="L62" i="74"/>
  <c r="N62" i="74" s="1"/>
  <c r="B62" i="74"/>
  <c r="Z61" i="74"/>
  <c r="X61" i="74"/>
  <c r="N61" i="74"/>
  <c r="L61" i="74"/>
  <c r="B61" i="74"/>
  <c r="X60" i="74"/>
  <c r="Z60" i="74" s="1"/>
  <c r="L60" i="74"/>
  <c r="N60" i="74" s="1"/>
  <c r="B60" i="74"/>
  <c r="Z59" i="74"/>
  <c r="X59" i="74"/>
  <c r="L59" i="74"/>
  <c r="N59" i="74" s="1"/>
  <c r="B59" i="74"/>
  <c r="X58" i="74"/>
  <c r="Z58" i="74" s="1"/>
  <c r="L58" i="74"/>
  <c r="N58" i="74" s="1"/>
  <c r="B58" i="74"/>
  <c r="Z57" i="74"/>
  <c r="X57" i="74"/>
  <c r="N57" i="74"/>
  <c r="L57" i="74"/>
  <c r="B57" i="74"/>
  <c r="Z56" i="74"/>
  <c r="X56" i="74"/>
  <c r="N56" i="74"/>
  <c r="L56" i="74"/>
  <c r="B56" i="74"/>
  <c r="Z55" i="74"/>
  <c r="X55" i="74"/>
  <c r="N55" i="74"/>
  <c r="L55" i="74"/>
  <c r="B55" i="74"/>
  <c r="Z54" i="74"/>
  <c r="X54" i="74"/>
  <c r="N54" i="74"/>
  <c r="L54" i="74"/>
  <c r="B54" i="74"/>
  <c r="Z53" i="74"/>
  <c r="X53" i="74"/>
  <c r="N53" i="74"/>
  <c r="L53" i="74"/>
  <c r="B53" i="74"/>
  <c r="T52" i="74"/>
  <c r="P52" i="74"/>
  <c r="X52" i="74" s="1"/>
  <c r="Z52" i="74" s="1"/>
  <c r="H52" i="74"/>
  <c r="D52" i="74"/>
  <c r="L52" i="74" s="1"/>
  <c r="N52" i="74" s="1"/>
  <c r="T50" i="74"/>
  <c r="X50" i="74" s="1"/>
  <c r="Z50" i="74" s="1"/>
  <c r="P50" i="74"/>
  <c r="L50" i="74"/>
  <c r="H50" i="74"/>
  <c r="N50" i="74" s="1"/>
  <c r="D50" i="74"/>
  <c r="B50" i="74"/>
  <c r="T49" i="74"/>
  <c r="P49" i="74"/>
  <c r="X49" i="74" s="1"/>
  <c r="L49" i="74"/>
  <c r="N49" i="74" s="1"/>
  <c r="H49" i="74"/>
  <c r="D49" i="74"/>
  <c r="B49" i="74"/>
  <c r="T48" i="74"/>
  <c r="P48" i="74"/>
  <c r="H48" i="74"/>
  <c r="D48" i="74"/>
  <c r="B48" i="74"/>
  <c r="T47" i="74"/>
  <c r="P47" i="74"/>
  <c r="X47" i="74" s="1"/>
  <c r="N47" i="74"/>
  <c r="L47" i="74"/>
  <c r="H47" i="74"/>
  <c r="D47" i="74"/>
  <c r="B47" i="74"/>
  <c r="T46" i="74"/>
  <c r="P46" i="74"/>
  <c r="L46" i="74"/>
  <c r="H46" i="74"/>
  <c r="D46" i="74"/>
  <c r="B46" i="74"/>
  <c r="T45" i="74"/>
  <c r="P45" i="74"/>
  <c r="X45" i="74" s="1"/>
  <c r="L45" i="74"/>
  <c r="H45" i="74"/>
  <c r="N45" i="74" s="1"/>
  <c r="D45" i="74"/>
  <c r="B45" i="74"/>
  <c r="T44" i="74"/>
  <c r="P44" i="74"/>
  <c r="H44" i="74"/>
  <c r="D44" i="74"/>
  <c r="B44" i="74"/>
  <c r="T43" i="74"/>
  <c r="P43" i="74"/>
  <c r="L43" i="74"/>
  <c r="N43" i="74" s="1"/>
  <c r="H43" i="74"/>
  <c r="D43" i="74"/>
  <c r="B43" i="74"/>
  <c r="X42" i="74"/>
  <c r="Z42" i="74" s="1"/>
  <c r="T42" i="74"/>
  <c r="P42" i="74"/>
  <c r="H42" i="74"/>
  <c r="D42" i="74"/>
  <c r="L42" i="74" s="1"/>
  <c r="B42" i="74"/>
  <c r="T41" i="74"/>
  <c r="Z41" i="74" s="1"/>
  <c r="P41" i="74"/>
  <c r="N41" i="74"/>
  <c r="H41" i="74"/>
  <c r="L41" i="74" s="1"/>
  <c r="D41" i="74"/>
  <c r="B41" i="74"/>
  <c r="T40" i="74"/>
  <c r="Z40" i="74" s="1"/>
  <c r="P40" i="74"/>
  <c r="H40" i="74"/>
  <c r="D40" i="74"/>
  <c r="B40" i="74"/>
  <c r="T39" i="74"/>
  <c r="Z39" i="74" s="1"/>
  <c r="P39" i="74"/>
  <c r="X39" i="74" s="1"/>
  <c r="N39" i="74"/>
  <c r="L39" i="74"/>
  <c r="H39" i="74"/>
  <c r="D39" i="74"/>
  <c r="B39" i="74"/>
  <c r="T38" i="74"/>
  <c r="P38" i="74"/>
  <c r="X38" i="74" s="1"/>
  <c r="Z38" i="74" s="1"/>
  <c r="H38" i="74"/>
  <c r="N38" i="74" s="1"/>
  <c r="D38" i="74"/>
  <c r="L38" i="74" s="1"/>
  <c r="B38" i="74"/>
  <c r="T37" i="74"/>
  <c r="P37" i="74"/>
  <c r="N37" i="74"/>
  <c r="L37" i="74"/>
  <c r="H37" i="74"/>
  <c r="D37" i="74"/>
  <c r="B37" i="74"/>
  <c r="Z36" i="74"/>
  <c r="T36" i="74"/>
  <c r="X36" i="74" s="1"/>
  <c r="P36" i="74"/>
  <c r="H36" i="74"/>
  <c r="N36" i="74" s="1"/>
  <c r="D36" i="74"/>
  <c r="L36" i="74" s="1"/>
  <c r="B36" i="74"/>
  <c r="T35" i="74"/>
  <c r="P35" i="74"/>
  <c r="X35" i="74" s="1"/>
  <c r="Z35" i="74" s="1"/>
  <c r="L35" i="74"/>
  <c r="N35" i="74" s="1"/>
  <c r="H35" i="74"/>
  <c r="D35" i="74"/>
  <c r="B35" i="74"/>
  <c r="T34" i="74"/>
  <c r="P34" i="74"/>
  <c r="X34" i="74" s="1"/>
  <c r="H34" i="74"/>
  <c r="D34" i="74"/>
  <c r="B34" i="74"/>
  <c r="T33" i="74"/>
  <c r="P33" i="74"/>
  <c r="L33" i="74"/>
  <c r="N33" i="74" s="1"/>
  <c r="H33" i="74"/>
  <c r="D33" i="74"/>
  <c r="B33" i="74"/>
  <c r="Z32" i="74"/>
  <c r="X32" i="74"/>
  <c r="T32" i="74"/>
  <c r="P32" i="74"/>
  <c r="H32" i="74"/>
  <c r="D32" i="74"/>
  <c r="B32" i="74"/>
  <c r="Z31" i="74"/>
  <c r="T31" i="74"/>
  <c r="P31" i="74"/>
  <c r="X31" i="74" s="1"/>
  <c r="N31" i="74"/>
  <c r="L31" i="74"/>
  <c r="H31" i="74"/>
  <c r="D31" i="74"/>
  <c r="B31" i="74"/>
  <c r="Z30" i="74"/>
  <c r="X30" i="74"/>
  <c r="T30" i="74"/>
  <c r="P30" i="74"/>
  <c r="L30" i="74"/>
  <c r="H30" i="74"/>
  <c r="N30" i="74" s="1"/>
  <c r="D30" i="74"/>
  <c r="B30" i="74"/>
  <c r="Z29" i="74"/>
  <c r="T29" i="74"/>
  <c r="P29" i="74"/>
  <c r="H29" i="74"/>
  <c r="L29" i="74" s="1"/>
  <c r="D29" i="74"/>
  <c r="B29" i="74"/>
  <c r="Z28" i="74"/>
  <c r="T28" i="74"/>
  <c r="P28" i="74"/>
  <c r="X28" i="74" s="1"/>
  <c r="L28" i="74"/>
  <c r="H28" i="74"/>
  <c r="N28" i="74" s="1"/>
  <c r="D28" i="74"/>
  <c r="B28" i="74"/>
  <c r="T27" i="74"/>
  <c r="Z27" i="74" s="1"/>
  <c r="P27" i="74"/>
  <c r="N27" i="74"/>
  <c r="L27" i="74"/>
  <c r="H27" i="74"/>
  <c r="D27" i="74"/>
  <c r="B27" i="74"/>
  <c r="Z26" i="74"/>
  <c r="T26" i="74"/>
  <c r="P26" i="74"/>
  <c r="X26" i="74" s="1"/>
  <c r="H26" i="74"/>
  <c r="D26" i="74"/>
  <c r="B26" i="74"/>
  <c r="Z25" i="74"/>
  <c r="T25" i="74"/>
  <c r="P25" i="74"/>
  <c r="X25" i="74" s="1"/>
  <c r="N25" i="74"/>
  <c r="L25" i="74"/>
  <c r="H25" i="74"/>
  <c r="D25" i="74"/>
  <c r="B25" i="74"/>
  <c r="X24" i="74"/>
  <c r="Z24" i="74" s="1"/>
  <c r="T24" i="74"/>
  <c r="P24" i="74"/>
  <c r="L24" i="74"/>
  <c r="H24" i="74"/>
  <c r="D24" i="74"/>
  <c r="B24" i="74"/>
  <c r="T23" i="74"/>
  <c r="P23" i="74"/>
  <c r="H23" i="74"/>
  <c r="L23" i="74" s="1"/>
  <c r="D23" i="74"/>
  <c r="B23" i="74"/>
  <c r="T22" i="74"/>
  <c r="P22" i="74"/>
  <c r="X22" i="74" s="1"/>
  <c r="Z22" i="74" s="1"/>
  <c r="L22" i="74"/>
  <c r="H22" i="74"/>
  <c r="D22" i="74"/>
  <c r="B22" i="74"/>
  <c r="T21" i="74"/>
  <c r="P21" i="74"/>
  <c r="L21" i="74"/>
  <c r="N21" i="74" s="1"/>
  <c r="H21" i="74"/>
  <c r="D21" i="74"/>
  <c r="B21" i="74"/>
  <c r="T20" i="74"/>
  <c r="P20" i="74"/>
  <c r="X20" i="74" s="1"/>
  <c r="Z20" i="74" s="1"/>
  <c r="H20" i="74"/>
  <c r="D20" i="74"/>
  <c r="B20" i="74"/>
  <c r="Z19" i="74"/>
  <c r="T19" i="74"/>
  <c r="P19" i="74"/>
  <c r="X19" i="74" s="1"/>
  <c r="L19" i="74"/>
  <c r="N19" i="74" s="1"/>
  <c r="H19" i="74"/>
  <c r="D19" i="74"/>
  <c r="B19" i="74"/>
  <c r="Z18" i="74"/>
  <c r="X18" i="74"/>
  <c r="T18" i="74"/>
  <c r="P18" i="74"/>
  <c r="L18" i="74"/>
  <c r="H18" i="74"/>
  <c r="N18" i="74" s="1"/>
  <c r="D18" i="74"/>
  <c r="B18" i="74"/>
  <c r="Z17" i="74"/>
  <c r="T17" i="74"/>
  <c r="P17" i="74"/>
  <c r="N17" i="74"/>
  <c r="H17" i="74"/>
  <c r="L17" i="74" s="1"/>
  <c r="D17" i="74"/>
  <c r="B17" i="74"/>
  <c r="Z16" i="74"/>
  <c r="T16" i="74"/>
  <c r="P16" i="74"/>
  <c r="X16" i="74" s="1"/>
  <c r="L16" i="74"/>
  <c r="H16" i="74"/>
  <c r="N16" i="74" s="1"/>
  <c r="D16" i="74"/>
  <c r="B16" i="74"/>
  <c r="T15" i="74"/>
  <c r="P15" i="74"/>
  <c r="N15" i="74"/>
  <c r="L15" i="74"/>
  <c r="H15" i="74"/>
  <c r="D15" i="74"/>
  <c r="B15" i="74"/>
  <c r="Z14" i="74"/>
  <c r="T14" i="74"/>
  <c r="P14" i="74"/>
  <c r="H14" i="74"/>
  <c r="D14" i="74"/>
  <c r="B14" i="74"/>
  <c r="Z13" i="74"/>
  <c r="T13" i="74"/>
  <c r="P13" i="74"/>
  <c r="X13" i="74" s="1"/>
  <c r="N13" i="74"/>
  <c r="L13" i="74"/>
  <c r="H13" i="74"/>
  <c r="D13" i="74"/>
  <c r="B13" i="74"/>
  <c r="D6" i="74"/>
  <c r="D4" i="74"/>
  <c r="Z84" i="73"/>
  <c r="X84" i="73"/>
  <c r="V84" i="73"/>
  <c r="L84" i="73"/>
  <c r="N84" i="73" s="1"/>
  <c r="Z80" i="73"/>
  <c r="X80" i="73"/>
  <c r="T80" i="73"/>
  <c r="P80" i="73"/>
  <c r="N80" i="73"/>
  <c r="H80" i="73"/>
  <c r="D80" i="73"/>
  <c r="L80" i="73" s="1"/>
  <c r="X78" i="73"/>
  <c r="Z78" i="73" s="1"/>
  <c r="N78" i="73"/>
  <c r="L78" i="73"/>
  <c r="B78" i="73"/>
  <c r="T77" i="73"/>
  <c r="P77" i="73"/>
  <c r="X77" i="73" s="1"/>
  <c r="Z77" i="73" s="1"/>
  <c r="L77" i="73"/>
  <c r="H77" i="73"/>
  <c r="D77" i="73"/>
  <c r="B77" i="73"/>
  <c r="X76" i="73"/>
  <c r="Z76" i="73" s="1"/>
  <c r="N76" i="73"/>
  <c r="L76" i="73"/>
  <c r="B76" i="73"/>
  <c r="X75" i="73"/>
  <c r="T75" i="73"/>
  <c r="Z75" i="73" s="1"/>
  <c r="P75" i="73"/>
  <c r="H75" i="73"/>
  <c r="N75" i="73" s="1"/>
  <c r="D75" i="73"/>
  <c r="B75" i="73"/>
  <c r="X74" i="73"/>
  <c r="Z74" i="73" s="1"/>
  <c r="N74" i="73"/>
  <c r="L74" i="73"/>
  <c r="B74" i="73"/>
  <c r="X73" i="73"/>
  <c r="T73" i="73"/>
  <c r="Z73" i="73" s="1"/>
  <c r="P73" i="73"/>
  <c r="H73" i="73"/>
  <c r="N73" i="73" s="1"/>
  <c r="D73" i="73"/>
  <c r="L73" i="73" s="1"/>
  <c r="B73" i="73"/>
  <c r="Z72" i="73"/>
  <c r="X72" i="73"/>
  <c r="N72" i="73"/>
  <c r="L72" i="73"/>
  <c r="B72" i="73"/>
  <c r="X71" i="73"/>
  <c r="T71" i="73"/>
  <c r="P71" i="73"/>
  <c r="N71" i="73"/>
  <c r="H71" i="73"/>
  <c r="D71" i="73"/>
  <c r="L71" i="73" s="1"/>
  <c r="B71" i="73"/>
  <c r="Z70" i="73"/>
  <c r="X70" i="73"/>
  <c r="N70" i="73"/>
  <c r="L70" i="73"/>
  <c r="B70" i="73"/>
  <c r="Z69" i="73"/>
  <c r="X69" i="73"/>
  <c r="L69" i="73"/>
  <c r="N69" i="73" s="1"/>
  <c r="B69" i="73"/>
  <c r="T68" i="73"/>
  <c r="Z68" i="73" s="1"/>
  <c r="P68" i="73"/>
  <c r="X68" i="73" s="1"/>
  <c r="H68" i="73"/>
  <c r="D68" i="73"/>
  <c r="L68" i="73" s="1"/>
  <c r="N68" i="73" s="1"/>
  <c r="B68" i="73"/>
  <c r="X67" i="73"/>
  <c r="Z67" i="73" s="1"/>
  <c r="L67" i="73"/>
  <c r="N67" i="73" s="1"/>
  <c r="B67" i="73"/>
  <c r="X66" i="73"/>
  <c r="Z66" i="73" s="1"/>
  <c r="T66" i="73"/>
  <c r="P66" i="73"/>
  <c r="N66" i="73"/>
  <c r="L66" i="73"/>
  <c r="J66" i="73"/>
  <c r="H66" i="73"/>
  <c r="D66" i="73"/>
  <c r="B66" i="73"/>
  <c r="Z65" i="73"/>
  <c r="X65" i="73"/>
  <c r="N65" i="73"/>
  <c r="L65" i="73"/>
  <c r="B65" i="73"/>
  <c r="Z64" i="73"/>
  <c r="X64" i="73"/>
  <c r="N64" i="73"/>
  <c r="L64" i="73"/>
  <c r="B64" i="73"/>
  <c r="X63" i="73"/>
  <c r="Z63" i="73" s="1"/>
  <c r="L63" i="73"/>
  <c r="N63" i="73" s="1"/>
  <c r="B63" i="73"/>
  <c r="X62" i="73"/>
  <c r="Z62" i="73" s="1"/>
  <c r="T62" i="73"/>
  <c r="P62" i="73"/>
  <c r="N62" i="73"/>
  <c r="H62" i="73"/>
  <c r="D62" i="73"/>
  <c r="L62" i="73" s="1"/>
  <c r="B62" i="73"/>
  <c r="Z61" i="73"/>
  <c r="X61" i="73"/>
  <c r="R61" i="73"/>
  <c r="L61" i="73"/>
  <c r="N61" i="73" s="1"/>
  <c r="B61" i="73"/>
  <c r="X60" i="73"/>
  <c r="Z60" i="73" s="1"/>
  <c r="N60" i="73"/>
  <c r="L60" i="73"/>
  <c r="J60" i="73"/>
  <c r="B60" i="73"/>
  <c r="X59" i="73"/>
  <c r="Z59" i="73" s="1"/>
  <c r="L59" i="73"/>
  <c r="N59" i="73" s="1"/>
  <c r="B59" i="73"/>
  <c r="Z58" i="73"/>
  <c r="X58" i="73"/>
  <c r="L58" i="73"/>
  <c r="N58" i="73" s="1"/>
  <c r="B58" i="73"/>
  <c r="Z57" i="73"/>
  <c r="X57" i="73"/>
  <c r="R57" i="73"/>
  <c r="L57" i="73"/>
  <c r="N57" i="73" s="1"/>
  <c r="B57" i="73"/>
  <c r="X56" i="73"/>
  <c r="Z56" i="73" s="1"/>
  <c r="L56" i="73"/>
  <c r="N56" i="73" s="1"/>
  <c r="B56" i="73"/>
  <c r="X55" i="73"/>
  <c r="Z55" i="73" s="1"/>
  <c r="L55" i="73"/>
  <c r="N55" i="73" s="1"/>
  <c r="B55" i="73"/>
  <c r="T54" i="73"/>
  <c r="P54" i="73"/>
  <c r="X54" i="73" s="1"/>
  <c r="Z54" i="73" s="1"/>
  <c r="H54" i="73"/>
  <c r="N54" i="73" s="1"/>
  <c r="D54" i="73"/>
  <c r="L54" i="73" s="1"/>
  <c r="B54" i="73"/>
  <c r="X53" i="73"/>
  <c r="T53" i="73"/>
  <c r="Z53" i="73" s="1"/>
  <c r="P53" i="73"/>
  <c r="H53" i="73"/>
  <c r="N53" i="73" s="1"/>
  <c r="D53" i="73"/>
  <c r="L53" i="73" s="1"/>
  <c r="X49" i="73"/>
  <c r="Z49" i="73" s="1"/>
  <c r="N49" i="73"/>
  <c r="L49" i="73"/>
  <c r="B49" i="73"/>
  <c r="Z48" i="73"/>
  <c r="X48" i="73"/>
  <c r="V48" i="73"/>
  <c r="N48" i="73"/>
  <c r="L48" i="73"/>
  <c r="B48" i="73"/>
  <c r="X47" i="73"/>
  <c r="Z47" i="73" s="1"/>
  <c r="L47" i="73"/>
  <c r="N47" i="73" s="1"/>
  <c r="B47" i="73"/>
  <c r="X46" i="73"/>
  <c r="Z46" i="73" s="1"/>
  <c r="L46" i="73"/>
  <c r="N46" i="73" s="1"/>
  <c r="B46" i="73"/>
  <c r="X45" i="73"/>
  <c r="Z45" i="73" s="1"/>
  <c r="N45" i="73"/>
  <c r="L45" i="73"/>
  <c r="B45" i="73"/>
  <c r="Z44" i="73"/>
  <c r="X44" i="73"/>
  <c r="N44" i="73"/>
  <c r="L44" i="73"/>
  <c r="B44" i="73"/>
  <c r="X43" i="73"/>
  <c r="Z43" i="73" s="1"/>
  <c r="L43" i="73"/>
  <c r="N43" i="73" s="1"/>
  <c r="B43" i="73"/>
  <c r="X42" i="73"/>
  <c r="Z42" i="73" s="1"/>
  <c r="L42" i="73"/>
  <c r="N42" i="73" s="1"/>
  <c r="B42" i="73"/>
  <c r="X41" i="73"/>
  <c r="Z41" i="73" s="1"/>
  <c r="N41" i="73"/>
  <c r="L41" i="73"/>
  <c r="B41" i="73"/>
  <c r="Z40" i="73"/>
  <c r="X40" i="73"/>
  <c r="N40" i="73"/>
  <c r="L40" i="73"/>
  <c r="B40" i="73"/>
  <c r="X39" i="73"/>
  <c r="Z39" i="73" s="1"/>
  <c r="L39" i="73"/>
  <c r="N39" i="73" s="1"/>
  <c r="B39" i="73"/>
  <c r="X38" i="73"/>
  <c r="Z38" i="73" s="1"/>
  <c r="L38" i="73"/>
  <c r="N38" i="73" s="1"/>
  <c r="B38" i="73"/>
  <c r="X37" i="73"/>
  <c r="Z37" i="73" s="1"/>
  <c r="N37" i="73"/>
  <c r="L37" i="73"/>
  <c r="B37" i="73"/>
  <c r="Z36" i="73"/>
  <c r="X36" i="73"/>
  <c r="N36" i="73"/>
  <c r="L36" i="73"/>
  <c r="B36" i="73"/>
  <c r="Z35" i="73"/>
  <c r="X35" i="73"/>
  <c r="N35" i="73"/>
  <c r="L35" i="73"/>
  <c r="B35" i="73"/>
  <c r="X34" i="73"/>
  <c r="Z34" i="73" s="1"/>
  <c r="T34" i="73"/>
  <c r="P34" i="73"/>
  <c r="N34" i="73"/>
  <c r="L34" i="73"/>
  <c r="J34" i="73"/>
  <c r="H34" i="73"/>
  <c r="D34" i="73"/>
  <c r="X32" i="73"/>
  <c r="Z32" i="73" s="1"/>
  <c r="T32" i="73"/>
  <c r="P32" i="73"/>
  <c r="N32" i="73"/>
  <c r="L32" i="73"/>
  <c r="H32" i="73"/>
  <c r="D32" i="73"/>
  <c r="B32" i="73"/>
  <c r="X31" i="73"/>
  <c r="Z31" i="73" s="1"/>
  <c r="T31" i="73"/>
  <c r="P31" i="73"/>
  <c r="N31" i="73"/>
  <c r="H31" i="73"/>
  <c r="D31" i="73"/>
  <c r="L31" i="73" s="1"/>
  <c r="B31" i="73"/>
  <c r="T30" i="73"/>
  <c r="P30" i="73"/>
  <c r="N30" i="73"/>
  <c r="H30" i="73"/>
  <c r="D30" i="73"/>
  <c r="L30" i="73" s="1"/>
  <c r="B30" i="73"/>
  <c r="T29" i="73"/>
  <c r="P29" i="73"/>
  <c r="L29" i="73"/>
  <c r="N29" i="73" s="1"/>
  <c r="H29" i="73"/>
  <c r="D29" i="73"/>
  <c r="B29" i="73"/>
  <c r="X28" i="73"/>
  <c r="Z28" i="73" s="1"/>
  <c r="T28" i="73"/>
  <c r="P28" i="73"/>
  <c r="L28" i="73"/>
  <c r="N28" i="73" s="1"/>
  <c r="H28" i="73"/>
  <c r="D28" i="73"/>
  <c r="B28" i="73"/>
  <c r="X27" i="73"/>
  <c r="Z27" i="73" s="1"/>
  <c r="T27" i="73"/>
  <c r="P27" i="73"/>
  <c r="N27" i="73"/>
  <c r="H27" i="73"/>
  <c r="D27" i="73"/>
  <c r="L27" i="73" s="1"/>
  <c r="B27" i="73"/>
  <c r="T26" i="73"/>
  <c r="P26" i="73"/>
  <c r="N26" i="73"/>
  <c r="H26" i="73"/>
  <c r="D26" i="73"/>
  <c r="L26" i="73" s="1"/>
  <c r="B26" i="73"/>
  <c r="T25" i="73"/>
  <c r="P25" i="73"/>
  <c r="H25" i="73"/>
  <c r="D25" i="73"/>
  <c r="L25" i="73" s="1"/>
  <c r="N25" i="73" s="1"/>
  <c r="B25" i="73"/>
  <c r="X24" i="73"/>
  <c r="Z24" i="73" s="1"/>
  <c r="T24" i="73"/>
  <c r="P24" i="73"/>
  <c r="L24" i="73"/>
  <c r="N24" i="73" s="1"/>
  <c r="H24" i="73"/>
  <c r="D24" i="73"/>
  <c r="B24" i="73"/>
  <c r="X23" i="73"/>
  <c r="Z23" i="73" s="1"/>
  <c r="T23" i="73"/>
  <c r="P23" i="73"/>
  <c r="N23" i="73"/>
  <c r="H23" i="73"/>
  <c r="D23" i="73"/>
  <c r="L23" i="73" s="1"/>
  <c r="B23" i="73"/>
  <c r="T22" i="73"/>
  <c r="P22" i="73"/>
  <c r="N22" i="73"/>
  <c r="H22" i="73"/>
  <c r="D22" i="73"/>
  <c r="L22" i="73" s="1"/>
  <c r="B22" i="73"/>
  <c r="T21" i="73"/>
  <c r="P21" i="73"/>
  <c r="H21" i="73"/>
  <c r="D21" i="73"/>
  <c r="L21" i="73" s="1"/>
  <c r="N21" i="73" s="1"/>
  <c r="B21" i="73"/>
  <c r="X20" i="73"/>
  <c r="Z20" i="73" s="1"/>
  <c r="T20" i="73"/>
  <c r="P20" i="73"/>
  <c r="N20" i="73"/>
  <c r="L20" i="73"/>
  <c r="H20" i="73"/>
  <c r="D20" i="73"/>
  <c r="B20" i="73"/>
  <c r="X19" i="73"/>
  <c r="T19" i="73"/>
  <c r="Z19" i="73" s="1"/>
  <c r="P19" i="73"/>
  <c r="N19" i="73"/>
  <c r="H19" i="73"/>
  <c r="D19" i="73"/>
  <c r="L19" i="73" s="1"/>
  <c r="B19" i="73"/>
  <c r="T18" i="73"/>
  <c r="P18" i="73"/>
  <c r="H18" i="73"/>
  <c r="D18" i="73"/>
  <c r="L18" i="73" s="1"/>
  <c r="N18" i="73" s="1"/>
  <c r="B18" i="73"/>
  <c r="T17" i="73"/>
  <c r="P17" i="73"/>
  <c r="H17" i="73"/>
  <c r="D17" i="73"/>
  <c r="L17" i="73" s="1"/>
  <c r="N17" i="73" s="1"/>
  <c r="B17" i="73"/>
  <c r="X16" i="73"/>
  <c r="Z16" i="73" s="1"/>
  <c r="T16" i="73"/>
  <c r="P16" i="73"/>
  <c r="L16" i="73"/>
  <c r="N16" i="73" s="1"/>
  <c r="H16" i="73"/>
  <c r="D16" i="73"/>
  <c r="B16" i="73"/>
  <c r="X15" i="73"/>
  <c r="T15" i="73"/>
  <c r="P15" i="73"/>
  <c r="H15" i="73"/>
  <c r="D15" i="73"/>
  <c r="L15" i="73" s="1"/>
  <c r="N15" i="73" s="1"/>
  <c r="B15" i="73"/>
  <c r="T14" i="73"/>
  <c r="P14" i="73"/>
  <c r="N14" i="73"/>
  <c r="H14" i="73"/>
  <c r="H12" i="73" s="1"/>
  <c r="J68" i="73" s="1"/>
  <c r="D14" i="73"/>
  <c r="L14" i="73" s="1"/>
  <c r="B14" i="73"/>
  <c r="T13" i="73"/>
  <c r="T12" i="73" s="1"/>
  <c r="P13" i="73"/>
  <c r="P12" i="73" s="1"/>
  <c r="R82" i="73" s="1"/>
  <c r="N13" i="73"/>
  <c r="L13" i="73"/>
  <c r="H13" i="73"/>
  <c r="D13" i="73"/>
  <c r="B13" i="73"/>
  <c r="D6" i="73"/>
  <c r="D4" i="73"/>
  <c r="Z74" i="72"/>
  <c r="X74" i="72"/>
  <c r="N74" i="72"/>
  <c r="L74" i="72"/>
  <c r="Z70" i="72"/>
  <c r="X70" i="72"/>
  <c r="T70" i="72"/>
  <c r="R70" i="72"/>
  <c r="P70" i="72"/>
  <c r="N70" i="72"/>
  <c r="L70" i="72"/>
  <c r="H70" i="72"/>
  <c r="D70" i="72"/>
  <c r="X68" i="72"/>
  <c r="Z68" i="72" s="1"/>
  <c r="N68" i="72"/>
  <c r="L68" i="72"/>
  <c r="B68" i="72"/>
  <c r="T67" i="72"/>
  <c r="P67" i="72"/>
  <c r="X67" i="72" s="1"/>
  <c r="L67" i="72"/>
  <c r="H67" i="72"/>
  <c r="N67" i="72" s="1"/>
  <c r="D67" i="72"/>
  <c r="B67" i="72"/>
  <c r="X66" i="72"/>
  <c r="Z66" i="72" s="1"/>
  <c r="N66" i="72"/>
  <c r="L66" i="72"/>
  <c r="B66" i="72"/>
  <c r="Z65" i="72"/>
  <c r="X65" i="72"/>
  <c r="T65" i="72"/>
  <c r="P65" i="72"/>
  <c r="H65" i="72"/>
  <c r="D65" i="72"/>
  <c r="B65" i="72"/>
  <c r="Z64" i="72"/>
  <c r="X64" i="72"/>
  <c r="N64" i="72"/>
  <c r="L64" i="72"/>
  <c r="B64" i="72"/>
  <c r="X63" i="72"/>
  <c r="Z63" i="72" s="1"/>
  <c r="N63" i="72"/>
  <c r="L63" i="72"/>
  <c r="B63" i="72"/>
  <c r="Z62" i="72"/>
  <c r="X62" i="72"/>
  <c r="N62" i="72"/>
  <c r="L62" i="72"/>
  <c r="B62" i="72"/>
  <c r="Z61" i="72"/>
  <c r="X61" i="72"/>
  <c r="R61" i="72"/>
  <c r="N61" i="72"/>
  <c r="L61" i="72"/>
  <c r="B61" i="72"/>
  <c r="Z60" i="72"/>
  <c r="X60" i="72"/>
  <c r="N60" i="72"/>
  <c r="L60" i="72"/>
  <c r="B60" i="72"/>
  <c r="X59" i="72"/>
  <c r="T59" i="72"/>
  <c r="Z59" i="72" s="1"/>
  <c r="P59" i="72"/>
  <c r="H59" i="72"/>
  <c r="D59" i="72"/>
  <c r="B59" i="72"/>
  <c r="X58" i="72"/>
  <c r="Z58" i="72" s="1"/>
  <c r="L58" i="72"/>
  <c r="N58" i="72" s="1"/>
  <c r="B58" i="72"/>
  <c r="X57" i="72"/>
  <c r="T57" i="72"/>
  <c r="Z57" i="72" s="1"/>
  <c r="P57" i="72"/>
  <c r="H57" i="72"/>
  <c r="N57" i="72" s="1"/>
  <c r="D57" i="72"/>
  <c r="L57" i="72" s="1"/>
  <c r="B57" i="72"/>
  <c r="Z56" i="72"/>
  <c r="X56" i="72"/>
  <c r="N56" i="72"/>
  <c r="L56" i="72"/>
  <c r="B56" i="72"/>
  <c r="X55" i="72"/>
  <c r="Z55" i="72" s="1"/>
  <c r="L55" i="72"/>
  <c r="N55" i="72" s="1"/>
  <c r="B55" i="72"/>
  <c r="X54" i="72"/>
  <c r="Z54" i="72" s="1"/>
  <c r="N54" i="72"/>
  <c r="L54" i="72"/>
  <c r="B54" i="72"/>
  <c r="Z53" i="72"/>
  <c r="X53" i="72"/>
  <c r="T53" i="72"/>
  <c r="P53" i="72"/>
  <c r="H53" i="72"/>
  <c r="L53" i="72" s="1"/>
  <c r="D53" i="72"/>
  <c r="B53" i="72"/>
  <c r="Z52" i="72"/>
  <c r="X52" i="72"/>
  <c r="N52" i="72"/>
  <c r="L52" i="72"/>
  <c r="B52" i="72"/>
  <c r="X51" i="72"/>
  <c r="T51" i="72"/>
  <c r="Z51" i="72" s="1"/>
  <c r="P51" i="72"/>
  <c r="H51" i="72"/>
  <c r="D51" i="72"/>
  <c r="B51" i="72"/>
  <c r="X50" i="72"/>
  <c r="Z50" i="72" s="1"/>
  <c r="L50" i="72"/>
  <c r="N50" i="72" s="1"/>
  <c r="B50" i="72"/>
  <c r="X49" i="72"/>
  <c r="T49" i="72"/>
  <c r="Z49" i="72" s="1"/>
  <c r="P49" i="72"/>
  <c r="H49" i="72"/>
  <c r="N49" i="72" s="1"/>
  <c r="D49" i="72"/>
  <c r="L49" i="72" s="1"/>
  <c r="B49" i="72"/>
  <c r="Z48" i="72"/>
  <c r="X48" i="72"/>
  <c r="N48" i="72"/>
  <c r="L48" i="72"/>
  <c r="B48" i="72"/>
  <c r="X47" i="72"/>
  <c r="T47" i="72"/>
  <c r="P47" i="72"/>
  <c r="N47" i="72"/>
  <c r="L47" i="72"/>
  <c r="H47" i="72"/>
  <c r="D47" i="72"/>
  <c r="B47" i="72"/>
  <c r="Z46" i="72"/>
  <c r="X46" i="72"/>
  <c r="L46" i="72"/>
  <c r="N46" i="72" s="1"/>
  <c r="B46" i="72"/>
  <c r="T45" i="72"/>
  <c r="P45" i="72"/>
  <c r="X45" i="72" s="1"/>
  <c r="L45" i="72"/>
  <c r="H45" i="72"/>
  <c r="N45" i="72" s="1"/>
  <c r="D45" i="72"/>
  <c r="B45" i="72"/>
  <c r="Z44" i="72"/>
  <c r="X44" i="72"/>
  <c r="N44" i="72"/>
  <c r="L44" i="72"/>
  <c r="B44" i="72"/>
  <c r="T43" i="72"/>
  <c r="P43" i="72"/>
  <c r="X43" i="72" s="1"/>
  <c r="L43" i="72"/>
  <c r="H43" i="72"/>
  <c r="N43" i="72" s="1"/>
  <c r="D43" i="72"/>
  <c r="B43" i="72"/>
  <c r="X42" i="72"/>
  <c r="Z42" i="72" s="1"/>
  <c r="N42" i="72"/>
  <c r="L42" i="72"/>
  <c r="B42" i="72"/>
  <c r="Z41" i="72"/>
  <c r="X41" i="72"/>
  <c r="T41" i="72"/>
  <c r="P41" i="72"/>
  <c r="L41" i="72"/>
  <c r="H41" i="72"/>
  <c r="D41" i="72"/>
  <c r="B41" i="72"/>
  <c r="Z40" i="72"/>
  <c r="X40" i="72"/>
  <c r="N40" i="72"/>
  <c r="L40" i="72"/>
  <c r="B40" i="72"/>
  <c r="X39" i="72"/>
  <c r="Z39" i="72" s="1"/>
  <c r="L39" i="72"/>
  <c r="N39" i="72" s="1"/>
  <c r="B39" i="72"/>
  <c r="Z38" i="72"/>
  <c r="X38" i="72"/>
  <c r="L38" i="72"/>
  <c r="N38" i="72" s="1"/>
  <c r="B38" i="72"/>
  <c r="Z37" i="72"/>
  <c r="X37" i="72"/>
  <c r="R37" i="72"/>
  <c r="L37" i="72"/>
  <c r="N37" i="72" s="1"/>
  <c r="B37" i="72"/>
  <c r="Z36" i="72"/>
  <c r="X36" i="72"/>
  <c r="N36" i="72"/>
  <c r="L36" i="72"/>
  <c r="B36" i="72"/>
  <c r="X35" i="72"/>
  <c r="T35" i="72"/>
  <c r="Z35" i="72" s="1"/>
  <c r="P35" i="72"/>
  <c r="H35" i="72"/>
  <c r="D35" i="72"/>
  <c r="B35" i="72"/>
  <c r="X34" i="72"/>
  <c r="Z34" i="72" s="1"/>
  <c r="L34" i="72"/>
  <c r="N34" i="72" s="1"/>
  <c r="B34" i="72"/>
  <c r="X33" i="72"/>
  <c r="Z33" i="72" s="1"/>
  <c r="N33" i="72"/>
  <c r="L33" i="72"/>
  <c r="B33" i="72"/>
  <c r="Z32" i="72"/>
  <c r="X32" i="72"/>
  <c r="N32" i="72"/>
  <c r="L32" i="72"/>
  <c r="B32" i="72"/>
  <c r="X31" i="72"/>
  <c r="Z31" i="72" s="1"/>
  <c r="L31" i="72"/>
  <c r="N31" i="72" s="1"/>
  <c r="B31" i="72"/>
  <c r="X30" i="72"/>
  <c r="Z30" i="72" s="1"/>
  <c r="L30" i="72"/>
  <c r="N30" i="72" s="1"/>
  <c r="B30" i="72"/>
  <c r="X29" i="72"/>
  <c r="Z29" i="72" s="1"/>
  <c r="N29" i="72"/>
  <c r="L29" i="72"/>
  <c r="B29" i="72"/>
  <c r="Z28" i="72"/>
  <c r="X28" i="72"/>
  <c r="N28" i="72"/>
  <c r="L28" i="72"/>
  <c r="B28" i="72"/>
  <c r="X27" i="72"/>
  <c r="Z27" i="72" s="1"/>
  <c r="L27" i="72"/>
  <c r="N27" i="72" s="1"/>
  <c r="F27" i="72"/>
  <c r="B27" i="72"/>
  <c r="X26" i="72"/>
  <c r="Z26" i="72" s="1"/>
  <c r="T26" i="72"/>
  <c r="P26" i="72"/>
  <c r="H26" i="72"/>
  <c r="D26" i="72"/>
  <c r="L26" i="72" s="1"/>
  <c r="N26" i="72" s="1"/>
  <c r="B26" i="72"/>
  <c r="T25" i="72"/>
  <c r="P25" i="72"/>
  <c r="X25" i="72" s="1"/>
  <c r="Z25" i="72" s="1"/>
  <c r="L25" i="72"/>
  <c r="H25" i="72"/>
  <c r="D25" i="72"/>
  <c r="H23" i="72"/>
  <c r="Z21" i="72"/>
  <c r="X21" i="72"/>
  <c r="N21" i="72"/>
  <c r="L21" i="72"/>
  <c r="B21" i="72"/>
  <c r="Z20" i="72"/>
  <c r="X20" i="72"/>
  <c r="N20" i="72"/>
  <c r="L20" i="72"/>
  <c r="B20" i="72"/>
  <c r="X19" i="72"/>
  <c r="T19" i="72"/>
  <c r="P19" i="72"/>
  <c r="H19" i="72"/>
  <c r="D19" i="72"/>
  <c r="L19" i="72" s="1"/>
  <c r="N19" i="72" s="1"/>
  <c r="T17" i="72"/>
  <c r="P17" i="72"/>
  <c r="X17" i="72" s="1"/>
  <c r="Z17" i="72" s="1"/>
  <c r="H17" i="72"/>
  <c r="D17" i="72"/>
  <c r="B17" i="72"/>
  <c r="X16" i="72"/>
  <c r="T16" i="72"/>
  <c r="Z16" i="72" s="1"/>
  <c r="P16" i="72"/>
  <c r="N16" i="72"/>
  <c r="H16" i="72"/>
  <c r="D16" i="72"/>
  <c r="L16" i="72" s="1"/>
  <c r="B16" i="72"/>
  <c r="T15" i="72"/>
  <c r="P15" i="72"/>
  <c r="X15" i="72" s="1"/>
  <c r="Z15" i="72" s="1"/>
  <c r="H15" i="72"/>
  <c r="D15" i="72"/>
  <c r="L15" i="72" s="1"/>
  <c r="N15" i="72" s="1"/>
  <c r="B15" i="72"/>
  <c r="T14" i="72"/>
  <c r="T12" i="72" s="1"/>
  <c r="P14" i="72"/>
  <c r="X14" i="72" s="1"/>
  <c r="Z14" i="72" s="1"/>
  <c r="H14" i="72"/>
  <c r="N14" i="72" s="1"/>
  <c r="D14" i="72"/>
  <c r="L14" i="72" s="1"/>
  <c r="B14" i="72"/>
  <c r="T13" i="72"/>
  <c r="P13" i="72"/>
  <c r="P12" i="72" s="1"/>
  <c r="R72" i="72" s="1"/>
  <c r="H13" i="72"/>
  <c r="D13" i="72"/>
  <c r="D12" i="72" s="1"/>
  <c r="F31" i="72" s="1"/>
  <c r="B13" i="72"/>
  <c r="H12" i="72"/>
  <c r="D6" i="72"/>
  <c r="D4" i="72"/>
  <c r="Z119" i="70"/>
  <c r="X119" i="70"/>
  <c r="L119" i="70"/>
  <c r="N119" i="70" s="1"/>
  <c r="X115" i="70"/>
  <c r="Z115" i="70" s="1"/>
  <c r="T115" i="70"/>
  <c r="P115" i="70"/>
  <c r="H115" i="70"/>
  <c r="H112" i="70" s="1"/>
  <c r="D115" i="70"/>
  <c r="B115" i="70"/>
  <c r="T114" i="70"/>
  <c r="P114" i="70"/>
  <c r="L114" i="70"/>
  <c r="H114" i="70"/>
  <c r="N114" i="70" s="1"/>
  <c r="D114" i="70"/>
  <c r="B114" i="70"/>
  <c r="T113" i="70"/>
  <c r="P113" i="70"/>
  <c r="X113" i="70" s="1"/>
  <c r="Z113" i="70" s="1"/>
  <c r="L113" i="70"/>
  <c r="N113" i="70" s="1"/>
  <c r="H113" i="70"/>
  <c r="D113" i="70"/>
  <c r="D112" i="70" s="1"/>
  <c r="L112" i="70" s="1"/>
  <c r="B113" i="70"/>
  <c r="X110" i="70"/>
  <c r="Z110" i="70" s="1"/>
  <c r="N110" i="70"/>
  <c r="L110" i="70"/>
  <c r="B110" i="70"/>
  <c r="X109" i="70"/>
  <c r="Z109" i="70" s="1"/>
  <c r="T109" i="70"/>
  <c r="P109" i="70"/>
  <c r="N109" i="70"/>
  <c r="H109" i="70"/>
  <c r="D109" i="70"/>
  <c r="L109" i="70" s="1"/>
  <c r="B109" i="70"/>
  <c r="Z108" i="70"/>
  <c r="X108" i="70"/>
  <c r="N108" i="70"/>
  <c r="L108" i="70"/>
  <c r="B108" i="70"/>
  <c r="T107" i="70"/>
  <c r="P107" i="70"/>
  <c r="N107" i="70"/>
  <c r="H107" i="70"/>
  <c r="D107" i="70"/>
  <c r="L107" i="70" s="1"/>
  <c r="B107" i="70"/>
  <c r="X106" i="70"/>
  <c r="Z106" i="70" s="1"/>
  <c r="L106" i="70"/>
  <c r="N106" i="70" s="1"/>
  <c r="B106" i="70"/>
  <c r="X105" i="70"/>
  <c r="Z105" i="70" s="1"/>
  <c r="L105" i="70"/>
  <c r="N105" i="70" s="1"/>
  <c r="B105" i="70"/>
  <c r="X104" i="70"/>
  <c r="T104" i="70"/>
  <c r="P104" i="70"/>
  <c r="H104" i="70"/>
  <c r="N104" i="70" s="1"/>
  <c r="D104" i="70"/>
  <c r="L104" i="70" s="1"/>
  <c r="B104" i="70"/>
  <c r="Z103" i="70"/>
  <c r="X103" i="70"/>
  <c r="N103" i="70"/>
  <c r="L103" i="70"/>
  <c r="B103" i="70"/>
  <c r="X102" i="70"/>
  <c r="Z102" i="70" s="1"/>
  <c r="N102" i="70"/>
  <c r="L102" i="70"/>
  <c r="B102" i="70"/>
  <c r="X101" i="70"/>
  <c r="Z101" i="70" s="1"/>
  <c r="N101" i="70"/>
  <c r="L101" i="70"/>
  <c r="B101" i="70"/>
  <c r="T100" i="70"/>
  <c r="P100" i="70"/>
  <c r="X100" i="70" s="1"/>
  <c r="Z100" i="70" s="1"/>
  <c r="H100" i="70"/>
  <c r="D100" i="70"/>
  <c r="B100" i="70"/>
  <c r="X99" i="70"/>
  <c r="Z99" i="70" s="1"/>
  <c r="N99" i="70"/>
  <c r="L99" i="70"/>
  <c r="B99" i="70"/>
  <c r="X98" i="70"/>
  <c r="T98" i="70"/>
  <c r="Z98" i="70" s="1"/>
  <c r="P98" i="70"/>
  <c r="H98" i="70"/>
  <c r="D98" i="70"/>
  <c r="B98" i="70"/>
  <c r="Z97" i="70"/>
  <c r="X97" i="70"/>
  <c r="N97" i="70"/>
  <c r="L97" i="70"/>
  <c r="B97" i="70"/>
  <c r="X96" i="70"/>
  <c r="Z96" i="70" s="1"/>
  <c r="N96" i="70"/>
  <c r="L96" i="70"/>
  <c r="B96" i="70"/>
  <c r="T95" i="70"/>
  <c r="P95" i="70"/>
  <c r="X95" i="70" s="1"/>
  <c r="Z95" i="70" s="1"/>
  <c r="L95" i="70"/>
  <c r="N95" i="70" s="1"/>
  <c r="H95" i="70"/>
  <c r="D95" i="70"/>
  <c r="B95" i="70"/>
  <c r="X94" i="70"/>
  <c r="Z94" i="70" s="1"/>
  <c r="L94" i="70"/>
  <c r="N94" i="70" s="1"/>
  <c r="B94" i="70"/>
  <c r="X93" i="70"/>
  <c r="Z93" i="70" s="1"/>
  <c r="T93" i="70"/>
  <c r="P93" i="70"/>
  <c r="H93" i="70"/>
  <c r="D93" i="70"/>
  <c r="B93" i="70"/>
  <c r="Z92" i="70"/>
  <c r="X92" i="70"/>
  <c r="N92" i="70"/>
  <c r="L92" i="70"/>
  <c r="B92" i="70"/>
  <c r="T91" i="70"/>
  <c r="P91" i="70"/>
  <c r="N91" i="70"/>
  <c r="H91" i="70"/>
  <c r="D91" i="70"/>
  <c r="L91" i="70" s="1"/>
  <c r="B91" i="70"/>
  <c r="X90" i="70"/>
  <c r="Z90" i="70" s="1"/>
  <c r="N90" i="70"/>
  <c r="L90" i="70"/>
  <c r="B90" i="70"/>
  <c r="X89" i="70"/>
  <c r="Z89" i="70" s="1"/>
  <c r="L89" i="70"/>
  <c r="N89" i="70" s="1"/>
  <c r="B89" i="70"/>
  <c r="X88" i="70"/>
  <c r="T88" i="70"/>
  <c r="P88" i="70"/>
  <c r="H88" i="70"/>
  <c r="N88" i="70" s="1"/>
  <c r="D88" i="70"/>
  <c r="L88" i="70" s="1"/>
  <c r="B88" i="70"/>
  <c r="Z87" i="70"/>
  <c r="X87" i="70"/>
  <c r="N87" i="70"/>
  <c r="L87" i="70"/>
  <c r="B87" i="70"/>
  <c r="T86" i="70"/>
  <c r="X86" i="70" s="1"/>
  <c r="P86" i="70"/>
  <c r="N86" i="70"/>
  <c r="H86" i="70"/>
  <c r="D86" i="70"/>
  <c r="L86" i="70" s="1"/>
  <c r="B86" i="70"/>
  <c r="Z85" i="70"/>
  <c r="X85" i="70"/>
  <c r="N85" i="70"/>
  <c r="L85" i="70"/>
  <c r="B85" i="70"/>
  <c r="T84" i="70"/>
  <c r="P84" i="70"/>
  <c r="L84" i="70"/>
  <c r="H84" i="70"/>
  <c r="N84" i="70" s="1"/>
  <c r="D84" i="70"/>
  <c r="B84" i="70"/>
  <c r="Z83" i="70"/>
  <c r="X83" i="70"/>
  <c r="N83" i="70"/>
  <c r="L83" i="70"/>
  <c r="B83" i="70"/>
  <c r="X82" i="70"/>
  <c r="Z82" i="70" s="1"/>
  <c r="L82" i="70"/>
  <c r="N82" i="70" s="1"/>
  <c r="B82" i="70"/>
  <c r="X81" i="70"/>
  <c r="Z81" i="70" s="1"/>
  <c r="T81" i="70"/>
  <c r="P81" i="70"/>
  <c r="H81" i="70"/>
  <c r="D81" i="70"/>
  <c r="L81" i="70" s="1"/>
  <c r="N81" i="70" s="1"/>
  <c r="B81" i="70"/>
  <c r="Z80" i="70"/>
  <c r="X80" i="70"/>
  <c r="N80" i="70"/>
  <c r="L80" i="70"/>
  <c r="B80" i="70"/>
  <c r="T79" i="70"/>
  <c r="P79" i="70"/>
  <c r="L79" i="70"/>
  <c r="N79" i="70" s="1"/>
  <c r="H79" i="70"/>
  <c r="D79" i="70"/>
  <c r="B79" i="70"/>
  <c r="X78" i="70"/>
  <c r="Z78" i="70" s="1"/>
  <c r="L78" i="70"/>
  <c r="N78" i="70" s="1"/>
  <c r="B78" i="70"/>
  <c r="Z77" i="70"/>
  <c r="X77" i="70"/>
  <c r="N77" i="70"/>
  <c r="L77" i="70"/>
  <c r="B77" i="70"/>
  <c r="Z76" i="70"/>
  <c r="X76" i="70"/>
  <c r="L76" i="70"/>
  <c r="N76" i="70" s="1"/>
  <c r="B76" i="70"/>
  <c r="X75" i="70"/>
  <c r="Z75" i="70" s="1"/>
  <c r="N75" i="70"/>
  <c r="L75" i="70"/>
  <c r="B75" i="70"/>
  <c r="X74" i="70"/>
  <c r="Z74" i="70" s="1"/>
  <c r="L74" i="70"/>
  <c r="N74" i="70" s="1"/>
  <c r="B74" i="70"/>
  <c r="Z73" i="70"/>
  <c r="X73" i="70"/>
  <c r="N73" i="70"/>
  <c r="L73" i="70"/>
  <c r="B73" i="70"/>
  <c r="T72" i="70"/>
  <c r="P72" i="70"/>
  <c r="L72" i="70"/>
  <c r="H72" i="70"/>
  <c r="N72" i="70" s="1"/>
  <c r="D72" i="70"/>
  <c r="B72" i="70"/>
  <c r="Z71" i="70"/>
  <c r="X71" i="70"/>
  <c r="N71" i="70"/>
  <c r="L71" i="70"/>
  <c r="B71" i="70"/>
  <c r="X70" i="70"/>
  <c r="Z70" i="70" s="1"/>
  <c r="L70" i="70"/>
  <c r="N70" i="70" s="1"/>
  <c r="B70" i="70"/>
  <c r="X69" i="70"/>
  <c r="Z69" i="70" s="1"/>
  <c r="L69" i="70"/>
  <c r="N69" i="70" s="1"/>
  <c r="B69" i="70"/>
  <c r="X68" i="70"/>
  <c r="Z68" i="70" s="1"/>
  <c r="N68" i="70"/>
  <c r="L68" i="70"/>
  <c r="B68" i="70"/>
  <c r="Z67" i="70"/>
  <c r="X67" i="70"/>
  <c r="N67" i="70"/>
  <c r="L67" i="70"/>
  <c r="B67" i="70"/>
  <c r="X66" i="70"/>
  <c r="Z66" i="70" s="1"/>
  <c r="L66" i="70"/>
  <c r="N66" i="70" s="1"/>
  <c r="B66" i="70"/>
  <c r="X65" i="70"/>
  <c r="Z65" i="70" s="1"/>
  <c r="L65" i="70"/>
  <c r="N65" i="70" s="1"/>
  <c r="B65" i="70"/>
  <c r="X64" i="70"/>
  <c r="Z64" i="70" s="1"/>
  <c r="N64" i="70"/>
  <c r="L64" i="70"/>
  <c r="B64" i="70"/>
  <c r="Z63" i="70"/>
  <c r="X63" i="70"/>
  <c r="N63" i="70"/>
  <c r="L63" i="70"/>
  <c r="B63" i="70"/>
  <c r="T62" i="70"/>
  <c r="Z62" i="70" s="1"/>
  <c r="P62" i="70"/>
  <c r="X62" i="70" s="1"/>
  <c r="L62" i="70"/>
  <c r="H62" i="70"/>
  <c r="D62" i="70"/>
  <c r="B62" i="70"/>
  <c r="X61" i="70"/>
  <c r="T61" i="70"/>
  <c r="Z61" i="70" s="1"/>
  <c r="P61" i="70"/>
  <c r="H61" i="70"/>
  <c r="D61" i="70"/>
  <c r="X57" i="70"/>
  <c r="Z57" i="70" s="1"/>
  <c r="N57" i="70"/>
  <c r="L57" i="70"/>
  <c r="B57" i="70"/>
  <c r="Z56" i="70"/>
  <c r="X56" i="70"/>
  <c r="N56" i="70"/>
  <c r="L56" i="70"/>
  <c r="B56" i="70"/>
  <c r="Z55" i="70"/>
  <c r="X55" i="70"/>
  <c r="N55" i="70"/>
  <c r="L55" i="70"/>
  <c r="B55" i="70"/>
  <c r="X54" i="70"/>
  <c r="Z54" i="70" s="1"/>
  <c r="L54" i="70"/>
  <c r="N54" i="70" s="1"/>
  <c r="B54" i="70"/>
  <c r="X53" i="70"/>
  <c r="Z53" i="70" s="1"/>
  <c r="N53" i="70"/>
  <c r="L53" i="70"/>
  <c r="B53" i="70"/>
  <c r="Z52" i="70"/>
  <c r="X52" i="70"/>
  <c r="N52" i="70"/>
  <c r="L52" i="70"/>
  <c r="B52" i="70"/>
  <c r="Z51" i="70"/>
  <c r="X51" i="70"/>
  <c r="L51" i="70"/>
  <c r="N51" i="70" s="1"/>
  <c r="B51" i="70"/>
  <c r="X50" i="70"/>
  <c r="Z50" i="70" s="1"/>
  <c r="L50" i="70"/>
  <c r="N50" i="70" s="1"/>
  <c r="B50" i="70"/>
  <c r="X49" i="70"/>
  <c r="Z49" i="70" s="1"/>
  <c r="N49" i="70"/>
  <c r="L49" i="70"/>
  <c r="B49" i="70"/>
  <c r="Z48" i="70"/>
  <c r="X48" i="70"/>
  <c r="N48" i="70"/>
  <c r="L48" i="70"/>
  <c r="B48" i="70"/>
  <c r="Z47" i="70"/>
  <c r="X47" i="70"/>
  <c r="L47" i="70"/>
  <c r="N47" i="70" s="1"/>
  <c r="B47" i="70"/>
  <c r="X46" i="70"/>
  <c r="Z46" i="70" s="1"/>
  <c r="L46" i="70"/>
  <c r="N46" i="70" s="1"/>
  <c r="B46" i="70"/>
  <c r="X45" i="70"/>
  <c r="Z45" i="70" s="1"/>
  <c r="N45" i="70"/>
  <c r="L45" i="70"/>
  <c r="B45" i="70"/>
  <c r="Z44" i="70"/>
  <c r="X44" i="70"/>
  <c r="N44" i="70"/>
  <c r="L44" i="70"/>
  <c r="B44" i="70"/>
  <c r="Z43" i="70"/>
  <c r="X43" i="70"/>
  <c r="L43" i="70"/>
  <c r="N43" i="70" s="1"/>
  <c r="B43" i="70"/>
  <c r="T42" i="70"/>
  <c r="P42" i="70"/>
  <c r="N42" i="70"/>
  <c r="H42" i="70"/>
  <c r="D42" i="70"/>
  <c r="L42" i="70" s="1"/>
  <c r="T40" i="70"/>
  <c r="P40" i="70"/>
  <c r="X40" i="70" s="1"/>
  <c r="H40" i="70"/>
  <c r="D40" i="70"/>
  <c r="B40" i="70"/>
  <c r="X39" i="70"/>
  <c r="T39" i="70"/>
  <c r="Z39" i="70" s="1"/>
  <c r="P39" i="70"/>
  <c r="N39" i="70"/>
  <c r="H39" i="70"/>
  <c r="L39" i="70" s="1"/>
  <c r="D39" i="70"/>
  <c r="B39" i="70"/>
  <c r="T38" i="70"/>
  <c r="X38" i="70" s="1"/>
  <c r="Z38" i="70" s="1"/>
  <c r="P38" i="70"/>
  <c r="N38" i="70"/>
  <c r="H38" i="70"/>
  <c r="D38" i="70"/>
  <c r="L38" i="70" s="1"/>
  <c r="B38" i="70"/>
  <c r="T37" i="70"/>
  <c r="P37" i="70"/>
  <c r="H37" i="70"/>
  <c r="D37" i="70"/>
  <c r="L37" i="70" s="1"/>
  <c r="N37" i="70" s="1"/>
  <c r="B37" i="70"/>
  <c r="X36" i="70"/>
  <c r="T36" i="70"/>
  <c r="P36" i="70"/>
  <c r="L36" i="70"/>
  <c r="H36" i="70"/>
  <c r="N36" i="70" s="1"/>
  <c r="D36" i="70"/>
  <c r="B36" i="70"/>
  <c r="X35" i="70"/>
  <c r="T35" i="70"/>
  <c r="Z35" i="70" s="1"/>
  <c r="P35" i="70"/>
  <c r="H35" i="70"/>
  <c r="D35" i="70"/>
  <c r="B35" i="70"/>
  <c r="T34" i="70"/>
  <c r="X34" i="70" s="1"/>
  <c r="Z34" i="70" s="1"/>
  <c r="P34" i="70"/>
  <c r="H34" i="70"/>
  <c r="D34" i="70"/>
  <c r="L34" i="70" s="1"/>
  <c r="N34" i="70" s="1"/>
  <c r="B34" i="70"/>
  <c r="T33" i="70"/>
  <c r="P33" i="70"/>
  <c r="N33" i="70"/>
  <c r="H33" i="70"/>
  <c r="D33" i="70"/>
  <c r="L33" i="70" s="1"/>
  <c r="B33" i="70"/>
  <c r="T32" i="70"/>
  <c r="P32" i="70"/>
  <c r="X32" i="70" s="1"/>
  <c r="H32" i="70"/>
  <c r="N32" i="70" s="1"/>
  <c r="D32" i="70"/>
  <c r="B32" i="70"/>
  <c r="X31" i="70"/>
  <c r="T31" i="70"/>
  <c r="Z31" i="70" s="1"/>
  <c r="P31" i="70"/>
  <c r="N31" i="70"/>
  <c r="H31" i="70"/>
  <c r="L31" i="70" s="1"/>
  <c r="D31" i="70"/>
  <c r="B31" i="70"/>
  <c r="Z30" i="70"/>
  <c r="T30" i="70"/>
  <c r="X30" i="70" s="1"/>
  <c r="P30" i="70"/>
  <c r="N30" i="70"/>
  <c r="H30" i="70"/>
  <c r="D30" i="70"/>
  <c r="L30" i="70" s="1"/>
  <c r="B30" i="70"/>
  <c r="T29" i="70"/>
  <c r="P29" i="70"/>
  <c r="H29" i="70"/>
  <c r="D29" i="70"/>
  <c r="L29" i="70" s="1"/>
  <c r="N29" i="70" s="1"/>
  <c r="B29" i="70"/>
  <c r="T28" i="70"/>
  <c r="P28" i="70"/>
  <c r="X28" i="70" s="1"/>
  <c r="L28" i="70"/>
  <c r="H28" i="70"/>
  <c r="D28" i="70"/>
  <c r="B28" i="70"/>
  <c r="X27" i="70"/>
  <c r="T27" i="70"/>
  <c r="P27" i="70"/>
  <c r="H27" i="70"/>
  <c r="L27" i="70" s="1"/>
  <c r="D27" i="70"/>
  <c r="B27" i="70"/>
  <c r="Z26" i="70"/>
  <c r="T26" i="70"/>
  <c r="X26" i="70" s="1"/>
  <c r="P26" i="70"/>
  <c r="N26" i="70"/>
  <c r="H26" i="70"/>
  <c r="D26" i="70"/>
  <c r="L26" i="70" s="1"/>
  <c r="B26" i="70"/>
  <c r="T25" i="70"/>
  <c r="P25" i="70"/>
  <c r="X25" i="70" s="1"/>
  <c r="Z25" i="70" s="1"/>
  <c r="H25" i="70"/>
  <c r="D25" i="70"/>
  <c r="L25" i="70" s="1"/>
  <c r="N25" i="70" s="1"/>
  <c r="B25" i="70"/>
  <c r="T24" i="70"/>
  <c r="P24" i="70"/>
  <c r="X24" i="70" s="1"/>
  <c r="L24" i="70"/>
  <c r="H24" i="70"/>
  <c r="N24" i="70" s="1"/>
  <c r="D24" i="70"/>
  <c r="B24" i="70"/>
  <c r="X23" i="70"/>
  <c r="T23" i="70"/>
  <c r="Z23" i="70" s="1"/>
  <c r="P23" i="70"/>
  <c r="N23" i="70"/>
  <c r="H23" i="70"/>
  <c r="L23" i="70" s="1"/>
  <c r="D23" i="70"/>
  <c r="B23" i="70"/>
  <c r="T22" i="70"/>
  <c r="X22" i="70" s="1"/>
  <c r="P22" i="70"/>
  <c r="H22" i="70"/>
  <c r="D22" i="70"/>
  <c r="L22" i="70" s="1"/>
  <c r="N22" i="70" s="1"/>
  <c r="B22" i="70"/>
  <c r="T21" i="70"/>
  <c r="P21" i="70"/>
  <c r="H21" i="70"/>
  <c r="D21" i="70"/>
  <c r="L21" i="70" s="1"/>
  <c r="N21" i="70" s="1"/>
  <c r="B21" i="70"/>
  <c r="T20" i="70"/>
  <c r="P20" i="70"/>
  <c r="X20" i="70" s="1"/>
  <c r="H20" i="70"/>
  <c r="D20" i="70"/>
  <c r="B20" i="70"/>
  <c r="X19" i="70"/>
  <c r="T19" i="70"/>
  <c r="P19" i="70"/>
  <c r="L19" i="70"/>
  <c r="N19" i="70" s="1"/>
  <c r="H19" i="70"/>
  <c r="D19" i="70"/>
  <c r="B19" i="70"/>
  <c r="T18" i="70"/>
  <c r="X18" i="70" s="1"/>
  <c r="P18" i="70"/>
  <c r="N18" i="70"/>
  <c r="H18" i="70"/>
  <c r="D18" i="70"/>
  <c r="L18" i="70" s="1"/>
  <c r="B18" i="70"/>
  <c r="T17" i="70"/>
  <c r="P17" i="70"/>
  <c r="N17" i="70"/>
  <c r="H17" i="70"/>
  <c r="D17" i="70"/>
  <c r="L17" i="70" s="1"/>
  <c r="B17" i="70"/>
  <c r="X16" i="70"/>
  <c r="T16" i="70"/>
  <c r="P16" i="70"/>
  <c r="H16" i="70"/>
  <c r="D16" i="70"/>
  <c r="B16" i="70"/>
  <c r="X15" i="70"/>
  <c r="T15" i="70"/>
  <c r="Z15" i="70" s="1"/>
  <c r="P15" i="70"/>
  <c r="H15" i="70"/>
  <c r="L15" i="70" s="1"/>
  <c r="N15" i="70" s="1"/>
  <c r="D15" i="70"/>
  <c r="B15" i="70"/>
  <c r="T14" i="70"/>
  <c r="P14" i="70"/>
  <c r="H14" i="70"/>
  <c r="D14" i="70"/>
  <c r="L14" i="70" s="1"/>
  <c r="N14" i="70" s="1"/>
  <c r="B14" i="70"/>
  <c r="Z13" i="70"/>
  <c r="T13" i="70"/>
  <c r="P13" i="70"/>
  <c r="X13" i="70" s="1"/>
  <c r="N13" i="70"/>
  <c r="H13" i="70"/>
  <c r="D13" i="70"/>
  <c r="B13" i="70"/>
  <c r="D6" i="70"/>
  <c r="D4" i="70"/>
  <c r="Z70" i="69"/>
  <c r="X70" i="69"/>
  <c r="N70" i="69"/>
  <c r="L70" i="69"/>
  <c r="Z66" i="69"/>
  <c r="T66" i="69"/>
  <c r="P66" i="69"/>
  <c r="X66" i="69" s="1"/>
  <c r="H66" i="69"/>
  <c r="N66" i="69" s="1"/>
  <c r="D66" i="69"/>
  <c r="L66" i="69" s="1"/>
  <c r="Z64" i="69"/>
  <c r="X64" i="69"/>
  <c r="L64" i="69"/>
  <c r="N64" i="69" s="1"/>
  <c r="B64" i="69"/>
  <c r="T63" i="69"/>
  <c r="P63" i="69"/>
  <c r="H63" i="69"/>
  <c r="D63" i="69"/>
  <c r="L63" i="69" s="1"/>
  <c r="N63" i="69" s="1"/>
  <c r="B63" i="69"/>
  <c r="X62" i="69"/>
  <c r="Z62" i="69" s="1"/>
  <c r="N62" i="69"/>
  <c r="L62" i="69"/>
  <c r="B62" i="69"/>
  <c r="Z61" i="69"/>
  <c r="X61" i="69"/>
  <c r="N61" i="69"/>
  <c r="L61" i="69"/>
  <c r="B61" i="69"/>
  <c r="Z60" i="69"/>
  <c r="X60" i="69"/>
  <c r="L60" i="69"/>
  <c r="N60" i="69" s="1"/>
  <c r="B60" i="69"/>
  <c r="T59" i="69"/>
  <c r="R59" i="69"/>
  <c r="P59" i="69"/>
  <c r="H59" i="69"/>
  <c r="D59" i="69"/>
  <c r="L59" i="69" s="1"/>
  <c r="N59" i="69" s="1"/>
  <c r="B59" i="69"/>
  <c r="Z58" i="69"/>
  <c r="X58" i="69"/>
  <c r="N58" i="69"/>
  <c r="L58" i="69"/>
  <c r="B58" i="69"/>
  <c r="X57" i="69"/>
  <c r="Z57" i="69" s="1"/>
  <c r="L57" i="69"/>
  <c r="N57" i="69" s="1"/>
  <c r="B57" i="69"/>
  <c r="Z56" i="69"/>
  <c r="X56" i="69"/>
  <c r="N56" i="69"/>
  <c r="L56" i="69"/>
  <c r="B56" i="69"/>
  <c r="T55" i="69"/>
  <c r="P55" i="69"/>
  <c r="X55" i="69" s="1"/>
  <c r="Z55" i="69" s="1"/>
  <c r="H55" i="69"/>
  <c r="D55" i="69"/>
  <c r="L55" i="69" s="1"/>
  <c r="B55" i="69"/>
  <c r="X54" i="69"/>
  <c r="Z54" i="69" s="1"/>
  <c r="L54" i="69"/>
  <c r="N54" i="69" s="1"/>
  <c r="B54" i="69"/>
  <c r="Z53" i="69"/>
  <c r="X53" i="69"/>
  <c r="N53" i="69"/>
  <c r="L53" i="69"/>
  <c r="B53" i="69"/>
  <c r="X52" i="69"/>
  <c r="T52" i="69"/>
  <c r="P52" i="69"/>
  <c r="L52" i="69"/>
  <c r="H52" i="69"/>
  <c r="N52" i="69" s="1"/>
  <c r="D52" i="69"/>
  <c r="B52" i="69"/>
  <c r="Z51" i="69"/>
  <c r="X51" i="69"/>
  <c r="N51" i="69"/>
  <c r="L51" i="69"/>
  <c r="B51" i="69"/>
  <c r="T50" i="69"/>
  <c r="P50" i="69"/>
  <c r="H50" i="69"/>
  <c r="N50" i="69" s="1"/>
  <c r="D50" i="69"/>
  <c r="L50" i="69" s="1"/>
  <c r="B50" i="69"/>
  <c r="X49" i="69"/>
  <c r="Z49" i="69" s="1"/>
  <c r="N49" i="69"/>
  <c r="L49" i="69"/>
  <c r="B49" i="69"/>
  <c r="T48" i="69"/>
  <c r="Z48" i="69" s="1"/>
  <c r="P48" i="69"/>
  <c r="X48" i="69" s="1"/>
  <c r="H48" i="69"/>
  <c r="D48" i="69"/>
  <c r="L48" i="69" s="1"/>
  <c r="N48" i="69" s="1"/>
  <c r="B48" i="69"/>
  <c r="Z47" i="69"/>
  <c r="X47" i="69"/>
  <c r="L47" i="69"/>
  <c r="N47" i="69" s="1"/>
  <c r="B47" i="69"/>
  <c r="X46" i="69"/>
  <c r="T46" i="69"/>
  <c r="Z46" i="69" s="1"/>
  <c r="P46" i="69"/>
  <c r="L46" i="69"/>
  <c r="H46" i="69"/>
  <c r="N46" i="69" s="1"/>
  <c r="D46" i="69"/>
  <c r="B46" i="69"/>
  <c r="Z45" i="69"/>
  <c r="X45" i="69"/>
  <c r="L45" i="69"/>
  <c r="N45" i="69" s="1"/>
  <c r="F45" i="69"/>
  <c r="B45" i="69"/>
  <c r="T44" i="69"/>
  <c r="Z44" i="69" s="1"/>
  <c r="P44" i="69"/>
  <c r="X44" i="69" s="1"/>
  <c r="H44" i="69"/>
  <c r="F44" i="69"/>
  <c r="D44" i="69"/>
  <c r="L44" i="69" s="1"/>
  <c r="B44" i="69"/>
  <c r="Z43" i="69"/>
  <c r="X43" i="69"/>
  <c r="N43" i="69"/>
  <c r="L43" i="69"/>
  <c r="B43" i="69"/>
  <c r="Z42" i="69"/>
  <c r="T42" i="69"/>
  <c r="P42" i="69"/>
  <c r="X42" i="69" s="1"/>
  <c r="H42" i="69"/>
  <c r="D42" i="69"/>
  <c r="L42" i="69" s="1"/>
  <c r="N42" i="69" s="1"/>
  <c r="B42" i="69"/>
  <c r="Z41" i="69"/>
  <c r="X41" i="69"/>
  <c r="N41" i="69"/>
  <c r="L41" i="69"/>
  <c r="B41" i="69"/>
  <c r="X40" i="69"/>
  <c r="V40" i="69"/>
  <c r="T40" i="69"/>
  <c r="P40" i="69"/>
  <c r="L40" i="69"/>
  <c r="H40" i="69"/>
  <c r="N40" i="69" s="1"/>
  <c r="D40" i="69"/>
  <c r="B40" i="69"/>
  <c r="Z39" i="69"/>
  <c r="X39" i="69"/>
  <c r="N39" i="69"/>
  <c r="L39" i="69"/>
  <c r="B39" i="69"/>
  <c r="T38" i="69"/>
  <c r="P38" i="69"/>
  <c r="H38" i="69"/>
  <c r="N38" i="69" s="1"/>
  <c r="D38" i="69"/>
  <c r="L38" i="69" s="1"/>
  <c r="B38" i="69"/>
  <c r="Z37" i="69"/>
  <c r="X37" i="69"/>
  <c r="N37" i="69"/>
  <c r="L37" i="69"/>
  <c r="B37" i="69"/>
  <c r="X36" i="69"/>
  <c r="Z36" i="69" s="1"/>
  <c r="L36" i="69"/>
  <c r="N36" i="69" s="1"/>
  <c r="B36" i="69"/>
  <c r="Z35" i="69"/>
  <c r="X35" i="69"/>
  <c r="N35" i="69"/>
  <c r="L35" i="69"/>
  <c r="B35" i="69"/>
  <c r="Z34" i="69"/>
  <c r="X34" i="69"/>
  <c r="L34" i="69"/>
  <c r="N34" i="69" s="1"/>
  <c r="F34" i="69"/>
  <c r="B34" i="69"/>
  <c r="X33" i="69"/>
  <c r="Z33" i="69" s="1"/>
  <c r="N33" i="69"/>
  <c r="L33" i="69"/>
  <c r="B33" i="69"/>
  <c r="T32" i="69"/>
  <c r="P32" i="69"/>
  <c r="X32" i="69" s="1"/>
  <c r="Z32" i="69" s="1"/>
  <c r="N32" i="69"/>
  <c r="H32" i="69"/>
  <c r="D32" i="69"/>
  <c r="L32" i="69" s="1"/>
  <c r="B32" i="69"/>
  <c r="Z31" i="69"/>
  <c r="X31" i="69"/>
  <c r="N31" i="69"/>
  <c r="L31" i="69"/>
  <c r="B31" i="69"/>
  <c r="X30" i="69"/>
  <c r="Z30" i="69" s="1"/>
  <c r="N30" i="69"/>
  <c r="L30" i="69"/>
  <c r="F30" i="69"/>
  <c r="B30" i="69"/>
  <c r="Z29" i="69"/>
  <c r="X29" i="69"/>
  <c r="N29" i="69"/>
  <c r="L29" i="69"/>
  <c r="B29" i="69"/>
  <c r="X28" i="69"/>
  <c r="Z28" i="69" s="1"/>
  <c r="L28" i="69"/>
  <c r="N28" i="69" s="1"/>
  <c r="F28" i="69"/>
  <c r="B28" i="69"/>
  <c r="Z27" i="69"/>
  <c r="X27" i="69"/>
  <c r="N27" i="69"/>
  <c r="L27" i="69"/>
  <c r="B27" i="69"/>
  <c r="X26" i="69"/>
  <c r="Z26" i="69" s="1"/>
  <c r="N26" i="69"/>
  <c r="L26" i="69"/>
  <c r="F26" i="69"/>
  <c r="B26" i="69"/>
  <c r="Z25" i="69"/>
  <c r="X25" i="69"/>
  <c r="N25" i="69"/>
  <c r="L25" i="69"/>
  <c r="B25" i="69"/>
  <c r="X24" i="69"/>
  <c r="Z24" i="69" s="1"/>
  <c r="L24" i="69"/>
  <c r="N24" i="69" s="1"/>
  <c r="F24" i="69"/>
  <c r="B24" i="69"/>
  <c r="T23" i="69"/>
  <c r="P23" i="69"/>
  <c r="X23" i="69" s="1"/>
  <c r="Z23" i="69" s="1"/>
  <c r="H23" i="69"/>
  <c r="F23" i="69"/>
  <c r="D23" i="69"/>
  <c r="L23" i="69" s="1"/>
  <c r="N23" i="69" s="1"/>
  <c r="B23" i="69"/>
  <c r="T22" i="69"/>
  <c r="P22" i="69"/>
  <c r="H22" i="69"/>
  <c r="N22" i="69" s="1"/>
  <c r="D22" i="69"/>
  <c r="L22" i="69" s="1"/>
  <c r="D20" i="69"/>
  <c r="Z18" i="69"/>
  <c r="X18" i="69"/>
  <c r="R18" i="69"/>
  <c r="N18" i="69"/>
  <c r="L18" i="69"/>
  <c r="B18" i="69"/>
  <c r="Z17" i="69"/>
  <c r="X17" i="69"/>
  <c r="N17" i="69"/>
  <c r="L17" i="69"/>
  <c r="F17" i="69"/>
  <c r="B17" i="69"/>
  <c r="T16" i="69"/>
  <c r="P16" i="69"/>
  <c r="X16" i="69" s="1"/>
  <c r="H16" i="69"/>
  <c r="F16" i="69"/>
  <c r="D16" i="69"/>
  <c r="L16" i="69" s="1"/>
  <c r="T14" i="69"/>
  <c r="P14" i="69"/>
  <c r="X14" i="69" s="1"/>
  <c r="L14" i="69"/>
  <c r="N14" i="69" s="1"/>
  <c r="H14" i="69"/>
  <c r="D14" i="69"/>
  <c r="B14" i="69"/>
  <c r="X13" i="69"/>
  <c r="Z13" i="69" s="1"/>
  <c r="T13" i="69"/>
  <c r="T12" i="69" s="1"/>
  <c r="P13" i="69"/>
  <c r="H13" i="69"/>
  <c r="N13" i="69" s="1"/>
  <c r="D13" i="69"/>
  <c r="L13" i="69" s="1"/>
  <c r="B13" i="69"/>
  <c r="P12" i="69"/>
  <c r="R58" i="69" s="1"/>
  <c r="D12" i="69"/>
  <c r="F58" i="69" s="1"/>
  <c r="D6" i="69"/>
  <c r="D4" i="69"/>
  <c r="X114" i="68"/>
  <c r="Z114" i="68" s="1"/>
  <c r="L114" i="68"/>
  <c r="N114" i="68" s="1"/>
  <c r="T110" i="68"/>
  <c r="T109" i="68" s="1"/>
  <c r="P110" i="68"/>
  <c r="X110" i="68" s="1"/>
  <c r="H110" i="68"/>
  <c r="H109" i="68" s="1"/>
  <c r="D110" i="68"/>
  <c r="L110" i="68" s="1"/>
  <c r="B110" i="68"/>
  <c r="Z107" i="68"/>
  <c r="X107" i="68"/>
  <c r="N107" i="68"/>
  <c r="L107" i="68"/>
  <c r="B107" i="68"/>
  <c r="T106" i="68"/>
  <c r="P106" i="68"/>
  <c r="X106" i="68" s="1"/>
  <c r="Z106" i="68" s="1"/>
  <c r="N106" i="68"/>
  <c r="H106" i="68"/>
  <c r="D106" i="68"/>
  <c r="L106" i="68" s="1"/>
  <c r="B106" i="68"/>
  <c r="Z105" i="68"/>
  <c r="X105" i="68"/>
  <c r="N105" i="68"/>
  <c r="L105" i="68"/>
  <c r="B105" i="68"/>
  <c r="X104" i="68"/>
  <c r="T104" i="68"/>
  <c r="Z104" i="68" s="1"/>
  <c r="P104" i="68"/>
  <c r="L104" i="68"/>
  <c r="H104" i="68"/>
  <c r="N104" i="68" s="1"/>
  <c r="D104" i="68"/>
  <c r="B104" i="68"/>
  <c r="X103" i="68"/>
  <c r="Z103" i="68" s="1"/>
  <c r="N103" i="68"/>
  <c r="L103" i="68"/>
  <c r="B103" i="68"/>
  <c r="X102" i="68"/>
  <c r="Z102" i="68" s="1"/>
  <c r="N102" i="68"/>
  <c r="L102" i="68"/>
  <c r="B102" i="68"/>
  <c r="Z101" i="68"/>
  <c r="X101" i="68"/>
  <c r="N101" i="68"/>
  <c r="L101" i="68"/>
  <c r="B101" i="68"/>
  <c r="T100" i="68"/>
  <c r="P100" i="68"/>
  <c r="X100" i="68" s="1"/>
  <c r="H100" i="68"/>
  <c r="D100" i="68"/>
  <c r="B100" i="68"/>
  <c r="Z99" i="68"/>
  <c r="X99" i="68"/>
  <c r="N99" i="68"/>
  <c r="L99" i="68"/>
  <c r="B99" i="68"/>
  <c r="Z98" i="68"/>
  <c r="X98" i="68"/>
  <c r="L98" i="68"/>
  <c r="N98" i="68" s="1"/>
  <c r="B98" i="68"/>
  <c r="T97" i="68"/>
  <c r="P97" i="68"/>
  <c r="H97" i="68"/>
  <c r="D97" i="68"/>
  <c r="L97" i="68" s="1"/>
  <c r="N97" i="68" s="1"/>
  <c r="B97" i="68"/>
  <c r="X96" i="68"/>
  <c r="Z96" i="68" s="1"/>
  <c r="N96" i="68"/>
  <c r="L96" i="68"/>
  <c r="B96" i="68"/>
  <c r="Z95" i="68"/>
  <c r="X95" i="68"/>
  <c r="L95" i="68"/>
  <c r="N95" i="68" s="1"/>
  <c r="B95" i="68"/>
  <c r="X94" i="68"/>
  <c r="T94" i="68"/>
  <c r="Z94" i="68" s="1"/>
  <c r="P94" i="68"/>
  <c r="L94" i="68"/>
  <c r="H94" i="68"/>
  <c r="D94" i="68"/>
  <c r="B94" i="68"/>
  <c r="Z93" i="68"/>
  <c r="X93" i="68"/>
  <c r="N93" i="68"/>
  <c r="L93" i="68"/>
  <c r="B93" i="68"/>
  <c r="T92" i="68"/>
  <c r="Z92" i="68" s="1"/>
  <c r="P92" i="68"/>
  <c r="X92" i="68" s="1"/>
  <c r="H92" i="68"/>
  <c r="D92" i="68"/>
  <c r="L92" i="68" s="1"/>
  <c r="B92" i="68"/>
  <c r="Z91" i="68"/>
  <c r="X91" i="68"/>
  <c r="N91" i="68"/>
  <c r="L91" i="68"/>
  <c r="B91" i="68"/>
  <c r="T90" i="68"/>
  <c r="P90" i="68"/>
  <c r="X90" i="68" s="1"/>
  <c r="Z90" i="68" s="1"/>
  <c r="H90" i="68"/>
  <c r="D90" i="68"/>
  <c r="L90" i="68" s="1"/>
  <c r="N90" i="68" s="1"/>
  <c r="B90" i="68"/>
  <c r="Z89" i="68"/>
  <c r="X89" i="68"/>
  <c r="N89" i="68"/>
  <c r="L89" i="68"/>
  <c r="B89" i="68"/>
  <c r="X88" i="68"/>
  <c r="Z88" i="68" s="1"/>
  <c r="L88" i="68"/>
  <c r="N88" i="68" s="1"/>
  <c r="B88" i="68"/>
  <c r="T87" i="68"/>
  <c r="P87" i="68"/>
  <c r="X87" i="68" s="1"/>
  <c r="Z87" i="68" s="1"/>
  <c r="H87" i="68"/>
  <c r="D87" i="68"/>
  <c r="L87" i="68" s="1"/>
  <c r="N87" i="68" s="1"/>
  <c r="B87" i="68"/>
  <c r="X86" i="68"/>
  <c r="Z86" i="68" s="1"/>
  <c r="N86" i="68"/>
  <c r="L86" i="68"/>
  <c r="B86" i="68"/>
  <c r="Z85" i="68"/>
  <c r="X85" i="68"/>
  <c r="T85" i="68"/>
  <c r="P85" i="68"/>
  <c r="N85" i="68"/>
  <c r="L85" i="68"/>
  <c r="H85" i="68"/>
  <c r="D85" i="68"/>
  <c r="B85" i="68"/>
  <c r="X84" i="68"/>
  <c r="Z84" i="68" s="1"/>
  <c r="N84" i="68"/>
  <c r="L84" i="68"/>
  <c r="B84" i="68"/>
  <c r="T83" i="68"/>
  <c r="P83" i="68"/>
  <c r="X83" i="68" s="1"/>
  <c r="Z83" i="68" s="1"/>
  <c r="H83" i="68"/>
  <c r="D83" i="68"/>
  <c r="B83" i="68"/>
  <c r="X82" i="68"/>
  <c r="Z82" i="68" s="1"/>
  <c r="L82" i="68"/>
  <c r="N82" i="68" s="1"/>
  <c r="B82" i="68"/>
  <c r="Z81" i="68"/>
  <c r="X81" i="68"/>
  <c r="N81" i="68"/>
  <c r="L81" i="68"/>
  <c r="B81" i="68"/>
  <c r="X80" i="68"/>
  <c r="Z80" i="68" s="1"/>
  <c r="L80" i="68"/>
  <c r="N80" i="68" s="1"/>
  <c r="B80" i="68"/>
  <c r="Z79" i="68"/>
  <c r="X79" i="68"/>
  <c r="L79" i="68"/>
  <c r="N79" i="68" s="1"/>
  <c r="B79" i="68"/>
  <c r="X78" i="68"/>
  <c r="T78" i="68"/>
  <c r="Z78" i="68" s="1"/>
  <c r="P78" i="68"/>
  <c r="L78" i="68"/>
  <c r="H78" i="68"/>
  <c r="D78" i="68"/>
  <c r="B78" i="68"/>
  <c r="Z77" i="68"/>
  <c r="X77" i="68"/>
  <c r="N77" i="68"/>
  <c r="L77" i="68"/>
  <c r="B77" i="68"/>
  <c r="X76" i="68"/>
  <c r="Z76" i="68" s="1"/>
  <c r="L76" i="68"/>
  <c r="N76" i="68" s="1"/>
  <c r="B76" i="68"/>
  <c r="X75" i="68"/>
  <c r="Z75" i="68" s="1"/>
  <c r="N75" i="68"/>
  <c r="L75" i="68"/>
  <c r="B75" i="68"/>
  <c r="X74" i="68"/>
  <c r="Z74" i="68" s="1"/>
  <c r="N74" i="68"/>
  <c r="L74" i="68"/>
  <c r="B74" i="68"/>
  <c r="Z73" i="68"/>
  <c r="X73" i="68"/>
  <c r="N73" i="68"/>
  <c r="L73" i="68"/>
  <c r="B73" i="68"/>
  <c r="X72" i="68"/>
  <c r="Z72" i="68" s="1"/>
  <c r="L72" i="68"/>
  <c r="N72" i="68" s="1"/>
  <c r="B72" i="68"/>
  <c r="X71" i="68"/>
  <c r="Z71" i="68" s="1"/>
  <c r="N71" i="68"/>
  <c r="L71" i="68"/>
  <c r="B71" i="68"/>
  <c r="X70" i="68"/>
  <c r="Z70" i="68" s="1"/>
  <c r="N70" i="68"/>
  <c r="L70" i="68"/>
  <c r="B70" i="68"/>
  <c r="Z69" i="68"/>
  <c r="X69" i="68"/>
  <c r="T69" i="68"/>
  <c r="P69" i="68"/>
  <c r="N69" i="68"/>
  <c r="L69" i="68"/>
  <c r="H69" i="68"/>
  <c r="D69" i="68"/>
  <c r="B69" i="68"/>
  <c r="T68" i="68"/>
  <c r="P68" i="68"/>
  <c r="X68" i="68" s="1"/>
  <c r="Z68" i="68" s="1"/>
  <c r="H68" i="68"/>
  <c r="D68" i="68"/>
  <c r="L68" i="68" s="1"/>
  <c r="N68" i="68" s="1"/>
  <c r="X64" i="68"/>
  <c r="Z64" i="68" s="1"/>
  <c r="L64" i="68"/>
  <c r="N64" i="68" s="1"/>
  <c r="B64" i="68"/>
  <c r="Z63" i="68"/>
  <c r="X63" i="68"/>
  <c r="N63" i="68"/>
  <c r="L63" i="68"/>
  <c r="B63" i="68"/>
  <c r="Z62" i="68"/>
  <c r="X62" i="68"/>
  <c r="L62" i="68"/>
  <c r="N62" i="68" s="1"/>
  <c r="B62" i="68"/>
  <c r="Z61" i="68"/>
  <c r="X61" i="68"/>
  <c r="N61" i="68"/>
  <c r="L61" i="68"/>
  <c r="B61" i="68"/>
  <c r="X60" i="68"/>
  <c r="Z60" i="68" s="1"/>
  <c r="L60" i="68"/>
  <c r="N60" i="68" s="1"/>
  <c r="B60" i="68"/>
  <c r="Z59" i="68"/>
  <c r="X59" i="68"/>
  <c r="N59" i="68"/>
  <c r="L59" i="68"/>
  <c r="B59" i="68"/>
  <c r="Z58" i="68"/>
  <c r="X58" i="68"/>
  <c r="L58" i="68"/>
  <c r="N58" i="68" s="1"/>
  <c r="B58" i="68"/>
  <c r="Z57" i="68"/>
  <c r="X57" i="68"/>
  <c r="N57" i="68"/>
  <c r="L57" i="68"/>
  <c r="B57" i="68"/>
  <c r="X56" i="68"/>
  <c r="Z56" i="68" s="1"/>
  <c r="L56" i="68"/>
  <c r="N56" i="68" s="1"/>
  <c r="B56" i="68"/>
  <c r="Z55" i="68"/>
  <c r="X55" i="68"/>
  <c r="N55" i="68"/>
  <c r="L55" i="68"/>
  <c r="B55" i="68"/>
  <c r="Z54" i="68"/>
  <c r="X54" i="68"/>
  <c r="L54" i="68"/>
  <c r="N54" i="68" s="1"/>
  <c r="B54" i="68"/>
  <c r="Z53" i="68"/>
  <c r="X53" i="68"/>
  <c r="N53" i="68"/>
  <c r="L53" i="68"/>
  <c r="B53" i="68"/>
  <c r="X52" i="68"/>
  <c r="Z52" i="68" s="1"/>
  <c r="L52" i="68"/>
  <c r="N52" i="68" s="1"/>
  <c r="B52" i="68"/>
  <c r="Z51" i="68"/>
  <c r="X51" i="68"/>
  <c r="N51" i="68"/>
  <c r="L51" i="68"/>
  <c r="B51" i="68"/>
  <c r="Z50" i="68"/>
  <c r="X50" i="68"/>
  <c r="L50" i="68"/>
  <c r="N50" i="68" s="1"/>
  <c r="B50" i="68"/>
  <c r="Z49" i="68"/>
  <c r="X49" i="68"/>
  <c r="N49" i="68"/>
  <c r="L49" i="68"/>
  <c r="B49" i="68"/>
  <c r="X48" i="68"/>
  <c r="Z48" i="68" s="1"/>
  <c r="L48" i="68"/>
  <c r="N48" i="68" s="1"/>
  <c r="B48" i="68"/>
  <c r="Z47" i="68"/>
  <c r="X47" i="68"/>
  <c r="N47" i="68"/>
  <c r="L47" i="68"/>
  <c r="B47" i="68"/>
  <c r="Z46" i="68"/>
  <c r="X46" i="68"/>
  <c r="L46" i="68"/>
  <c r="N46" i="68" s="1"/>
  <c r="B46" i="68"/>
  <c r="Z45" i="68"/>
  <c r="X45" i="68"/>
  <c r="N45" i="68"/>
  <c r="L45" i="68"/>
  <c r="B45" i="68"/>
  <c r="T44" i="68"/>
  <c r="P44" i="68"/>
  <c r="X44" i="68" s="1"/>
  <c r="Z44" i="68" s="1"/>
  <c r="N44" i="68"/>
  <c r="H44" i="68"/>
  <c r="D44" i="68"/>
  <c r="L44" i="68" s="1"/>
  <c r="X42" i="68"/>
  <c r="Z42" i="68" s="1"/>
  <c r="T42" i="68"/>
  <c r="P42" i="68"/>
  <c r="L42" i="68"/>
  <c r="H42" i="68"/>
  <c r="D42" i="68"/>
  <c r="B42" i="68"/>
  <c r="T41" i="68"/>
  <c r="P41" i="68"/>
  <c r="N41" i="68"/>
  <c r="H41" i="68"/>
  <c r="L41" i="68" s="1"/>
  <c r="D41" i="68"/>
  <c r="B41" i="68"/>
  <c r="Z40" i="68"/>
  <c r="T40" i="68"/>
  <c r="P40" i="68"/>
  <c r="X40" i="68" s="1"/>
  <c r="L40" i="68"/>
  <c r="H40" i="68"/>
  <c r="D40" i="68"/>
  <c r="B40" i="68"/>
  <c r="T39" i="68"/>
  <c r="P39" i="68"/>
  <c r="X39" i="68" s="1"/>
  <c r="H39" i="68"/>
  <c r="D39" i="68"/>
  <c r="B39" i="68"/>
  <c r="X38" i="68"/>
  <c r="Z38" i="68" s="1"/>
  <c r="T38" i="68"/>
  <c r="P38" i="68"/>
  <c r="L38" i="68"/>
  <c r="H38" i="68"/>
  <c r="D38" i="68"/>
  <c r="B38" i="68"/>
  <c r="T37" i="68"/>
  <c r="P37" i="68"/>
  <c r="X37" i="68" s="1"/>
  <c r="N37" i="68"/>
  <c r="L37" i="68"/>
  <c r="H37" i="68"/>
  <c r="D37" i="68"/>
  <c r="B37" i="68"/>
  <c r="Z36" i="68"/>
  <c r="T36" i="68"/>
  <c r="P36" i="68"/>
  <c r="X36" i="68" s="1"/>
  <c r="L36" i="68"/>
  <c r="H36" i="68"/>
  <c r="N36" i="68" s="1"/>
  <c r="D36" i="68"/>
  <c r="B36" i="68"/>
  <c r="T35" i="68"/>
  <c r="P35" i="68"/>
  <c r="X35" i="68" s="1"/>
  <c r="H35" i="68"/>
  <c r="D35" i="68"/>
  <c r="B35" i="68"/>
  <c r="X34" i="68"/>
  <c r="Z34" i="68" s="1"/>
  <c r="T34" i="68"/>
  <c r="P34" i="68"/>
  <c r="H34" i="68"/>
  <c r="D34" i="68"/>
  <c r="B34" i="68"/>
  <c r="T33" i="68"/>
  <c r="P33" i="68"/>
  <c r="X33" i="68" s="1"/>
  <c r="N33" i="68"/>
  <c r="L33" i="68"/>
  <c r="H33" i="68"/>
  <c r="D33" i="68"/>
  <c r="B33" i="68"/>
  <c r="T32" i="68"/>
  <c r="P32" i="68"/>
  <c r="X32" i="68" s="1"/>
  <c r="Z32" i="68" s="1"/>
  <c r="H32" i="68"/>
  <c r="D32" i="68"/>
  <c r="L32" i="68" s="1"/>
  <c r="B32" i="68"/>
  <c r="T31" i="68"/>
  <c r="P31" i="68"/>
  <c r="X31" i="68" s="1"/>
  <c r="H31" i="68"/>
  <c r="D31" i="68"/>
  <c r="B31" i="68"/>
  <c r="X30" i="68"/>
  <c r="T30" i="68"/>
  <c r="Z30" i="68" s="1"/>
  <c r="P30" i="68"/>
  <c r="H30" i="68"/>
  <c r="N30" i="68" s="1"/>
  <c r="D30" i="68"/>
  <c r="B30" i="68"/>
  <c r="T29" i="68"/>
  <c r="P29" i="68"/>
  <c r="X29" i="68" s="1"/>
  <c r="N29" i="68"/>
  <c r="L29" i="68"/>
  <c r="H29" i="68"/>
  <c r="D29" i="68"/>
  <c r="B29" i="68"/>
  <c r="Z28" i="68"/>
  <c r="T28" i="68"/>
  <c r="P28" i="68"/>
  <c r="X28" i="68" s="1"/>
  <c r="H28" i="68"/>
  <c r="D28" i="68"/>
  <c r="L28" i="68" s="1"/>
  <c r="B28" i="68"/>
  <c r="T27" i="68"/>
  <c r="P27" i="68"/>
  <c r="H27" i="68"/>
  <c r="D27" i="68"/>
  <c r="B27" i="68"/>
  <c r="X26" i="68"/>
  <c r="T26" i="68"/>
  <c r="P26" i="68"/>
  <c r="H26" i="68"/>
  <c r="D26" i="68"/>
  <c r="B26" i="68"/>
  <c r="T25" i="68"/>
  <c r="P25" i="68"/>
  <c r="N25" i="68"/>
  <c r="L25" i="68"/>
  <c r="H25" i="68"/>
  <c r="D25" i="68"/>
  <c r="B25" i="68"/>
  <c r="Z24" i="68"/>
  <c r="T24" i="68"/>
  <c r="P24" i="68"/>
  <c r="X24" i="68" s="1"/>
  <c r="H24" i="68"/>
  <c r="D24" i="68"/>
  <c r="L24" i="68" s="1"/>
  <c r="B24" i="68"/>
  <c r="T23" i="68"/>
  <c r="P23" i="68"/>
  <c r="H23" i="68"/>
  <c r="D23" i="68"/>
  <c r="B23" i="68"/>
  <c r="X22" i="68"/>
  <c r="T22" i="68"/>
  <c r="P22" i="68"/>
  <c r="H22" i="68"/>
  <c r="D22" i="68"/>
  <c r="B22" i="68"/>
  <c r="T21" i="68"/>
  <c r="P21" i="68"/>
  <c r="N21" i="68"/>
  <c r="L21" i="68"/>
  <c r="H21" i="68"/>
  <c r="D21" i="68"/>
  <c r="B21" i="68"/>
  <c r="T20" i="68"/>
  <c r="P20" i="68"/>
  <c r="X20" i="68" s="1"/>
  <c r="Z20" i="68" s="1"/>
  <c r="L20" i="68"/>
  <c r="H20" i="68"/>
  <c r="D20" i="68"/>
  <c r="B20" i="68"/>
  <c r="T19" i="68"/>
  <c r="P19" i="68"/>
  <c r="X19" i="68" s="1"/>
  <c r="H19" i="68"/>
  <c r="D19" i="68"/>
  <c r="B19" i="68"/>
  <c r="X18" i="68"/>
  <c r="T18" i="68"/>
  <c r="Z18" i="68" s="1"/>
  <c r="P18" i="68"/>
  <c r="L18" i="68"/>
  <c r="H18" i="68"/>
  <c r="D18" i="68"/>
  <c r="B18" i="68"/>
  <c r="T17" i="68"/>
  <c r="P17" i="68"/>
  <c r="X17" i="68" s="1"/>
  <c r="N17" i="68"/>
  <c r="L17" i="68"/>
  <c r="H17" i="68"/>
  <c r="D17" i="68"/>
  <c r="B17" i="68"/>
  <c r="Z16" i="68"/>
  <c r="T16" i="68"/>
  <c r="P16" i="68"/>
  <c r="X16" i="68" s="1"/>
  <c r="H16" i="68"/>
  <c r="D16" i="68"/>
  <c r="B16" i="68"/>
  <c r="T15" i="68"/>
  <c r="P15" i="68"/>
  <c r="H15" i="68"/>
  <c r="D15" i="68"/>
  <c r="B15" i="68"/>
  <c r="X14" i="68"/>
  <c r="T14" i="68"/>
  <c r="P14" i="68"/>
  <c r="L14" i="68"/>
  <c r="H14" i="68"/>
  <c r="D14" i="68"/>
  <c r="B14" i="68"/>
  <c r="T13" i="68"/>
  <c r="P13" i="68"/>
  <c r="X13" i="68" s="1"/>
  <c r="N13" i="68"/>
  <c r="L13" i="68"/>
  <c r="H13" i="68"/>
  <c r="D13" i="68"/>
  <c r="B13" i="68"/>
  <c r="D6" i="68"/>
  <c r="D4" i="68"/>
  <c r="V65" i="67"/>
  <c r="V62" i="67"/>
  <c r="Z60" i="67"/>
  <c r="X60" i="67"/>
  <c r="N60" i="67"/>
  <c r="L60" i="67"/>
  <c r="Z56" i="67"/>
  <c r="X56" i="67"/>
  <c r="T56" i="67"/>
  <c r="P56" i="67"/>
  <c r="N56" i="67"/>
  <c r="H56" i="67"/>
  <c r="D56" i="67"/>
  <c r="L56" i="67" s="1"/>
  <c r="X54" i="67"/>
  <c r="Z54" i="67" s="1"/>
  <c r="N54" i="67"/>
  <c r="L54" i="67"/>
  <c r="J54" i="67"/>
  <c r="B54" i="67"/>
  <c r="V53" i="67"/>
  <c r="T53" i="67"/>
  <c r="R53" i="67"/>
  <c r="P53" i="67"/>
  <c r="X53" i="67" s="1"/>
  <c r="Z53" i="67" s="1"/>
  <c r="J53" i="67"/>
  <c r="H53" i="67"/>
  <c r="N53" i="67" s="1"/>
  <c r="D53" i="67"/>
  <c r="B53" i="67"/>
  <c r="X52" i="67"/>
  <c r="Z52" i="67" s="1"/>
  <c r="R52" i="67"/>
  <c r="N52" i="67"/>
  <c r="L52" i="67"/>
  <c r="F52" i="67"/>
  <c r="B52" i="67"/>
  <c r="T51" i="67"/>
  <c r="R51" i="67"/>
  <c r="P51" i="67"/>
  <c r="X51" i="67" s="1"/>
  <c r="Z51" i="67" s="1"/>
  <c r="N51" i="67"/>
  <c r="H51" i="67"/>
  <c r="D51" i="67"/>
  <c r="L51" i="67" s="1"/>
  <c r="B51" i="67"/>
  <c r="X50" i="67"/>
  <c r="Z50" i="67" s="1"/>
  <c r="R50" i="67"/>
  <c r="L50" i="67"/>
  <c r="N50" i="67" s="1"/>
  <c r="J50" i="67"/>
  <c r="B50" i="67"/>
  <c r="X49" i="67"/>
  <c r="Z49" i="67" s="1"/>
  <c r="N49" i="67"/>
  <c r="L49" i="67"/>
  <c r="J49" i="67"/>
  <c r="B49" i="67"/>
  <c r="Z48" i="67"/>
  <c r="X48" i="67"/>
  <c r="R48" i="67"/>
  <c r="N48" i="67"/>
  <c r="L48" i="67"/>
  <c r="B48" i="67"/>
  <c r="T47" i="67"/>
  <c r="X47" i="67" s="1"/>
  <c r="Z47" i="67" s="1"/>
  <c r="P47" i="67"/>
  <c r="N47" i="67"/>
  <c r="L47" i="67"/>
  <c r="H47" i="67"/>
  <c r="D47" i="67"/>
  <c r="B47" i="67"/>
  <c r="X46" i="67"/>
  <c r="Z46" i="67" s="1"/>
  <c r="N46" i="67"/>
  <c r="L46" i="67"/>
  <c r="J46" i="67"/>
  <c r="B46" i="67"/>
  <c r="Z45" i="67"/>
  <c r="X45" i="67"/>
  <c r="V45" i="67"/>
  <c r="N45" i="67"/>
  <c r="L45" i="67"/>
  <c r="B45" i="67"/>
  <c r="Z44" i="67"/>
  <c r="T44" i="67"/>
  <c r="P44" i="67"/>
  <c r="X44" i="67" s="1"/>
  <c r="J44" i="67"/>
  <c r="H44" i="67"/>
  <c r="D44" i="67"/>
  <c r="L44" i="67" s="1"/>
  <c r="N44" i="67" s="1"/>
  <c r="B44" i="67"/>
  <c r="Z43" i="67"/>
  <c r="X43" i="67"/>
  <c r="N43" i="67"/>
  <c r="L43" i="67"/>
  <c r="J43" i="67"/>
  <c r="B43" i="67"/>
  <c r="X42" i="67"/>
  <c r="T42" i="67"/>
  <c r="P42" i="67"/>
  <c r="L42" i="67"/>
  <c r="H42" i="67"/>
  <c r="N42" i="67" s="1"/>
  <c r="D42" i="67"/>
  <c r="B42" i="67"/>
  <c r="X41" i="67"/>
  <c r="Z41" i="67" s="1"/>
  <c r="N41" i="67"/>
  <c r="L41" i="67"/>
  <c r="J41" i="67"/>
  <c r="B41" i="67"/>
  <c r="T40" i="67"/>
  <c r="R40" i="67"/>
  <c r="P40" i="67"/>
  <c r="H40" i="67"/>
  <c r="N40" i="67" s="1"/>
  <c r="D40" i="67"/>
  <c r="L40" i="67" s="1"/>
  <c r="B40" i="67"/>
  <c r="Z39" i="67"/>
  <c r="X39" i="67"/>
  <c r="V39" i="67"/>
  <c r="R39" i="67"/>
  <c r="N39" i="67"/>
  <c r="L39" i="67"/>
  <c r="J39" i="67"/>
  <c r="B39" i="67"/>
  <c r="X38" i="67"/>
  <c r="T38" i="67"/>
  <c r="P38" i="67"/>
  <c r="N38" i="67"/>
  <c r="H38" i="67"/>
  <c r="D38" i="67"/>
  <c r="L38" i="67" s="1"/>
  <c r="B38" i="67"/>
  <c r="Z37" i="67"/>
  <c r="X37" i="67"/>
  <c r="N37" i="67"/>
  <c r="L37" i="67"/>
  <c r="B37" i="67"/>
  <c r="X36" i="67"/>
  <c r="T36" i="67"/>
  <c r="P36" i="67"/>
  <c r="L36" i="67"/>
  <c r="J36" i="67"/>
  <c r="H36" i="67"/>
  <c r="N36" i="67" s="1"/>
  <c r="D36" i="67"/>
  <c r="B36" i="67"/>
  <c r="Z35" i="67"/>
  <c r="X35" i="67"/>
  <c r="R35" i="67"/>
  <c r="N35" i="67"/>
  <c r="L35" i="67"/>
  <c r="J35" i="67"/>
  <c r="B35" i="67"/>
  <c r="X34" i="67"/>
  <c r="Z34" i="67" s="1"/>
  <c r="R34" i="67"/>
  <c r="L34" i="67"/>
  <c r="N34" i="67" s="1"/>
  <c r="J34" i="67"/>
  <c r="B34" i="67"/>
  <c r="X33" i="67"/>
  <c r="Z33" i="67" s="1"/>
  <c r="N33" i="67"/>
  <c r="L33" i="67"/>
  <c r="J33" i="67"/>
  <c r="B33" i="67"/>
  <c r="Z32" i="67"/>
  <c r="X32" i="67"/>
  <c r="R32" i="67"/>
  <c r="N32" i="67"/>
  <c r="L32" i="67"/>
  <c r="B32" i="67"/>
  <c r="Z31" i="67"/>
  <c r="X31" i="67"/>
  <c r="R31" i="67"/>
  <c r="N31" i="67"/>
  <c r="L31" i="67"/>
  <c r="J31" i="67"/>
  <c r="F31" i="67"/>
  <c r="B31" i="67"/>
  <c r="X30" i="67"/>
  <c r="Z30" i="67" s="1"/>
  <c r="R30" i="67"/>
  <c r="L30" i="67"/>
  <c r="N30" i="67" s="1"/>
  <c r="J30" i="67"/>
  <c r="B30" i="67"/>
  <c r="X29" i="67"/>
  <c r="Z29" i="67" s="1"/>
  <c r="T29" i="67"/>
  <c r="R29" i="67"/>
  <c r="P29" i="67"/>
  <c r="N29" i="67"/>
  <c r="J29" i="67"/>
  <c r="H29" i="67"/>
  <c r="L29" i="67" s="1"/>
  <c r="D29" i="67"/>
  <c r="B29" i="67"/>
  <c r="Z28" i="67"/>
  <c r="X28" i="67"/>
  <c r="R28" i="67"/>
  <c r="L28" i="67"/>
  <c r="N28" i="67" s="1"/>
  <c r="J28" i="67"/>
  <c r="B28" i="67"/>
  <c r="Z27" i="67"/>
  <c r="X27" i="67"/>
  <c r="V27" i="67"/>
  <c r="R27" i="67"/>
  <c r="N27" i="67"/>
  <c r="L27" i="67"/>
  <c r="J27" i="67"/>
  <c r="B27" i="67"/>
  <c r="X26" i="67"/>
  <c r="Z26" i="67" s="1"/>
  <c r="L26" i="67"/>
  <c r="N26" i="67" s="1"/>
  <c r="J26" i="67"/>
  <c r="B26" i="67"/>
  <c r="Z25" i="67"/>
  <c r="X25" i="67"/>
  <c r="V25" i="67"/>
  <c r="N25" i="67"/>
  <c r="L25" i="67"/>
  <c r="J25" i="67"/>
  <c r="B25" i="67"/>
  <c r="Z24" i="67"/>
  <c r="X24" i="67"/>
  <c r="R24" i="67"/>
  <c r="L24" i="67"/>
  <c r="N24" i="67" s="1"/>
  <c r="J24" i="67"/>
  <c r="F24" i="67"/>
  <c r="B24" i="67"/>
  <c r="Z23" i="67"/>
  <c r="X23" i="67"/>
  <c r="R23" i="67"/>
  <c r="N23" i="67"/>
  <c r="L23" i="67"/>
  <c r="J23" i="67"/>
  <c r="B23" i="67"/>
  <c r="X22" i="67"/>
  <c r="Z22" i="67" s="1"/>
  <c r="V22" i="67"/>
  <c r="L22" i="67"/>
  <c r="N22" i="67" s="1"/>
  <c r="J22" i="67"/>
  <c r="B22" i="67"/>
  <c r="Z21" i="67"/>
  <c r="X21" i="67"/>
  <c r="V21" i="67"/>
  <c r="N21" i="67"/>
  <c r="L21" i="67"/>
  <c r="J21" i="67"/>
  <c r="B21" i="67"/>
  <c r="Z20" i="67"/>
  <c r="X20" i="67"/>
  <c r="R20" i="67"/>
  <c r="L20" i="67"/>
  <c r="N20" i="67" s="1"/>
  <c r="J20" i="67"/>
  <c r="B20" i="67"/>
  <c r="V19" i="67"/>
  <c r="T19" i="67"/>
  <c r="P19" i="67"/>
  <c r="J19" i="67"/>
  <c r="H19" i="67"/>
  <c r="D19" i="67"/>
  <c r="L19" i="67" s="1"/>
  <c r="N19" i="67" s="1"/>
  <c r="B19" i="67"/>
  <c r="V18" i="67"/>
  <c r="T18" i="67"/>
  <c r="P18" i="67"/>
  <c r="X18" i="67" s="1"/>
  <c r="J18" i="67"/>
  <c r="H18" i="67"/>
  <c r="D18" i="67"/>
  <c r="V16" i="67"/>
  <c r="P16" i="67"/>
  <c r="J16" i="67"/>
  <c r="X14" i="67"/>
  <c r="V14" i="67"/>
  <c r="T14" i="67"/>
  <c r="Z14" i="67" s="1"/>
  <c r="P14" i="67"/>
  <c r="J14" i="67"/>
  <c r="H14" i="67"/>
  <c r="F14" i="67"/>
  <c r="D14" i="67"/>
  <c r="X12" i="67"/>
  <c r="T12" i="67"/>
  <c r="V60" i="67" s="1"/>
  <c r="P12" i="67"/>
  <c r="R44" i="67" s="1"/>
  <c r="H12" i="67"/>
  <c r="J60" i="67" s="1"/>
  <c r="D12" i="67"/>
  <c r="F35" i="67" s="1"/>
  <c r="D6" i="67"/>
  <c r="D4" i="67"/>
  <c r="F105" i="63"/>
  <c r="Z103" i="63"/>
  <c r="X103" i="63"/>
  <c r="N103" i="63"/>
  <c r="L103" i="63"/>
  <c r="T101" i="63"/>
  <c r="X99" i="63"/>
  <c r="T99" i="63"/>
  <c r="P99" i="63"/>
  <c r="J99" i="63"/>
  <c r="H99" i="63"/>
  <c r="D99" i="63"/>
  <c r="B99" i="63"/>
  <c r="X98" i="63"/>
  <c r="Z98" i="63" s="1"/>
  <c r="T98" i="63"/>
  <c r="P98" i="63"/>
  <c r="L98" i="63"/>
  <c r="J98" i="63"/>
  <c r="H98" i="63"/>
  <c r="D98" i="63"/>
  <c r="B98" i="63"/>
  <c r="T97" i="63"/>
  <c r="T96" i="63" s="1"/>
  <c r="P97" i="63"/>
  <c r="J97" i="63"/>
  <c r="H97" i="63"/>
  <c r="D97" i="63"/>
  <c r="L97" i="63" s="1"/>
  <c r="B97" i="63"/>
  <c r="P96" i="63"/>
  <c r="F96" i="63"/>
  <c r="D96" i="63"/>
  <c r="Z94" i="63"/>
  <c r="X94" i="63"/>
  <c r="L94" i="63"/>
  <c r="N94" i="63" s="1"/>
  <c r="F94" i="63"/>
  <c r="B94" i="63"/>
  <c r="V93" i="63"/>
  <c r="T93" i="63"/>
  <c r="P93" i="63"/>
  <c r="X93" i="63" s="1"/>
  <c r="H93" i="63"/>
  <c r="D93" i="63"/>
  <c r="L93" i="63" s="1"/>
  <c r="B93" i="63"/>
  <c r="Z92" i="63"/>
  <c r="X92" i="63"/>
  <c r="N92" i="63"/>
  <c r="L92" i="63"/>
  <c r="B92" i="63"/>
  <c r="X91" i="63"/>
  <c r="Z91" i="63" s="1"/>
  <c r="N91" i="63"/>
  <c r="L91" i="63"/>
  <c r="B91" i="63"/>
  <c r="Z90" i="63"/>
  <c r="X90" i="63"/>
  <c r="N90" i="63"/>
  <c r="L90" i="63"/>
  <c r="F90" i="63"/>
  <c r="B90" i="63"/>
  <c r="T89" i="63"/>
  <c r="R89" i="63"/>
  <c r="P89" i="63"/>
  <c r="X89" i="63" s="1"/>
  <c r="H89" i="63"/>
  <c r="N89" i="63" s="1"/>
  <c r="D89" i="63"/>
  <c r="L89" i="63" s="1"/>
  <c r="B89" i="63"/>
  <c r="Z88" i="63"/>
  <c r="X88" i="63"/>
  <c r="R88" i="63"/>
  <c r="N88" i="63"/>
  <c r="L88" i="63"/>
  <c r="B88" i="63"/>
  <c r="Z87" i="63"/>
  <c r="X87" i="63"/>
  <c r="V87" i="63"/>
  <c r="T87" i="63"/>
  <c r="P87" i="63"/>
  <c r="N87" i="63"/>
  <c r="L87" i="63"/>
  <c r="H87" i="63"/>
  <c r="D87" i="63"/>
  <c r="B87" i="63"/>
  <c r="X86" i="63"/>
  <c r="Z86" i="63" s="1"/>
  <c r="L86" i="63"/>
  <c r="N86" i="63" s="1"/>
  <c r="J86" i="63"/>
  <c r="B86" i="63"/>
  <c r="X85" i="63"/>
  <c r="T85" i="63"/>
  <c r="Z85" i="63" s="1"/>
  <c r="P85" i="63"/>
  <c r="J85" i="63"/>
  <c r="H85" i="63"/>
  <c r="D85" i="63"/>
  <c r="B85" i="63"/>
  <c r="X84" i="63"/>
  <c r="Z84" i="63" s="1"/>
  <c r="N84" i="63"/>
  <c r="L84" i="63"/>
  <c r="F84" i="63"/>
  <c r="B84" i="63"/>
  <c r="Z83" i="63"/>
  <c r="X83" i="63"/>
  <c r="N83" i="63"/>
  <c r="L83" i="63"/>
  <c r="J83" i="63"/>
  <c r="B83" i="63"/>
  <c r="X82" i="63"/>
  <c r="Z82" i="63" s="1"/>
  <c r="V82" i="63"/>
  <c r="N82" i="63"/>
  <c r="L82" i="63"/>
  <c r="B82" i="63"/>
  <c r="Z81" i="63"/>
  <c r="X81" i="63"/>
  <c r="N81" i="63"/>
  <c r="L81" i="63"/>
  <c r="B81" i="63"/>
  <c r="Z80" i="63"/>
  <c r="X80" i="63"/>
  <c r="N80" i="63"/>
  <c r="L80" i="63"/>
  <c r="F80" i="63"/>
  <c r="B80" i="63"/>
  <c r="Z79" i="63"/>
  <c r="X79" i="63"/>
  <c r="N79" i="63"/>
  <c r="L79" i="63"/>
  <c r="J79" i="63"/>
  <c r="B79" i="63"/>
  <c r="X78" i="63"/>
  <c r="V78" i="63"/>
  <c r="T78" i="63"/>
  <c r="Z78" i="63" s="1"/>
  <c r="P78" i="63"/>
  <c r="H78" i="63"/>
  <c r="D78" i="63"/>
  <c r="B78" i="63"/>
  <c r="Z77" i="63"/>
  <c r="X77" i="63"/>
  <c r="N77" i="63"/>
  <c r="L77" i="63"/>
  <c r="B77" i="63"/>
  <c r="T76" i="63"/>
  <c r="R76" i="63"/>
  <c r="P76" i="63"/>
  <c r="X76" i="63" s="1"/>
  <c r="H76" i="63"/>
  <c r="N76" i="63" s="1"/>
  <c r="D76" i="63"/>
  <c r="L76" i="63" s="1"/>
  <c r="B76" i="63"/>
  <c r="X75" i="63"/>
  <c r="Z75" i="63" s="1"/>
  <c r="V75" i="63"/>
  <c r="R75" i="63"/>
  <c r="N75" i="63"/>
  <c r="L75" i="63"/>
  <c r="B75" i="63"/>
  <c r="X74" i="63"/>
  <c r="Z74" i="63" s="1"/>
  <c r="N74" i="63"/>
  <c r="L74" i="63"/>
  <c r="J74" i="63"/>
  <c r="B74" i="63"/>
  <c r="X73" i="63"/>
  <c r="Z73" i="63" s="1"/>
  <c r="N73" i="63"/>
  <c r="L73" i="63"/>
  <c r="B73" i="63"/>
  <c r="Z72" i="63"/>
  <c r="T72" i="63"/>
  <c r="P72" i="63"/>
  <c r="X72" i="63" s="1"/>
  <c r="H72" i="63"/>
  <c r="D72" i="63"/>
  <c r="L72" i="63" s="1"/>
  <c r="N72" i="63" s="1"/>
  <c r="B72" i="63"/>
  <c r="Z71" i="63"/>
  <c r="X71" i="63"/>
  <c r="N71" i="63"/>
  <c r="L71" i="63"/>
  <c r="J71" i="63"/>
  <c r="B71" i="63"/>
  <c r="X70" i="63"/>
  <c r="Z70" i="63" s="1"/>
  <c r="V70" i="63"/>
  <c r="L70" i="63"/>
  <c r="N70" i="63" s="1"/>
  <c r="F70" i="63"/>
  <c r="B70" i="63"/>
  <c r="Z69" i="63"/>
  <c r="X69" i="63"/>
  <c r="N69" i="63"/>
  <c r="L69" i="63"/>
  <c r="B69" i="63"/>
  <c r="X68" i="63"/>
  <c r="Z68" i="63" s="1"/>
  <c r="N68" i="63"/>
  <c r="L68" i="63"/>
  <c r="F68" i="63"/>
  <c r="B68" i="63"/>
  <c r="T67" i="63"/>
  <c r="P67" i="63"/>
  <c r="X67" i="63" s="1"/>
  <c r="H67" i="63"/>
  <c r="F67" i="63"/>
  <c r="D67" i="63"/>
  <c r="L67" i="63" s="1"/>
  <c r="N67" i="63" s="1"/>
  <c r="B67" i="63"/>
  <c r="X66" i="63"/>
  <c r="Z66" i="63" s="1"/>
  <c r="L66" i="63"/>
  <c r="N66" i="63" s="1"/>
  <c r="B66" i="63"/>
  <c r="Z65" i="63"/>
  <c r="X65" i="63"/>
  <c r="T65" i="63"/>
  <c r="P65" i="63"/>
  <c r="N65" i="63"/>
  <c r="L65" i="63"/>
  <c r="J65" i="63"/>
  <c r="H65" i="63"/>
  <c r="D65" i="63"/>
  <c r="B65" i="63"/>
  <c r="Z64" i="63"/>
  <c r="X64" i="63"/>
  <c r="N64" i="63"/>
  <c r="L64" i="63"/>
  <c r="F64" i="63"/>
  <c r="B64" i="63"/>
  <c r="V63" i="63"/>
  <c r="T63" i="63"/>
  <c r="P63" i="63"/>
  <c r="L63" i="63"/>
  <c r="J63" i="63"/>
  <c r="H63" i="63"/>
  <c r="N63" i="63" s="1"/>
  <c r="F63" i="63"/>
  <c r="D63" i="63"/>
  <c r="B63" i="63"/>
  <c r="X62" i="63"/>
  <c r="Z62" i="63" s="1"/>
  <c r="V62" i="63"/>
  <c r="L62" i="63"/>
  <c r="N62" i="63" s="1"/>
  <c r="F62" i="63"/>
  <c r="B62" i="63"/>
  <c r="T61" i="63"/>
  <c r="R61" i="63"/>
  <c r="P61" i="63"/>
  <c r="X61" i="63" s="1"/>
  <c r="Z61" i="63" s="1"/>
  <c r="H61" i="63"/>
  <c r="N61" i="63" s="1"/>
  <c r="F61" i="63"/>
  <c r="D61" i="63"/>
  <c r="L61" i="63" s="1"/>
  <c r="B61" i="63"/>
  <c r="Z60" i="63"/>
  <c r="X60" i="63"/>
  <c r="R60" i="63"/>
  <c r="N60" i="63"/>
  <c r="L60" i="63"/>
  <c r="B60" i="63"/>
  <c r="Z59" i="63"/>
  <c r="X59" i="63"/>
  <c r="V59" i="63"/>
  <c r="T59" i="63"/>
  <c r="P59" i="63"/>
  <c r="N59" i="63"/>
  <c r="L59" i="63"/>
  <c r="H59" i="63"/>
  <c r="D59" i="63"/>
  <c r="B59" i="63"/>
  <c r="X58" i="63"/>
  <c r="Z58" i="63" s="1"/>
  <c r="N58" i="63"/>
  <c r="L58" i="63"/>
  <c r="J58" i="63"/>
  <c r="B58" i="63"/>
  <c r="X57" i="63"/>
  <c r="V57" i="63"/>
  <c r="T57" i="63"/>
  <c r="Z57" i="63" s="1"/>
  <c r="P57" i="63"/>
  <c r="J57" i="63"/>
  <c r="H57" i="63"/>
  <c r="N57" i="63" s="1"/>
  <c r="D57" i="63"/>
  <c r="L57" i="63" s="1"/>
  <c r="B57" i="63"/>
  <c r="Z56" i="63"/>
  <c r="X56" i="63"/>
  <c r="N56" i="63"/>
  <c r="L56" i="63"/>
  <c r="F56" i="63"/>
  <c r="B56" i="63"/>
  <c r="T55" i="63"/>
  <c r="Z55" i="63" s="1"/>
  <c r="P55" i="63"/>
  <c r="X55" i="63" s="1"/>
  <c r="N55" i="63"/>
  <c r="H55" i="63"/>
  <c r="F55" i="63"/>
  <c r="D55" i="63"/>
  <c r="L55" i="63" s="1"/>
  <c r="B55" i="63"/>
  <c r="X54" i="63"/>
  <c r="Z54" i="63" s="1"/>
  <c r="L54" i="63"/>
  <c r="N54" i="63" s="1"/>
  <c r="B54" i="63"/>
  <c r="Z53" i="63"/>
  <c r="X53" i="63"/>
  <c r="T53" i="63"/>
  <c r="P53" i="63"/>
  <c r="N53" i="63"/>
  <c r="L53" i="63"/>
  <c r="J53" i="63"/>
  <c r="H53" i="63"/>
  <c r="D53" i="63"/>
  <c r="B53" i="63"/>
  <c r="Z52" i="63"/>
  <c r="X52" i="63"/>
  <c r="L52" i="63"/>
  <c r="N52" i="63" s="1"/>
  <c r="F52" i="63"/>
  <c r="B52" i="63"/>
  <c r="V51" i="63"/>
  <c r="T51" i="63"/>
  <c r="P51" i="63"/>
  <c r="L51" i="63"/>
  <c r="J51" i="63"/>
  <c r="H51" i="63"/>
  <c r="N51" i="63" s="1"/>
  <c r="F51" i="63"/>
  <c r="D51" i="63"/>
  <c r="B51" i="63"/>
  <c r="X50" i="63"/>
  <c r="Z50" i="63" s="1"/>
  <c r="V50" i="63"/>
  <c r="L50" i="63"/>
  <c r="N50" i="63" s="1"/>
  <c r="F50" i="63"/>
  <c r="B50" i="63"/>
  <c r="Z49" i="63"/>
  <c r="X49" i="63"/>
  <c r="N49" i="63"/>
  <c r="L49" i="63"/>
  <c r="B49" i="63"/>
  <c r="T48" i="63"/>
  <c r="P48" i="63"/>
  <c r="L48" i="63"/>
  <c r="N48" i="63" s="1"/>
  <c r="J48" i="63"/>
  <c r="H48" i="63"/>
  <c r="D48" i="63"/>
  <c r="B48" i="63"/>
  <c r="Z47" i="63"/>
  <c r="X47" i="63"/>
  <c r="V47" i="63"/>
  <c r="L47" i="63"/>
  <c r="N47" i="63" s="1"/>
  <c r="J47" i="63"/>
  <c r="F47" i="63"/>
  <c r="B47" i="63"/>
  <c r="X46" i="63"/>
  <c r="Z46" i="63" s="1"/>
  <c r="L46" i="63"/>
  <c r="N46" i="63" s="1"/>
  <c r="B46" i="63"/>
  <c r="X45" i="63"/>
  <c r="Z45" i="63" s="1"/>
  <c r="T45" i="63"/>
  <c r="P45" i="63"/>
  <c r="N45" i="63"/>
  <c r="L45" i="63"/>
  <c r="J45" i="63"/>
  <c r="H45" i="63"/>
  <c r="D45" i="63"/>
  <c r="B45" i="63"/>
  <c r="Z44" i="63"/>
  <c r="X44" i="63"/>
  <c r="L44" i="63"/>
  <c r="N44" i="63" s="1"/>
  <c r="F44" i="63"/>
  <c r="B44" i="63"/>
  <c r="V43" i="63"/>
  <c r="T43" i="63"/>
  <c r="P43" i="63"/>
  <c r="J43" i="63"/>
  <c r="H43" i="63"/>
  <c r="F43" i="63"/>
  <c r="D43" i="63"/>
  <c r="B43" i="63"/>
  <c r="X42" i="63"/>
  <c r="Z42" i="63" s="1"/>
  <c r="V42" i="63"/>
  <c r="N42" i="63"/>
  <c r="L42" i="63"/>
  <c r="F42" i="63"/>
  <c r="B42" i="63"/>
  <c r="Z41" i="63"/>
  <c r="X41" i="63"/>
  <c r="L41" i="63"/>
  <c r="N41" i="63" s="1"/>
  <c r="B41" i="63"/>
  <c r="T40" i="63"/>
  <c r="P40" i="63"/>
  <c r="L40" i="63"/>
  <c r="N40" i="63" s="1"/>
  <c r="J40" i="63"/>
  <c r="H40" i="63"/>
  <c r="D40" i="63"/>
  <c r="B40" i="63"/>
  <c r="Z39" i="63"/>
  <c r="X39" i="63"/>
  <c r="V39" i="63"/>
  <c r="L39" i="63"/>
  <c r="N39" i="63" s="1"/>
  <c r="J39" i="63"/>
  <c r="F39" i="63"/>
  <c r="B39" i="63"/>
  <c r="T38" i="63"/>
  <c r="P38" i="63"/>
  <c r="X38" i="63" s="1"/>
  <c r="H38" i="63"/>
  <c r="F38" i="63"/>
  <c r="D38" i="63"/>
  <c r="L38" i="63" s="1"/>
  <c r="B38" i="63"/>
  <c r="X37" i="63"/>
  <c r="Z37" i="63" s="1"/>
  <c r="V37" i="63"/>
  <c r="N37" i="63"/>
  <c r="L37" i="63"/>
  <c r="B37" i="63"/>
  <c r="Z36" i="63"/>
  <c r="X36" i="63"/>
  <c r="L36" i="63"/>
  <c r="N36" i="63" s="1"/>
  <c r="F36" i="63"/>
  <c r="B36" i="63"/>
  <c r="X35" i="63"/>
  <c r="Z35" i="63" s="1"/>
  <c r="V35" i="63"/>
  <c r="R35" i="63"/>
  <c r="L35" i="63"/>
  <c r="N35" i="63" s="1"/>
  <c r="B35" i="63"/>
  <c r="X34" i="63"/>
  <c r="Z34" i="63" s="1"/>
  <c r="L34" i="63"/>
  <c r="N34" i="63" s="1"/>
  <c r="J34" i="63"/>
  <c r="B34" i="63"/>
  <c r="X33" i="63"/>
  <c r="Z33" i="63" s="1"/>
  <c r="V33" i="63"/>
  <c r="N33" i="63"/>
  <c r="L33" i="63"/>
  <c r="B33" i="63"/>
  <c r="Z32" i="63"/>
  <c r="X32" i="63"/>
  <c r="L32" i="63"/>
  <c r="N32" i="63" s="1"/>
  <c r="F32" i="63"/>
  <c r="B32" i="63"/>
  <c r="X31" i="63"/>
  <c r="Z31" i="63" s="1"/>
  <c r="V31" i="63"/>
  <c r="R31" i="63"/>
  <c r="L31" i="63"/>
  <c r="N31" i="63" s="1"/>
  <c r="F31" i="63"/>
  <c r="B31" i="63"/>
  <c r="T30" i="63"/>
  <c r="P30" i="63"/>
  <c r="X30" i="63" s="1"/>
  <c r="Z30" i="63" s="1"/>
  <c r="N30" i="63"/>
  <c r="H30" i="63"/>
  <c r="F30" i="63"/>
  <c r="D30" i="63"/>
  <c r="L30" i="63" s="1"/>
  <c r="B30" i="63"/>
  <c r="Z29" i="63"/>
  <c r="X29" i="63"/>
  <c r="L29" i="63"/>
  <c r="N29" i="63" s="1"/>
  <c r="B29" i="63"/>
  <c r="X28" i="63"/>
  <c r="Z28" i="63" s="1"/>
  <c r="R28" i="63"/>
  <c r="N28" i="63"/>
  <c r="L28" i="63"/>
  <c r="F28" i="63"/>
  <c r="B28" i="63"/>
  <c r="X27" i="63"/>
  <c r="Z27" i="63" s="1"/>
  <c r="N27" i="63"/>
  <c r="L27" i="63"/>
  <c r="J27" i="63"/>
  <c r="B27" i="63"/>
  <c r="Z26" i="63"/>
  <c r="X26" i="63"/>
  <c r="V26" i="63"/>
  <c r="N26" i="63"/>
  <c r="L26" i="63"/>
  <c r="J26" i="63"/>
  <c r="F26" i="63"/>
  <c r="B26" i="63"/>
  <c r="Z25" i="63"/>
  <c r="X25" i="63"/>
  <c r="N25" i="63"/>
  <c r="L25" i="63"/>
  <c r="B25" i="63"/>
  <c r="X24" i="63"/>
  <c r="Z24" i="63" s="1"/>
  <c r="R24" i="63"/>
  <c r="N24" i="63"/>
  <c r="L24" i="63"/>
  <c r="F24" i="63"/>
  <c r="B24" i="63"/>
  <c r="X23" i="63"/>
  <c r="Z23" i="63" s="1"/>
  <c r="N23" i="63"/>
  <c r="L23" i="63"/>
  <c r="J23" i="63"/>
  <c r="B23" i="63"/>
  <c r="X22" i="63"/>
  <c r="Z22" i="63" s="1"/>
  <c r="V22" i="63"/>
  <c r="L22" i="63"/>
  <c r="N22" i="63" s="1"/>
  <c r="J22" i="63"/>
  <c r="F22" i="63"/>
  <c r="B22" i="63"/>
  <c r="Z21" i="63"/>
  <c r="X21" i="63"/>
  <c r="L21" i="63"/>
  <c r="N21" i="63" s="1"/>
  <c r="B21" i="63"/>
  <c r="X20" i="63"/>
  <c r="Z20" i="63" s="1"/>
  <c r="V20" i="63"/>
  <c r="R20" i="63"/>
  <c r="N20" i="63"/>
  <c r="L20" i="63"/>
  <c r="F20" i="63"/>
  <c r="B20" i="63"/>
  <c r="T19" i="63"/>
  <c r="Z19" i="63" s="1"/>
  <c r="P19" i="63"/>
  <c r="X19" i="63" s="1"/>
  <c r="H19" i="63"/>
  <c r="F19" i="63"/>
  <c r="D19" i="63"/>
  <c r="L19" i="63" s="1"/>
  <c r="N19" i="63" s="1"/>
  <c r="B19" i="63"/>
  <c r="T18" i="63"/>
  <c r="Z18" i="63" s="1"/>
  <c r="P18" i="63"/>
  <c r="X18" i="63" s="1"/>
  <c r="H18" i="63"/>
  <c r="F18" i="63"/>
  <c r="D18" i="63"/>
  <c r="L18" i="63" s="1"/>
  <c r="H16" i="63"/>
  <c r="F16" i="63"/>
  <c r="T14" i="63"/>
  <c r="T16" i="63" s="1"/>
  <c r="Z16" i="63" s="1"/>
  <c r="P14" i="63"/>
  <c r="X14" i="63" s="1"/>
  <c r="H14" i="63"/>
  <c r="N14" i="63" s="1"/>
  <c r="F14" i="63"/>
  <c r="D14" i="63"/>
  <c r="L14" i="63" s="1"/>
  <c r="T12" i="63"/>
  <c r="V85" i="63" s="1"/>
  <c r="P12" i="63"/>
  <c r="R73" i="63" s="1"/>
  <c r="N12" i="63"/>
  <c r="L12" i="63"/>
  <c r="H12" i="63"/>
  <c r="J96" i="63" s="1"/>
  <c r="D12" i="63"/>
  <c r="F97" i="63" s="1"/>
  <c r="D6" i="63"/>
  <c r="D4" i="63"/>
  <c r="Z50" i="61"/>
  <c r="X50" i="61"/>
  <c r="N50" i="61"/>
  <c r="L50" i="61"/>
  <c r="J50" i="61"/>
  <c r="T46" i="61"/>
  <c r="Z46" i="61" s="1"/>
  <c r="P46" i="61"/>
  <c r="X46" i="61" s="1"/>
  <c r="H46" i="61"/>
  <c r="N46" i="61" s="1"/>
  <c r="D46" i="61"/>
  <c r="L46" i="61" s="1"/>
  <c r="X44" i="61"/>
  <c r="Z44" i="61" s="1"/>
  <c r="N44" i="61"/>
  <c r="L44" i="61"/>
  <c r="B44" i="61"/>
  <c r="Z43" i="61"/>
  <c r="X43" i="61"/>
  <c r="T43" i="61"/>
  <c r="P43" i="61"/>
  <c r="N43" i="61"/>
  <c r="L43" i="61"/>
  <c r="J43" i="61"/>
  <c r="H43" i="61"/>
  <c r="D43" i="61"/>
  <c r="B43" i="61"/>
  <c r="Z42" i="61"/>
  <c r="X42" i="61"/>
  <c r="L42" i="61"/>
  <c r="N42" i="61" s="1"/>
  <c r="B42" i="61"/>
  <c r="V41" i="61"/>
  <c r="T41" i="61"/>
  <c r="P41" i="61"/>
  <c r="J41" i="61"/>
  <c r="H41" i="61"/>
  <c r="D41" i="61"/>
  <c r="B41" i="61"/>
  <c r="X40" i="61"/>
  <c r="Z40" i="61" s="1"/>
  <c r="V40" i="61"/>
  <c r="N40" i="61"/>
  <c r="L40" i="61"/>
  <c r="B40" i="61"/>
  <c r="Z39" i="61"/>
  <c r="X39" i="61"/>
  <c r="L39" i="61"/>
  <c r="N39" i="61" s="1"/>
  <c r="B39" i="61"/>
  <c r="T38" i="61"/>
  <c r="P38" i="61"/>
  <c r="L38" i="61"/>
  <c r="J38" i="61"/>
  <c r="H38" i="61"/>
  <c r="D38" i="61"/>
  <c r="B38" i="61"/>
  <c r="Z37" i="61"/>
  <c r="X37" i="61"/>
  <c r="V37" i="61"/>
  <c r="L37" i="61"/>
  <c r="N37" i="61" s="1"/>
  <c r="J37" i="61"/>
  <c r="B37" i="61"/>
  <c r="T36" i="61"/>
  <c r="P36" i="61"/>
  <c r="X36" i="61" s="1"/>
  <c r="H36" i="61"/>
  <c r="F36" i="61"/>
  <c r="D36" i="61"/>
  <c r="L36" i="61" s="1"/>
  <c r="B36" i="61"/>
  <c r="X35" i="61"/>
  <c r="Z35" i="61" s="1"/>
  <c r="V35" i="61"/>
  <c r="N35" i="61"/>
  <c r="L35" i="61"/>
  <c r="B35" i="61"/>
  <c r="Z34" i="61"/>
  <c r="T34" i="61"/>
  <c r="P34" i="61"/>
  <c r="X34" i="61" s="1"/>
  <c r="H34" i="61"/>
  <c r="D34" i="61"/>
  <c r="L34" i="61" s="1"/>
  <c r="N34" i="61" s="1"/>
  <c r="B34" i="61"/>
  <c r="Z33" i="61"/>
  <c r="X33" i="61"/>
  <c r="N33" i="61"/>
  <c r="L33" i="61"/>
  <c r="J33" i="61"/>
  <c r="B33" i="61"/>
  <c r="X32" i="61"/>
  <c r="V32" i="61"/>
  <c r="T32" i="61"/>
  <c r="P32" i="61"/>
  <c r="J32" i="61"/>
  <c r="H32" i="61"/>
  <c r="D32" i="61"/>
  <c r="B32" i="61"/>
  <c r="X31" i="61"/>
  <c r="Z31" i="61" s="1"/>
  <c r="L31" i="61"/>
  <c r="N31" i="61" s="1"/>
  <c r="J31" i="61"/>
  <c r="B31" i="61"/>
  <c r="X30" i="61"/>
  <c r="Z30" i="61" s="1"/>
  <c r="N30" i="61"/>
  <c r="L30" i="61"/>
  <c r="B30" i="61"/>
  <c r="Z29" i="61"/>
  <c r="X29" i="61"/>
  <c r="V29" i="61"/>
  <c r="N29" i="61"/>
  <c r="L29" i="61"/>
  <c r="J29" i="61"/>
  <c r="F29" i="61"/>
  <c r="B29" i="61"/>
  <c r="X28" i="61"/>
  <c r="Z28" i="61" s="1"/>
  <c r="L28" i="61"/>
  <c r="N28" i="61" s="1"/>
  <c r="B28" i="61"/>
  <c r="Z27" i="61"/>
  <c r="X27" i="61"/>
  <c r="T27" i="61"/>
  <c r="P27" i="61"/>
  <c r="N27" i="61"/>
  <c r="L27" i="61"/>
  <c r="J27" i="61"/>
  <c r="H27" i="61"/>
  <c r="D27" i="61"/>
  <c r="B27" i="61"/>
  <c r="Z26" i="61"/>
  <c r="X26" i="61"/>
  <c r="L26" i="61"/>
  <c r="N26" i="61" s="1"/>
  <c r="J26" i="61"/>
  <c r="B26" i="61"/>
  <c r="X25" i="61"/>
  <c r="Z25" i="61" s="1"/>
  <c r="V25" i="61"/>
  <c r="N25" i="61"/>
  <c r="L25" i="61"/>
  <c r="B25" i="61"/>
  <c r="X24" i="61"/>
  <c r="Z24" i="61" s="1"/>
  <c r="L24" i="61"/>
  <c r="N24" i="61" s="1"/>
  <c r="J24" i="61"/>
  <c r="B24" i="61"/>
  <c r="X23" i="61"/>
  <c r="Z23" i="61" s="1"/>
  <c r="V23" i="61"/>
  <c r="N23" i="61"/>
  <c r="L23" i="61"/>
  <c r="B23" i="61"/>
  <c r="Z22" i="61"/>
  <c r="X22" i="61"/>
  <c r="L22" i="61"/>
  <c r="N22" i="61" s="1"/>
  <c r="J22" i="61"/>
  <c r="F22" i="61"/>
  <c r="B22" i="61"/>
  <c r="X21" i="61"/>
  <c r="Z21" i="61" s="1"/>
  <c r="V21" i="61"/>
  <c r="N21" i="61"/>
  <c r="L21" i="61"/>
  <c r="B21" i="61"/>
  <c r="X20" i="61"/>
  <c r="Z20" i="61" s="1"/>
  <c r="L20" i="61"/>
  <c r="N20" i="61" s="1"/>
  <c r="J20" i="61"/>
  <c r="B20" i="61"/>
  <c r="V19" i="61"/>
  <c r="T19" i="61"/>
  <c r="P19" i="61"/>
  <c r="J19" i="61"/>
  <c r="H19" i="61"/>
  <c r="D19" i="61"/>
  <c r="L19" i="61" s="1"/>
  <c r="B19" i="61"/>
  <c r="T18" i="61"/>
  <c r="P18" i="61"/>
  <c r="L18" i="61"/>
  <c r="J18" i="61"/>
  <c r="H18" i="61"/>
  <c r="N18" i="61" s="1"/>
  <c r="D18" i="61"/>
  <c r="T16" i="61"/>
  <c r="J16" i="61"/>
  <c r="T14" i="61"/>
  <c r="P14" i="61"/>
  <c r="L14" i="61"/>
  <c r="J14" i="61"/>
  <c r="H14" i="61"/>
  <c r="N14" i="61" s="1"/>
  <c r="D14" i="61"/>
  <c r="T12" i="61"/>
  <c r="V33" i="61" s="1"/>
  <c r="P12" i="61"/>
  <c r="N12" i="61"/>
  <c r="H12" i="61"/>
  <c r="J25" i="61" s="1"/>
  <c r="D12" i="61"/>
  <c r="F46" i="61" s="1"/>
  <c r="D6" i="61"/>
  <c r="D4" i="61"/>
  <c r="F57" i="60"/>
  <c r="Z52" i="60"/>
  <c r="X52" i="60"/>
  <c r="R52" i="60"/>
  <c r="N52" i="60"/>
  <c r="L52" i="60"/>
  <c r="X48" i="60"/>
  <c r="T48" i="60"/>
  <c r="Z48" i="60" s="1"/>
  <c r="P48" i="60"/>
  <c r="H48" i="60"/>
  <c r="D48" i="60"/>
  <c r="X46" i="60"/>
  <c r="Z46" i="60" s="1"/>
  <c r="N46" i="60"/>
  <c r="L46" i="60"/>
  <c r="B46" i="60"/>
  <c r="T45" i="60"/>
  <c r="R45" i="60"/>
  <c r="P45" i="60"/>
  <c r="X45" i="60" s="1"/>
  <c r="Z45" i="60" s="1"/>
  <c r="N45" i="60"/>
  <c r="H45" i="60"/>
  <c r="D45" i="60"/>
  <c r="L45" i="60" s="1"/>
  <c r="B45" i="60"/>
  <c r="X44" i="60"/>
  <c r="Z44" i="60" s="1"/>
  <c r="R44" i="60"/>
  <c r="N44" i="60"/>
  <c r="L44" i="60"/>
  <c r="B44" i="60"/>
  <c r="Z43" i="60"/>
  <c r="X43" i="60"/>
  <c r="V43" i="60"/>
  <c r="T43" i="60"/>
  <c r="P43" i="60"/>
  <c r="N43" i="60"/>
  <c r="L43" i="60"/>
  <c r="H43" i="60"/>
  <c r="D43" i="60"/>
  <c r="B43" i="60"/>
  <c r="X42" i="60"/>
  <c r="Z42" i="60" s="1"/>
  <c r="N42" i="60"/>
  <c r="L42" i="60"/>
  <c r="J42" i="60"/>
  <c r="B42" i="60"/>
  <c r="Z41" i="60"/>
  <c r="X41" i="60"/>
  <c r="N41" i="60"/>
  <c r="L41" i="60"/>
  <c r="B41" i="60"/>
  <c r="Z40" i="60"/>
  <c r="X40" i="60"/>
  <c r="L40" i="60"/>
  <c r="N40" i="60" s="1"/>
  <c r="B40" i="60"/>
  <c r="T39" i="60"/>
  <c r="P39" i="60"/>
  <c r="J39" i="60"/>
  <c r="H39" i="60"/>
  <c r="D39" i="60"/>
  <c r="B39" i="60"/>
  <c r="X38" i="60"/>
  <c r="Z38" i="60" s="1"/>
  <c r="L38" i="60"/>
  <c r="N38" i="60" s="1"/>
  <c r="B38" i="60"/>
  <c r="T37" i="60"/>
  <c r="R37" i="60"/>
  <c r="P37" i="60"/>
  <c r="X37" i="60" s="1"/>
  <c r="Z37" i="60" s="1"/>
  <c r="H37" i="60"/>
  <c r="D37" i="60"/>
  <c r="L37" i="60" s="1"/>
  <c r="N37" i="60" s="1"/>
  <c r="B37" i="60"/>
  <c r="X36" i="60"/>
  <c r="Z36" i="60" s="1"/>
  <c r="R36" i="60"/>
  <c r="N36" i="60"/>
  <c r="L36" i="60"/>
  <c r="B36" i="60"/>
  <c r="Z35" i="60"/>
  <c r="X35" i="60"/>
  <c r="N35" i="60"/>
  <c r="L35" i="60"/>
  <c r="J35" i="60"/>
  <c r="B35" i="60"/>
  <c r="T34" i="60"/>
  <c r="P34" i="60"/>
  <c r="X34" i="60" s="1"/>
  <c r="H34" i="60"/>
  <c r="F34" i="60"/>
  <c r="D34" i="60"/>
  <c r="B34" i="60"/>
  <c r="Z33" i="60"/>
  <c r="X33" i="60"/>
  <c r="N33" i="60"/>
  <c r="L33" i="60"/>
  <c r="B33" i="60"/>
  <c r="T32" i="60"/>
  <c r="P32" i="60"/>
  <c r="X32" i="60" s="1"/>
  <c r="Z32" i="60" s="1"/>
  <c r="L32" i="60"/>
  <c r="N32" i="60" s="1"/>
  <c r="H32" i="60"/>
  <c r="D32" i="60"/>
  <c r="B32" i="60"/>
  <c r="Z31" i="60"/>
  <c r="X31" i="60"/>
  <c r="N31" i="60"/>
  <c r="L31" i="60"/>
  <c r="J31" i="60"/>
  <c r="B31" i="60"/>
  <c r="X30" i="60"/>
  <c r="V30" i="60"/>
  <c r="T30" i="60"/>
  <c r="Z30" i="60" s="1"/>
  <c r="P30" i="60"/>
  <c r="H30" i="60"/>
  <c r="D30" i="60"/>
  <c r="B30" i="60"/>
  <c r="Z29" i="60"/>
  <c r="X29" i="60"/>
  <c r="N29" i="60"/>
  <c r="L29" i="60"/>
  <c r="J29" i="60"/>
  <c r="B29" i="60"/>
  <c r="T28" i="60"/>
  <c r="R28" i="60"/>
  <c r="P28" i="60"/>
  <c r="X28" i="60" s="1"/>
  <c r="H28" i="60"/>
  <c r="D28" i="60"/>
  <c r="L28" i="60" s="1"/>
  <c r="B28" i="60"/>
  <c r="Z27" i="60"/>
  <c r="X27" i="60"/>
  <c r="R27" i="60"/>
  <c r="N27" i="60"/>
  <c r="L27" i="60"/>
  <c r="B27" i="60"/>
  <c r="X26" i="60"/>
  <c r="Z26" i="60" s="1"/>
  <c r="L26" i="60"/>
  <c r="N26" i="60" s="1"/>
  <c r="J26" i="60"/>
  <c r="B26" i="60"/>
  <c r="Z25" i="60"/>
  <c r="X25" i="60"/>
  <c r="N25" i="60"/>
  <c r="L25" i="60"/>
  <c r="B25" i="60"/>
  <c r="Z24" i="60"/>
  <c r="X24" i="60"/>
  <c r="L24" i="60"/>
  <c r="N24" i="60" s="1"/>
  <c r="J24" i="60"/>
  <c r="F24" i="60"/>
  <c r="B24" i="60"/>
  <c r="Z23" i="60"/>
  <c r="X23" i="60"/>
  <c r="V23" i="60"/>
  <c r="R23" i="60"/>
  <c r="N23" i="60"/>
  <c r="L23" i="60"/>
  <c r="B23" i="60"/>
  <c r="X22" i="60"/>
  <c r="Z22" i="60" s="1"/>
  <c r="L22" i="60"/>
  <c r="N22" i="60" s="1"/>
  <c r="J22" i="60"/>
  <c r="B22" i="60"/>
  <c r="Z21" i="60"/>
  <c r="X21" i="60"/>
  <c r="N21" i="60"/>
  <c r="L21" i="60"/>
  <c r="B21" i="60"/>
  <c r="Z20" i="60"/>
  <c r="X20" i="60"/>
  <c r="L20" i="60"/>
  <c r="N20" i="60" s="1"/>
  <c r="J20" i="60"/>
  <c r="B20" i="60"/>
  <c r="V19" i="60"/>
  <c r="T19" i="60"/>
  <c r="P19" i="60"/>
  <c r="X19" i="60" s="1"/>
  <c r="J19" i="60"/>
  <c r="H19" i="60"/>
  <c r="N19" i="60" s="1"/>
  <c r="D19" i="60"/>
  <c r="L19" i="60" s="1"/>
  <c r="B19" i="60"/>
  <c r="X18" i="60"/>
  <c r="T18" i="60"/>
  <c r="Z18" i="60" s="1"/>
  <c r="P18" i="60"/>
  <c r="L18" i="60"/>
  <c r="J18" i="60"/>
  <c r="H18" i="60"/>
  <c r="D18" i="60"/>
  <c r="V16" i="60"/>
  <c r="J16" i="60"/>
  <c r="X14" i="60"/>
  <c r="V14" i="60"/>
  <c r="T14" i="60"/>
  <c r="Z14" i="60" s="1"/>
  <c r="P14" i="60"/>
  <c r="L14" i="60"/>
  <c r="J14" i="60"/>
  <c r="H14" i="60"/>
  <c r="N14" i="60" s="1"/>
  <c r="D14" i="60"/>
  <c r="X12" i="60"/>
  <c r="T12" i="60"/>
  <c r="P12" i="60"/>
  <c r="R40" i="60" s="1"/>
  <c r="N12" i="60"/>
  <c r="H12" i="60"/>
  <c r="J45" i="60" s="1"/>
  <c r="D12" i="60"/>
  <c r="F40" i="60" s="1"/>
  <c r="D6" i="60"/>
  <c r="D4" i="60"/>
  <c r="R68" i="59"/>
  <c r="R65" i="59"/>
  <c r="Z63" i="59"/>
  <c r="X63" i="59"/>
  <c r="R63" i="59"/>
  <c r="N63" i="59"/>
  <c r="L63" i="59"/>
  <c r="J61" i="59"/>
  <c r="T59" i="59"/>
  <c r="Z59" i="59" s="1"/>
  <c r="P59" i="59"/>
  <c r="L59" i="59"/>
  <c r="J59" i="59"/>
  <c r="H59" i="59"/>
  <c r="N59" i="59" s="1"/>
  <c r="D59" i="59"/>
  <c r="X57" i="59"/>
  <c r="Z57" i="59" s="1"/>
  <c r="R57" i="59"/>
  <c r="N57" i="59"/>
  <c r="L57" i="59"/>
  <c r="F57" i="59"/>
  <c r="B57" i="59"/>
  <c r="Z56" i="59"/>
  <c r="X56" i="59"/>
  <c r="N56" i="59"/>
  <c r="L56" i="59"/>
  <c r="J56" i="59"/>
  <c r="B56" i="59"/>
  <c r="X55" i="59"/>
  <c r="T55" i="59"/>
  <c r="P55" i="59"/>
  <c r="L55" i="59"/>
  <c r="H55" i="59"/>
  <c r="N55" i="59" s="1"/>
  <c r="D55" i="59"/>
  <c r="B55" i="59"/>
  <c r="X54" i="59"/>
  <c r="Z54" i="59" s="1"/>
  <c r="N54" i="59"/>
  <c r="L54" i="59"/>
  <c r="J54" i="59"/>
  <c r="B54" i="59"/>
  <c r="T53" i="59"/>
  <c r="R53" i="59"/>
  <c r="P53" i="59"/>
  <c r="X53" i="59" s="1"/>
  <c r="H53" i="59"/>
  <c r="D53" i="59"/>
  <c r="L53" i="59" s="1"/>
  <c r="B53" i="59"/>
  <c r="Z52" i="59"/>
  <c r="X52" i="59"/>
  <c r="R52" i="59"/>
  <c r="N52" i="59"/>
  <c r="L52" i="59"/>
  <c r="B52" i="59"/>
  <c r="X51" i="59"/>
  <c r="Z51" i="59" s="1"/>
  <c r="L51" i="59"/>
  <c r="N51" i="59" s="1"/>
  <c r="J51" i="59"/>
  <c r="B51" i="59"/>
  <c r="T50" i="59"/>
  <c r="R50" i="59"/>
  <c r="P50" i="59"/>
  <c r="X50" i="59" s="1"/>
  <c r="J50" i="59"/>
  <c r="H50" i="59"/>
  <c r="D50" i="59"/>
  <c r="L50" i="59" s="1"/>
  <c r="B50" i="59"/>
  <c r="X49" i="59"/>
  <c r="Z49" i="59" s="1"/>
  <c r="R49" i="59"/>
  <c r="L49" i="59"/>
  <c r="N49" i="59" s="1"/>
  <c r="F49" i="59"/>
  <c r="B49" i="59"/>
  <c r="T48" i="59"/>
  <c r="R48" i="59"/>
  <c r="P48" i="59"/>
  <c r="X48" i="59" s="1"/>
  <c r="Z48" i="59" s="1"/>
  <c r="N48" i="59"/>
  <c r="H48" i="59"/>
  <c r="F48" i="59"/>
  <c r="D48" i="59"/>
  <c r="L48" i="59" s="1"/>
  <c r="B48" i="59"/>
  <c r="X47" i="59"/>
  <c r="Z47" i="59" s="1"/>
  <c r="R47" i="59"/>
  <c r="L47" i="59"/>
  <c r="N47" i="59" s="1"/>
  <c r="B47" i="59"/>
  <c r="X46" i="59"/>
  <c r="Z46" i="59" s="1"/>
  <c r="N46" i="59"/>
  <c r="L46" i="59"/>
  <c r="J46" i="59"/>
  <c r="B46" i="59"/>
  <c r="X45" i="59"/>
  <c r="Z45" i="59" s="1"/>
  <c r="R45" i="59"/>
  <c r="N45" i="59"/>
  <c r="L45" i="59"/>
  <c r="B45" i="59"/>
  <c r="Z44" i="59"/>
  <c r="X44" i="59"/>
  <c r="T44" i="59"/>
  <c r="P44" i="59"/>
  <c r="L44" i="59"/>
  <c r="N44" i="59" s="1"/>
  <c r="H44" i="59"/>
  <c r="D44" i="59"/>
  <c r="B44" i="59"/>
  <c r="X43" i="59"/>
  <c r="Z43" i="59" s="1"/>
  <c r="L43" i="59"/>
  <c r="N43" i="59" s="1"/>
  <c r="J43" i="59"/>
  <c r="B43" i="59"/>
  <c r="T42" i="59"/>
  <c r="Z42" i="59" s="1"/>
  <c r="R42" i="59"/>
  <c r="P42" i="59"/>
  <c r="X42" i="59" s="1"/>
  <c r="J42" i="59"/>
  <c r="H42" i="59"/>
  <c r="D42" i="59"/>
  <c r="B42" i="59"/>
  <c r="Z41" i="59"/>
  <c r="X41" i="59"/>
  <c r="R41" i="59"/>
  <c r="N41" i="59"/>
  <c r="L41" i="59"/>
  <c r="F41" i="59"/>
  <c r="B41" i="59"/>
  <c r="Z40" i="59"/>
  <c r="T40" i="59"/>
  <c r="R40" i="59"/>
  <c r="P40" i="59"/>
  <c r="X40" i="59" s="1"/>
  <c r="N40" i="59"/>
  <c r="H40" i="59"/>
  <c r="F40" i="59"/>
  <c r="D40" i="59"/>
  <c r="L40" i="59" s="1"/>
  <c r="B40" i="59"/>
  <c r="X39" i="59"/>
  <c r="Z39" i="59" s="1"/>
  <c r="R39" i="59"/>
  <c r="L39" i="59"/>
  <c r="N39" i="59" s="1"/>
  <c r="B39" i="59"/>
  <c r="Z38" i="59"/>
  <c r="X38" i="59"/>
  <c r="T38" i="59"/>
  <c r="P38" i="59"/>
  <c r="N38" i="59"/>
  <c r="L38" i="59"/>
  <c r="J38" i="59"/>
  <c r="H38" i="59"/>
  <c r="D38" i="59"/>
  <c r="B38" i="59"/>
  <c r="Z37" i="59"/>
  <c r="X37" i="59"/>
  <c r="N37" i="59"/>
  <c r="L37" i="59"/>
  <c r="F37" i="59"/>
  <c r="B37" i="59"/>
  <c r="T36" i="59"/>
  <c r="P36" i="59"/>
  <c r="J36" i="59"/>
  <c r="H36" i="59"/>
  <c r="N36" i="59" s="1"/>
  <c r="F36" i="59"/>
  <c r="D36" i="59"/>
  <c r="L36" i="59" s="1"/>
  <c r="B36" i="59"/>
  <c r="X35" i="59"/>
  <c r="Z35" i="59" s="1"/>
  <c r="N35" i="59"/>
  <c r="L35" i="59"/>
  <c r="F35" i="59"/>
  <c r="B35" i="59"/>
  <c r="Z34" i="59"/>
  <c r="X34" i="59"/>
  <c r="N34" i="59"/>
  <c r="L34" i="59"/>
  <c r="J34" i="59"/>
  <c r="B34" i="59"/>
  <c r="X33" i="59"/>
  <c r="Z33" i="59" s="1"/>
  <c r="R33" i="59"/>
  <c r="N33" i="59"/>
  <c r="L33" i="59"/>
  <c r="F33" i="59"/>
  <c r="B33" i="59"/>
  <c r="Z32" i="59"/>
  <c r="X32" i="59"/>
  <c r="N32" i="59"/>
  <c r="L32" i="59"/>
  <c r="J32" i="59"/>
  <c r="B32" i="59"/>
  <c r="X31" i="59"/>
  <c r="Z31" i="59" s="1"/>
  <c r="L31" i="59"/>
  <c r="N31" i="59" s="1"/>
  <c r="F31" i="59"/>
  <c r="B31" i="59"/>
  <c r="Z30" i="59"/>
  <c r="T30" i="59"/>
  <c r="R30" i="59"/>
  <c r="P30" i="59"/>
  <c r="X30" i="59" s="1"/>
  <c r="H30" i="59"/>
  <c r="F30" i="59"/>
  <c r="D30" i="59"/>
  <c r="L30" i="59" s="1"/>
  <c r="N30" i="59" s="1"/>
  <c r="B30" i="59"/>
  <c r="X29" i="59"/>
  <c r="Z29" i="59" s="1"/>
  <c r="R29" i="59"/>
  <c r="N29" i="59"/>
  <c r="L29" i="59"/>
  <c r="B29" i="59"/>
  <c r="Z28" i="59"/>
  <c r="X28" i="59"/>
  <c r="N28" i="59"/>
  <c r="L28" i="59"/>
  <c r="J28" i="59"/>
  <c r="F28" i="59"/>
  <c r="B28" i="59"/>
  <c r="X27" i="59"/>
  <c r="Z27" i="59" s="1"/>
  <c r="R27" i="59"/>
  <c r="L27" i="59"/>
  <c r="N27" i="59" s="1"/>
  <c r="B27" i="59"/>
  <c r="X26" i="59"/>
  <c r="Z26" i="59" s="1"/>
  <c r="N26" i="59"/>
  <c r="L26" i="59"/>
  <c r="J26" i="59"/>
  <c r="B26" i="59"/>
  <c r="X25" i="59"/>
  <c r="Z25" i="59" s="1"/>
  <c r="R25" i="59"/>
  <c r="N25" i="59"/>
  <c r="L25" i="59"/>
  <c r="B25" i="59"/>
  <c r="Z24" i="59"/>
  <c r="X24" i="59"/>
  <c r="L24" i="59"/>
  <c r="N24" i="59" s="1"/>
  <c r="J24" i="59"/>
  <c r="F24" i="59"/>
  <c r="B24" i="59"/>
  <c r="X23" i="59"/>
  <c r="Z23" i="59" s="1"/>
  <c r="R23" i="59"/>
  <c r="L23" i="59"/>
  <c r="N23" i="59" s="1"/>
  <c r="B23" i="59"/>
  <c r="X22" i="59"/>
  <c r="Z22" i="59" s="1"/>
  <c r="N22" i="59"/>
  <c r="L22" i="59"/>
  <c r="J22" i="59"/>
  <c r="F22" i="59"/>
  <c r="B22" i="59"/>
  <c r="X21" i="59"/>
  <c r="Z21" i="59" s="1"/>
  <c r="R21" i="59"/>
  <c r="N21" i="59"/>
  <c r="L21" i="59"/>
  <c r="B21" i="59"/>
  <c r="Z20" i="59"/>
  <c r="X20" i="59"/>
  <c r="L20" i="59"/>
  <c r="N20" i="59" s="1"/>
  <c r="J20" i="59"/>
  <c r="F20" i="59"/>
  <c r="B20" i="59"/>
  <c r="T19" i="59"/>
  <c r="P19" i="59"/>
  <c r="X19" i="59" s="1"/>
  <c r="H19" i="59"/>
  <c r="F19" i="59"/>
  <c r="D19" i="59"/>
  <c r="L19" i="59" s="1"/>
  <c r="B19" i="59"/>
  <c r="T18" i="59"/>
  <c r="R18" i="59"/>
  <c r="P18" i="59"/>
  <c r="X18" i="59" s="1"/>
  <c r="J18" i="59"/>
  <c r="H18" i="59"/>
  <c r="F18" i="59"/>
  <c r="D18" i="59"/>
  <c r="R16" i="59"/>
  <c r="J16" i="59"/>
  <c r="H16" i="59"/>
  <c r="F16" i="59"/>
  <c r="T14" i="59"/>
  <c r="Z14" i="59" s="1"/>
  <c r="R14" i="59"/>
  <c r="P14" i="59"/>
  <c r="X14" i="59" s="1"/>
  <c r="J14" i="59"/>
  <c r="H14" i="59"/>
  <c r="N14" i="59" s="1"/>
  <c r="F14" i="59"/>
  <c r="D14" i="59"/>
  <c r="T12" i="59"/>
  <c r="P12" i="59"/>
  <c r="R38" i="59" s="1"/>
  <c r="N12" i="59"/>
  <c r="L12" i="59"/>
  <c r="H12" i="59"/>
  <c r="J52" i="59" s="1"/>
  <c r="D12" i="59"/>
  <c r="F63" i="59" s="1"/>
  <c r="D6" i="59"/>
  <c r="D4" i="59"/>
  <c r="R78" i="58"/>
  <c r="R75" i="58"/>
  <c r="Z73" i="58"/>
  <c r="X73" i="58"/>
  <c r="N73" i="58"/>
  <c r="L73" i="58"/>
  <c r="J73" i="58"/>
  <c r="F71" i="58"/>
  <c r="T69" i="58"/>
  <c r="Z69" i="58" s="1"/>
  <c r="P69" i="58"/>
  <c r="X69" i="58" s="1"/>
  <c r="H69" i="58"/>
  <c r="N69" i="58" s="1"/>
  <c r="D69" i="58"/>
  <c r="L69" i="58" s="1"/>
  <c r="X67" i="58"/>
  <c r="Z67" i="58" s="1"/>
  <c r="N67" i="58"/>
  <c r="L67" i="58"/>
  <c r="B67" i="58"/>
  <c r="X66" i="58"/>
  <c r="Z66" i="58" s="1"/>
  <c r="T66" i="58"/>
  <c r="P66" i="58"/>
  <c r="N66" i="58"/>
  <c r="H66" i="58"/>
  <c r="D66" i="58"/>
  <c r="L66" i="58" s="1"/>
  <c r="B66" i="58"/>
  <c r="Z65" i="58"/>
  <c r="X65" i="58"/>
  <c r="L65" i="58"/>
  <c r="N65" i="58" s="1"/>
  <c r="B65" i="58"/>
  <c r="T64" i="58"/>
  <c r="X64" i="58" s="1"/>
  <c r="P64" i="58"/>
  <c r="H64" i="58"/>
  <c r="D64" i="58"/>
  <c r="B64" i="58"/>
  <c r="Z63" i="58"/>
  <c r="X63" i="58"/>
  <c r="V63" i="58"/>
  <c r="L63" i="58"/>
  <c r="N63" i="58" s="1"/>
  <c r="B63" i="58"/>
  <c r="T62" i="58"/>
  <c r="P62" i="58"/>
  <c r="X62" i="58" s="1"/>
  <c r="H62" i="58"/>
  <c r="F62" i="58"/>
  <c r="D62" i="58"/>
  <c r="B62" i="58"/>
  <c r="Z61" i="58"/>
  <c r="X61" i="58"/>
  <c r="N61" i="58"/>
  <c r="L61" i="58"/>
  <c r="B61" i="58"/>
  <c r="Z60" i="58"/>
  <c r="X60" i="58"/>
  <c r="L60" i="58"/>
  <c r="N60" i="58" s="1"/>
  <c r="B60" i="58"/>
  <c r="X59" i="58"/>
  <c r="Z59" i="58" s="1"/>
  <c r="N59" i="58"/>
  <c r="L59" i="58"/>
  <c r="B59" i="58"/>
  <c r="Z58" i="58"/>
  <c r="X58" i="58"/>
  <c r="N58" i="58"/>
  <c r="L58" i="58"/>
  <c r="B58" i="58"/>
  <c r="T57" i="58"/>
  <c r="P57" i="58"/>
  <c r="H57" i="58"/>
  <c r="D57" i="58"/>
  <c r="L57" i="58" s="1"/>
  <c r="B57" i="58"/>
  <c r="X56" i="58"/>
  <c r="Z56" i="58" s="1"/>
  <c r="R56" i="58"/>
  <c r="N56" i="58"/>
  <c r="L56" i="58"/>
  <c r="B56" i="58"/>
  <c r="T55" i="58"/>
  <c r="P55" i="58"/>
  <c r="X55" i="58" s="1"/>
  <c r="Z55" i="58" s="1"/>
  <c r="N55" i="58"/>
  <c r="H55" i="58"/>
  <c r="D55" i="58"/>
  <c r="L55" i="58" s="1"/>
  <c r="B55" i="58"/>
  <c r="Z54" i="58"/>
  <c r="X54" i="58"/>
  <c r="N54" i="58"/>
  <c r="L54" i="58"/>
  <c r="B54" i="58"/>
  <c r="Z53" i="58"/>
  <c r="X53" i="58"/>
  <c r="N53" i="58"/>
  <c r="L53" i="58"/>
  <c r="B53" i="58"/>
  <c r="T52" i="58"/>
  <c r="P52" i="58"/>
  <c r="X52" i="58" s="1"/>
  <c r="H52" i="58"/>
  <c r="F52" i="58"/>
  <c r="D52" i="58"/>
  <c r="B52" i="58"/>
  <c r="X51" i="58"/>
  <c r="Z51" i="58" s="1"/>
  <c r="V51" i="58"/>
  <c r="N51" i="58"/>
  <c r="L51" i="58"/>
  <c r="B51" i="58"/>
  <c r="X50" i="58"/>
  <c r="Z50" i="58" s="1"/>
  <c r="N50" i="58"/>
  <c r="L50" i="58"/>
  <c r="J50" i="58"/>
  <c r="B50" i="58"/>
  <c r="T49" i="58"/>
  <c r="P49" i="58"/>
  <c r="H49" i="58"/>
  <c r="D49" i="58"/>
  <c r="L49" i="58" s="1"/>
  <c r="B49" i="58"/>
  <c r="X48" i="58"/>
  <c r="Z48" i="58" s="1"/>
  <c r="R48" i="58"/>
  <c r="N48" i="58"/>
  <c r="L48" i="58"/>
  <c r="B48" i="58"/>
  <c r="T47" i="58"/>
  <c r="P47" i="58"/>
  <c r="X47" i="58" s="1"/>
  <c r="Z47" i="58" s="1"/>
  <c r="L47" i="58"/>
  <c r="N47" i="58" s="1"/>
  <c r="H47" i="58"/>
  <c r="D47" i="58"/>
  <c r="B47" i="58"/>
  <c r="X46" i="58"/>
  <c r="Z46" i="58" s="1"/>
  <c r="N46" i="58"/>
  <c r="L46" i="58"/>
  <c r="J46" i="58"/>
  <c r="B46" i="58"/>
  <c r="T45" i="58"/>
  <c r="X45" i="58" s="1"/>
  <c r="Z45" i="58" s="1"/>
  <c r="P45" i="58"/>
  <c r="N45" i="58"/>
  <c r="L45" i="58"/>
  <c r="J45" i="58"/>
  <c r="H45" i="58"/>
  <c r="D45" i="58"/>
  <c r="B45" i="58"/>
  <c r="Z44" i="58"/>
  <c r="X44" i="58"/>
  <c r="N44" i="58"/>
  <c r="L44" i="58"/>
  <c r="B44" i="58"/>
  <c r="T43" i="58"/>
  <c r="R43" i="58"/>
  <c r="P43" i="58"/>
  <c r="X43" i="58" s="1"/>
  <c r="H43" i="58"/>
  <c r="N43" i="58" s="1"/>
  <c r="D43" i="58"/>
  <c r="L43" i="58" s="1"/>
  <c r="B43" i="58"/>
  <c r="X42" i="58"/>
  <c r="Z42" i="58" s="1"/>
  <c r="R42" i="58"/>
  <c r="N42" i="58"/>
  <c r="L42" i="58"/>
  <c r="B42" i="58"/>
  <c r="T41" i="58"/>
  <c r="P41" i="58"/>
  <c r="X41" i="58" s="1"/>
  <c r="L41" i="58"/>
  <c r="H41" i="58"/>
  <c r="N41" i="58" s="1"/>
  <c r="D41" i="58"/>
  <c r="B41" i="58"/>
  <c r="Z40" i="58"/>
  <c r="X40" i="58"/>
  <c r="V40" i="58"/>
  <c r="N40" i="58"/>
  <c r="L40" i="58"/>
  <c r="J40" i="58"/>
  <c r="B40" i="58"/>
  <c r="T39" i="58"/>
  <c r="Z39" i="58" s="1"/>
  <c r="P39" i="58"/>
  <c r="X39" i="58" s="1"/>
  <c r="H39" i="58"/>
  <c r="D39" i="58"/>
  <c r="B39" i="58"/>
  <c r="X38" i="58"/>
  <c r="Z38" i="58" s="1"/>
  <c r="N38" i="58"/>
  <c r="L38" i="58"/>
  <c r="J38" i="58"/>
  <c r="B38" i="58"/>
  <c r="T37" i="58"/>
  <c r="P37" i="58"/>
  <c r="X37" i="58" s="1"/>
  <c r="Z37" i="58" s="1"/>
  <c r="H37" i="58"/>
  <c r="N37" i="58" s="1"/>
  <c r="D37" i="58"/>
  <c r="L37" i="58" s="1"/>
  <c r="B37" i="58"/>
  <c r="X36" i="58"/>
  <c r="Z36" i="58" s="1"/>
  <c r="N36" i="58"/>
  <c r="L36" i="58"/>
  <c r="J36" i="58"/>
  <c r="B36" i="58"/>
  <c r="X35" i="58"/>
  <c r="T35" i="58"/>
  <c r="Z35" i="58" s="1"/>
  <c r="P35" i="58"/>
  <c r="H35" i="58"/>
  <c r="D35" i="58"/>
  <c r="L35" i="58" s="1"/>
  <c r="B35" i="58"/>
  <c r="Z34" i="58"/>
  <c r="X34" i="58"/>
  <c r="N34" i="58"/>
  <c r="L34" i="58"/>
  <c r="J34" i="58"/>
  <c r="B34" i="58"/>
  <c r="X33" i="58"/>
  <c r="Z33" i="58" s="1"/>
  <c r="R33" i="58"/>
  <c r="N33" i="58"/>
  <c r="L33" i="58"/>
  <c r="B33" i="58"/>
  <c r="Z32" i="58"/>
  <c r="X32" i="58"/>
  <c r="V32" i="58"/>
  <c r="N32" i="58"/>
  <c r="L32" i="58"/>
  <c r="J32" i="58"/>
  <c r="B32" i="58"/>
  <c r="Z31" i="58"/>
  <c r="X31" i="58"/>
  <c r="L31" i="58"/>
  <c r="N31" i="58" s="1"/>
  <c r="F31" i="58"/>
  <c r="B31" i="58"/>
  <c r="T30" i="58"/>
  <c r="P30" i="58"/>
  <c r="X30" i="58" s="1"/>
  <c r="Z30" i="58" s="1"/>
  <c r="N30" i="58"/>
  <c r="L30" i="58"/>
  <c r="J30" i="58"/>
  <c r="H30" i="58"/>
  <c r="F30" i="58"/>
  <c r="D30" i="58"/>
  <c r="B30" i="58"/>
  <c r="Z29" i="58"/>
  <c r="X29" i="58"/>
  <c r="L29" i="58"/>
  <c r="N29" i="58" s="1"/>
  <c r="J29" i="58"/>
  <c r="F29" i="58"/>
  <c r="B29" i="58"/>
  <c r="Z28" i="58"/>
  <c r="X28" i="58"/>
  <c r="V28" i="58"/>
  <c r="L28" i="58"/>
  <c r="N28" i="58" s="1"/>
  <c r="B28" i="58"/>
  <c r="X27" i="58"/>
  <c r="Z27" i="58" s="1"/>
  <c r="R27" i="58"/>
  <c r="L27" i="58"/>
  <c r="N27" i="58" s="1"/>
  <c r="B27" i="58"/>
  <c r="X26" i="58"/>
  <c r="Z26" i="58" s="1"/>
  <c r="N26" i="58"/>
  <c r="L26" i="58"/>
  <c r="J26" i="58"/>
  <c r="B26" i="58"/>
  <c r="Z25" i="58"/>
  <c r="X25" i="58"/>
  <c r="N25" i="58"/>
  <c r="L25" i="58"/>
  <c r="J25" i="58"/>
  <c r="F25" i="58"/>
  <c r="B25" i="58"/>
  <c r="Z24" i="58"/>
  <c r="X24" i="58"/>
  <c r="V24" i="58"/>
  <c r="L24" i="58"/>
  <c r="N24" i="58" s="1"/>
  <c r="B24" i="58"/>
  <c r="X23" i="58"/>
  <c r="Z23" i="58" s="1"/>
  <c r="R23" i="58"/>
  <c r="L23" i="58"/>
  <c r="N23" i="58" s="1"/>
  <c r="B23" i="58"/>
  <c r="X22" i="58"/>
  <c r="Z22" i="58" s="1"/>
  <c r="N22" i="58"/>
  <c r="L22" i="58"/>
  <c r="J22" i="58"/>
  <c r="B22" i="58"/>
  <c r="Z21" i="58"/>
  <c r="X21" i="58"/>
  <c r="L21" i="58"/>
  <c r="N21" i="58" s="1"/>
  <c r="J21" i="58"/>
  <c r="F21" i="58"/>
  <c r="B21" i="58"/>
  <c r="Z20" i="58"/>
  <c r="X20" i="58"/>
  <c r="V20" i="58"/>
  <c r="L20" i="58"/>
  <c r="N20" i="58" s="1"/>
  <c r="B20" i="58"/>
  <c r="T19" i="58"/>
  <c r="P19" i="58"/>
  <c r="X19" i="58" s="1"/>
  <c r="J19" i="58"/>
  <c r="H19" i="58"/>
  <c r="D19" i="58"/>
  <c r="L19" i="58" s="1"/>
  <c r="N19" i="58" s="1"/>
  <c r="B19" i="58"/>
  <c r="T18" i="58"/>
  <c r="R18" i="58"/>
  <c r="P18" i="58"/>
  <c r="X18" i="58" s="1"/>
  <c r="Z18" i="58" s="1"/>
  <c r="H18" i="58"/>
  <c r="N18" i="58" s="1"/>
  <c r="F18" i="58"/>
  <c r="D18" i="58"/>
  <c r="L18" i="58" s="1"/>
  <c r="R16" i="58"/>
  <c r="F16" i="58"/>
  <c r="Z14" i="58"/>
  <c r="T14" i="58"/>
  <c r="R14" i="58"/>
  <c r="P14" i="58"/>
  <c r="X14" i="58" s="1"/>
  <c r="H14" i="58"/>
  <c r="H16" i="58" s="1"/>
  <c r="F14" i="58"/>
  <c r="D14" i="58"/>
  <c r="L14" i="58" s="1"/>
  <c r="Z12" i="58"/>
  <c r="T12" i="58"/>
  <c r="V56" i="58" s="1"/>
  <c r="P12" i="58"/>
  <c r="R51" i="58" s="1"/>
  <c r="N12" i="58"/>
  <c r="L12" i="58"/>
  <c r="H12" i="58"/>
  <c r="D12" i="58"/>
  <c r="F42" i="58" s="1"/>
  <c r="D6" i="58"/>
  <c r="D4" i="58"/>
  <c r="V72" i="57"/>
  <c r="V69" i="57"/>
  <c r="Z67" i="57"/>
  <c r="X67" i="57"/>
  <c r="V67" i="57"/>
  <c r="N67" i="57"/>
  <c r="L67" i="57"/>
  <c r="J67" i="57"/>
  <c r="F65" i="57"/>
  <c r="T63" i="57"/>
  <c r="Z63" i="57" s="1"/>
  <c r="P63" i="57"/>
  <c r="X63" i="57" s="1"/>
  <c r="N63" i="57"/>
  <c r="H63" i="57"/>
  <c r="F63" i="57"/>
  <c r="D63" i="57"/>
  <c r="L63" i="57" s="1"/>
  <c r="Z61" i="57"/>
  <c r="X61" i="57"/>
  <c r="N61" i="57"/>
  <c r="L61" i="57"/>
  <c r="J61" i="57"/>
  <c r="B61" i="57"/>
  <c r="Z60" i="57"/>
  <c r="X60" i="57"/>
  <c r="T60" i="57"/>
  <c r="P60" i="57"/>
  <c r="H60" i="57"/>
  <c r="N60" i="57" s="1"/>
  <c r="D60" i="57"/>
  <c r="L60" i="57" s="1"/>
  <c r="B60" i="57"/>
  <c r="Z59" i="57"/>
  <c r="X59" i="57"/>
  <c r="L59" i="57"/>
  <c r="N59" i="57" s="1"/>
  <c r="B59" i="57"/>
  <c r="T58" i="57"/>
  <c r="P58" i="57"/>
  <c r="H58" i="57"/>
  <c r="N58" i="57" s="1"/>
  <c r="D58" i="57"/>
  <c r="L58" i="57" s="1"/>
  <c r="B58" i="57"/>
  <c r="Z57" i="57"/>
  <c r="X57" i="57"/>
  <c r="V57" i="57"/>
  <c r="L57" i="57"/>
  <c r="N57" i="57" s="1"/>
  <c r="B57" i="57"/>
  <c r="T56" i="57"/>
  <c r="P56" i="57"/>
  <c r="X56" i="57" s="1"/>
  <c r="H56" i="57"/>
  <c r="D56" i="57"/>
  <c r="L56" i="57" s="1"/>
  <c r="N56" i="57" s="1"/>
  <c r="B56" i="57"/>
  <c r="Z55" i="57"/>
  <c r="X55" i="57"/>
  <c r="N55" i="57"/>
  <c r="L55" i="57"/>
  <c r="B55" i="57"/>
  <c r="X54" i="57"/>
  <c r="Z54" i="57" s="1"/>
  <c r="R54" i="57"/>
  <c r="L54" i="57"/>
  <c r="N54" i="57" s="1"/>
  <c r="F54" i="57"/>
  <c r="B54" i="57"/>
  <c r="Z53" i="57"/>
  <c r="X53" i="57"/>
  <c r="N53" i="57"/>
  <c r="L53" i="57"/>
  <c r="J53" i="57"/>
  <c r="B53" i="57"/>
  <c r="X52" i="57"/>
  <c r="Z52" i="57" s="1"/>
  <c r="T52" i="57"/>
  <c r="P52" i="57"/>
  <c r="H52" i="57"/>
  <c r="D52" i="57"/>
  <c r="L52" i="57" s="1"/>
  <c r="B52" i="57"/>
  <c r="Z51" i="57"/>
  <c r="X51" i="57"/>
  <c r="N51" i="57"/>
  <c r="L51" i="57"/>
  <c r="B51" i="57"/>
  <c r="T50" i="57"/>
  <c r="P50" i="57"/>
  <c r="H50" i="57"/>
  <c r="N50" i="57" s="1"/>
  <c r="D50" i="57"/>
  <c r="L50" i="57" s="1"/>
  <c r="B50" i="57"/>
  <c r="Z49" i="57"/>
  <c r="X49" i="57"/>
  <c r="V49" i="57"/>
  <c r="L49" i="57"/>
  <c r="N49" i="57" s="1"/>
  <c r="B49" i="57"/>
  <c r="T48" i="57"/>
  <c r="P48" i="57"/>
  <c r="X48" i="57" s="1"/>
  <c r="H48" i="57"/>
  <c r="D48" i="57"/>
  <c r="L48" i="57" s="1"/>
  <c r="N48" i="57" s="1"/>
  <c r="B48" i="57"/>
  <c r="Z47" i="57"/>
  <c r="X47" i="57"/>
  <c r="V47" i="57"/>
  <c r="N47" i="57"/>
  <c r="L47" i="57"/>
  <c r="B47" i="57"/>
  <c r="X46" i="57"/>
  <c r="Z46" i="57" s="1"/>
  <c r="R46" i="57"/>
  <c r="L46" i="57"/>
  <c r="N46" i="57" s="1"/>
  <c r="F46" i="57"/>
  <c r="B46" i="57"/>
  <c r="X45" i="57"/>
  <c r="Z45" i="57" s="1"/>
  <c r="N45" i="57"/>
  <c r="L45" i="57"/>
  <c r="J45" i="57"/>
  <c r="B45" i="57"/>
  <c r="X44" i="57"/>
  <c r="Z44" i="57" s="1"/>
  <c r="T44" i="57"/>
  <c r="P44" i="57"/>
  <c r="H44" i="57"/>
  <c r="D44" i="57"/>
  <c r="L44" i="57" s="1"/>
  <c r="B44" i="57"/>
  <c r="Z43" i="57"/>
  <c r="X43" i="57"/>
  <c r="N43" i="57"/>
  <c r="L43" i="57"/>
  <c r="B43" i="57"/>
  <c r="T42" i="57"/>
  <c r="P42" i="57"/>
  <c r="H42" i="57"/>
  <c r="N42" i="57" s="1"/>
  <c r="D42" i="57"/>
  <c r="L42" i="57" s="1"/>
  <c r="B42" i="57"/>
  <c r="Z41" i="57"/>
  <c r="X41" i="57"/>
  <c r="V41" i="57"/>
  <c r="L41" i="57"/>
  <c r="N41" i="57" s="1"/>
  <c r="B41" i="57"/>
  <c r="T40" i="57"/>
  <c r="P40" i="57"/>
  <c r="X40" i="57" s="1"/>
  <c r="H40" i="57"/>
  <c r="D40" i="57"/>
  <c r="L40" i="57" s="1"/>
  <c r="N40" i="57" s="1"/>
  <c r="B40" i="57"/>
  <c r="Z39" i="57"/>
  <c r="X39" i="57"/>
  <c r="V39" i="57"/>
  <c r="N39" i="57"/>
  <c r="L39" i="57"/>
  <c r="B39" i="57"/>
  <c r="Z38" i="57"/>
  <c r="X38" i="57"/>
  <c r="V38" i="57"/>
  <c r="R38" i="57"/>
  <c r="N38" i="57"/>
  <c r="L38" i="57"/>
  <c r="F38" i="57"/>
  <c r="B38" i="57"/>
  <c r="T37" i="57"/>
  <c r="Z37" i="57" s="1"/>
  <c r="P37" i="57"/>
  <c r="X37" i="57" s="1"/>
  <c r="H37" i="57"/>
  <c r="F37" i="57"/>
  <c r="D37" i="57"/>
  <c r="L37" i="57" s="1"/>
  <c r="N37" i="57" s="1"/>
  <c r="B37" i="57"/>
  <c r="Z36" i="57"/>
  <c r="X36" i="57"/>
  <c r="N36" i="57"/>
  <c r="L36" i="57"/>
  <c r="B36" i="57"/>
  <c r="Z35" i="57"/>
  <c r="T35" i="57"/>
  <c r="P35" i="57"/>
  <c r="X35" i="57" s="1"/>
  <c r="N35" i="57"/>
  <c r="L35" i="57"/>
  <c r="J35" i="57"/>
  <c r="H35" i="57"/>
  <c r="D35" i="57"/>
  <c r="B35" i="57"/>
  <c r="Z34" i="57"/>
  <c r="X34" i="57"/>
  <c r="L34" i="57"/>
  <c r="N34" i="57" s="1"/>
  <c r="B34" i="57"/>
  <c r="V33" i="57"/>
  <c r="T33" i="57"/>
  <c r="X33" i="57" s="1"/>
  <c r="Z33" i="57" s="1"/>
  <c r="P33" i="57"/>
  <c r="H33" i="57"/>
  <c r="D33" i="57"/>
  <c r="B33" i="57"/>
  <c r="X32" i="57"/>
  <c r="Z32" i="57" s="1"/>
  <c r="V32" i="57"/>
  <c r="N32" i="57"/>
  <c r="L32" i="57"/>
  <c r="B32" i="57"/>
  <c r="Z31" i="57"/>
  <c r="X31" i="57"/>
  <c r="V31" i="57"/>
  <c r="N31" i="57"/>
  <c r="L31" i="57"/>
  <c r="B31" i="57"/>
  <c r="X30" i="57"/>
  <c r="Z30" i="57" s="1"/>
  <c r="V30" i="57"/>
  <c r="R30" i="57"/>
  <c r="L30" i="57"/>
  <c r="N30" i="57" s="1"/>
  <c r="F30" i="57"/>
  <c r="B30" i="57"/>
  <c r="X29" i="57"/>
  <c r="Z29" i="57" s="1"/>
  <c r="L29" i="57"/>
  <c r="N29" i="57" s="1"/>
  <c r="J29" i="57"/>
  <c r="B29" i="57"/>
  <c r="X28" i="57"/>
  <c r="Z28" i="57" s="1"/>
  <c r="V28" i="57"/>
  <c r="T28" i="57"/>
  <c r="P28" i="57"/>
  <c r="H28" i="57"/>
  <c r="N28" i="57" s="1"/>
  <c r="D28" i="57"/>
  <c r="L28" i="57" s="1"/>
  <c r="B28" i="57"/>
  <c r="Z27" i="57"/>
  <c r="X27" i="57"/>
  <c r="L27" i="57"/>
  <c r="N27" i="57" s="1"/>
  <c r="B27" i="57"/>
  <c r="X26" i="57"/>
  <c r="Z26" i="57" s="1"/>
  <c r="V26" i="57"/>
  <c r="R26" i="57"/>
  <c r="N26" i="57"/>
  <c r="L26" i="57"/>
  <c r="B26" i="57"/>
  <c r="X25" i="57"/>
  <c r="Z25" i="57" s="1"/>
  <c r="V25" i="57"/>
  <c r="N25" i="57"/>
  <c r="L25" i="57"/>
  <c r="J25" i="57"/>
  <c r="B25" i="57"/>
  <c r="Z24" i="57"/>
  <c r="X24" i="57"/>
  <c r="V24" i="57"/>
  <c r="R24" i="57"/>
  <c r="L24" i="57"/>
  <c r="N24" i="57" s="1"/>
  <c r="B24" i="57"/>
  <c r="Z23" i="57"/>
  <c r="X23" i="57"/>
  <c r="L23" i="57"/>
  <c r="N23" i="57" s="1"/>
  <c r="B23" i="57"/>
  <c r="X22" i="57"/>
  <c r="Z22" i="57" s="1"/>
  <c r="V22" i="57"/>
  <c r="R22" i="57"/>
  <c r="N22" i="57"/>
  <c r="L22" i="57"/>
  <c r="B22" i="57"/>
  <c r="X21" i="57"/>
  <c r="Z21" i="57" s="1"/>
  <c r="V21" i="57"/>
  <c r="N21" i="57"/>
  <c r="L21" i="57"/>
  <c r="J21" i="57"/>
  <c r="B21" i="57"/>
  <c r="X20" i="57"/>
  <c r="Z20" i="57" s="1"/>
  <c r="V20" i="57"/>
  <c r="R20" i="57"/>
  <c r="L20" i="57"/>
  <c r="N20" i="57" s="1"/>
  <c r="B20" i="57"/>
  <c r="T19" i="57"/>
  <c r="P19" i="57"/>
  <c r="X19" i="57" s="1"/>
  <c r="Z19" i="57" s="1"/>
  <c r="L19" i="57"/>
  <c r="N19" i="57" s="1"/>
  <c r="J19" i="57"/>
  <c r="H19" i="57"/>
  <c r="D19" i="57"/>
  <c r="B19" i="57"/>
  <c r="T18" i="57"/>
  <c r="R18" i="57"/>
  <c r="P18" i="57"/>
  <c r="X18" i="57" s="1"/>
  <c r="Z18" i="57" s="1"/>
  <c r="H18" i="57"/>
  <c r="D18" i="57"/>
  <c r="L18" i="57" s="1"/>
  <c r="R16" i="57"/>
  <c r="D16" i="57"/>
  <c r="Z14" i="57"/>
  <c r="T14" i="57"/>
  <c r="T16" i="57" s="1"/>
  <c r="R14" i="57"/>
  <c r="P14" i="57"/>
  <c r="P16" i="57" s="1"/>
  <c r="H14" i="57"/>
  <c r="N14" i="57" s="1"/>
  <c r="D14" i="57"/>
  <c r="L14" i="57" s="1"/>
  <c r="Z12" i="57"/>
  <c r="T12" i="57"/>
  <c r="V34" i="57" s="1"/>
  <c r="P12" i="57"/>
  <c r="R60" i="57" s="1"/>
  <c r="H12" i="57"/>
  <c r="J56" i="57" s="1"/>
  <c r="D12" i="57"/>
  <c r="F55" i="57" s="1"/>
  <c r="D6" i="57"/>
  <c r="D4" i="57"/>
  <c r="Z72" i="56"/>
  <c r="X72" i="56"/>
  <c r="N72" i="56"/>
  <c r="L72" i="56"/>
  <c r="T68" i="56"/>
  <c r="Z68" i="56" s="1"/>
  <c r="P68" i="56"/>
  <c r="X68" i="56" s="1"/>
  <c r="N68" i="56"/>
  <c r="H68" i="56"/>
  <c r="D68" i="56"/>
  <c r="L68" i="56" s="1"/>
  <c r="X66" i="56"/>
  <c r="Z66" i="56" s="1"/>
  <c r="L66" i="56"/>
  <c r="N66" i="56" s="1"/>
  <c r="B66" i="56"/>
  <c r="T65" i="56"/>
  <c r="R65" i="56"/>
  <c r="P65" i="56"/>
  <c r="N65" i="56"/>
  <c r="L65" i="56"/>
  <c r="J65" i="56"/>
  <c r="H65" i="56"/>
  <c r="D65" i="56"/>
  <c r="B65" i="56"/>
  <c r="X64" i="56"/>
  <c r="Z64" i="56" s="1"/>
  <c r="R64" i="56"/>
  <c r="N64" i="56"/>
  <c r="L64" i="56"/>
  <c r="F64" i="56"/>
  <c r="B64" i="56"/>
  <c r="T63" i="56"/>
  <c r="Z63" i="56" s="1"/>
  <c r="P63" i="56"/>
  <c r="X63" i="56" s="1"/>
  <c r="N63" i="56"/>
  <c r="H63" i="56"/>
  <c r="F63" i="56"/>
  <c r="D63" i="56"/>
  <c r="L63" i="56" s="1"/>
  <c r="B63" i="56"/>
  <c r="X62" i="56"/>
  <c r="Z62" i="56" s="1"/>
  <c r="L62" i="56"/>
  <c r="N62" i="56" s="1"/>
  <c r="B62" i="56"/>
  <c r="T61" i="56"/>
  <c r="P61" i="56"/>
  <c r="X61" i="56" s="1"/>
  <c r="Z61" i="56" s="1"/>
  <c r="N61" i="56"/>
  <c r="L61" i="56"/>
  <c r="J61" i="56"/>
  <c r="H61" i="56"/>
  <c r="D61" i="56"/>
  <c r="B61" i="56"/>
  <c r="Z60" i="56"/>
  <c r="X60" i="56"/>
  <c r="N60" i="56"/>
  <c r="L60" i="56"/>
  <c r="F60" i="56"/>
  <c r="B60" i="56"/>
  <c r="Z59" i="56"/>
  <c r="X59" i="56"/>
  <c r="V59" i="56"/>
  <c r="L59" i="56"/>
  <c r="N59" i="56" s="1"/>
  <c r="B59" i="56"/>
  <c r="Z58" i="56"/>
  <c r="X58" i="56"/>
  <c r="N58" i="56"/>
  <c r="L58" i="56"/>
  <c r="B58" i="56"/>
  <c r="X57" i="56"/>
  <c r="Z57" i="56" s="1"/>
  <c r="N57" i="56"/>
  <c r="L57" i="56"/>
  <c r="B57" i="56"/>
  <c r="T56" i="56"/>
  <c r="P56" i="56"/>
  <c r="X56" i="56" s="1"/>
  <c r="Z56" i="56" s="1"/>
  <c r="H56" i="56"/>
  <c r="D56" i="56"/>
  <c r="L56" i="56" s="1"/>
  <c r="B56" i="56"/>
  <c r="X55" i="56"/>
  <c r="Z55" i="56" s="1"/>
  <c r="N55" i="56"/>
  <c r="L55" i="56"/>
  <c r="J55" i="56"/>
  <c r="B55" i="56"/>
  <c r="X54" i="56"/>
  <c r="Z54" i="56" s="1"/>
  <c r="T54" i="56"/>
  <c r="P54" i="56"/>
  <c r="H54" i="56"/>
  <c r="N54" i="56" s="1"/>
  <c r="D54" i="56"/>
  <c r="L54" i="56" s="1"/>
  <c r="B54" i="56"/>
  <c r="Z53" i="56"/>
  <c r="X53" i="56"/>
  <c r="N53" i="56"/>
  <c r="L53" i="56"/>
  <c r="B53" i="56"/>
  <c r="X52" i="56"/>
  <c r="Z52" i="56" s="1"/>
  <c r="R52" i="56"/>
  <c r="N52" i="56"/>
  <c r="L52" i="56"/>
  <c r="B52" i="56"/>
  <c r="Z51" i="56"/>
  <c r="X51" i="56"/>
  <c r="V51" i="56"/>
  <c r="N51" i="56"/>
  <c r="L51" i="56"/>
  <c r="J51" i="56"/>
  <c r="B51" i="56"/>
  <c r="T50" i="56"/>
  <c r="Z50" i="56" s="1"/>
  <c r="P50" i="56"/>
  <c r="X50" i="56" s="1"/>
  <c r="H50" i="56"/>
  <c r="D50" i="56"/>
  <c r="B50" i="56"/>
  <c r="X49" i="56"/>
  <c r="Z49" i="56" s="1"/>
  <c r="V49" i="56"/>
  <c r="N49" i="56"/>
  <c r="L49" i="56"/>
  <c r="B49" i="56"/>
  <c r="Z48" i="56"/>
  <c r="X48" i="56"/>
  <c r="L48" i="56"/>
  <c r="N48" i="56" s="1"/>
  <c r="F48" i="56"/>
  <c r="B48" i="56"/>
  <c r="Z47" i="56"/>
  <c r="X47" i="56"/>
  <c r="V47" i="56"/>
  <c r="N47" i="56"/>
  <c r="L47" i="56"/>
  <c r="B47" i="56"/>
  <c r="X46" i="56"/>
  <c r="T46" i="56"/>
  <c r="P46" i="56"/>
  <c r="H46" i="56"/>
  <c r="D46" i="56"/>
  <c r="L46" i="56" s="1"/>
  <c r="N46" i="56" s="1"/>
  <c r="B46" i="56"/>
  <c r="Z45" i="56"/>
  <c r="X45" i="56"/>
  <c r="V45" i="56"/>
  <c r="N45" i="56"/>
  <c r="L45" i="56"/>
  <c r="B45" i="56"/>
  <c r="T44" i="56"/>
  <c r="P44" i="56"/>
  <c r="L44" i="56"/>
  <c r="N44" i="56" s="1"/>
  <c r="H44" i="56"/>
  <c r="D44" i="56"/>
  <c r="B44" i="56"/>
  <c r="Z43" i="56"/>
  <c r="X43" i="56"/>
  <c r="V43" i="56"/>
  <c r="N43" i="56"/>
  <c r="L43" i="56"/>
  <c r="J43" i="56"/>
  <c r="B43" i="56"/>
  <c r="T42" i="56"/>
  <c r="P42" i="56"/>
  <c r="X42" i="56" s="1"/>
  <c r="H42" i="56"/>
  <c r="D42" i="56"/>
  <c r="B42" i="56"/>
  <c r="X41" i="56"/>
  <c r="Z41" i="56" s="1"/>
  <c r="V41" i="56"/>
  <c r="N41" i="56"/>
  <c r="L41" i="56"/>
  <c r="J41" i="56"/>
  <c r="B41" i="56"/>
  <c r="T40" i="56"/>
  <c r="Z40" i="56" s="1"/>
  <c r="P40" i="56"/>
  <c r="X40" i="56" s="1"/>
  <c r="L40" i="56"/>
  <c r="H40" i="56"/>
  <c r="D40" i="56"/>
  <c r="B40" i="56"/>
  <c r="X39" i="56"/>
  <c r="Z39" i="56" s="1"/>
  <c r="N39" i="56"/>
  <c r="L39" i="56"/>
  <c r="J39" i="56"/>
  <c r="B39" i="56"/>
  <c r="X38" i="56"/>
  <c r="Z38" i="56" s="1"/>
  <c r="T38" i="56"/>
  <c r="P38" i="56"/>
  <c r="H38" i="56"/>
  <c r="N38" i="56" s="1"/>
  <c r="D38" i="56"/>
  <c r="B38" i="56"/>
  <c r="Z37" i="56"/>
  <c r="X37" i="56"/>
  <c r="L37" i="56"/>
  <c r="N37" i="56" s="1"/>
  <c r="J37" i="56"/>
  <c r="B37" i="56"/>
  <c r="T36" i="56"/>
  <c r="P36" i="56"/>
  <c r="H36" i="56"/>
  <c r="N36" i="56" s="1"/>
  <c r="D36" i="56"/>
  <c r="L36" i="56" s="1"/>
  <c r="B36" i="56"/>
  <c r="Z35" i="56"/>
  <c r="X35" i="56"/>
  <c r="V35" i="56"/>
  <c r="L35" i="56"/>
  <c r="N35" i="56" s="1"/>
  <c r="B35" i="56"/>
  <c r="X34" i="56"/>
  <c r="T34" i="56"/>
  <c r="Z34" i="56" s="1"/>
  <c r="P34" i="56"/>
  <c r="H34" i="56"/>
  <c r="D34" i="56"/>
  <c r="L34" i="56" s="1"/>
  <c r="B34" i="56"/>
  <c r="Z33" i="56"/>
  <c r="X33" i="56"/>
  <c r="V33" i="56"/>
  <c r="N33" i="56"/>
  <c r="L33" i="56"/>
  <c r="B33" i="56"/>
  <c r="T32" i="56"/>
  <c r="P32" i="56"/>
  <c r="X32" i="56" s="1"/>
  <c r="N32" i="56"/>
  <c r="L32" i="56"/>
  <c r="H32" i="56"/>
  <c r="D32" i="56"/>
  <c r="B32" i="56"/>
  <c r="Z31" i="56"/>
  <c r="X31" i="56"/>
  <c r="V31" i="56"/>
  <c r="N31" i="56"/>
  <c r="L31" i="56"/>
  <c r="J31" i="56"/>
  <c r="B31" i="56"/>
  <c r="X30" i="56"/>
  <c r="Z30" i="56" s="1"/>
  <c r="R30" i="56"/>
  <c r="L30" i="56"/>
  <c r="N30" i="56" s="1"/>
  <c r="B30" i="56"/>
  <c r="Z29" i="56"/>
  <c r="X29" i="56"/>
  <c r="L29" i="56"/>
  <c r="N29" i="56" s="1"/>
  <c r="J29" i="56"/>
  <c r="B29" i="56"/>
  <c r="T28" i="56"/>
  <c r="P28" i="56"/>
  <c r="H28" i="56"/>
  <c r="N28" i="56" s="1"/>
  <c r="D28" i="56"/>
  <c r="L28" i="56" s="1"/>
  <c r="B28" i="56"/>
  <c r="Z27" i="56"/>
  <c r="X27" i="56"/>
  <c r="V27" i="56"/>
  <c r="L27" i="56"/>
  <c r="N27" i="56" s="1"/>
  <c r="B27" i="56"/>
  <c r="X26" i="56"/>
  <c r="Z26" i="56" s="1"/>
  <c r="R26" i="56"/>
  <c r="L26" i="56"/>
  <c r="N26" i="56" s="1"/>
  <c r="B26" i="56"/>
  <c r="X25" i="56"/>
  <c r="Z25" i="56" s="1"/>
  <c r="V25" i="56"/>
  <c r="R25" i="56"/>
  <c r="N25" i="56"/>
  <c r="L25" i="56"/>
  <c r="J25" i="56"/>
  <c r="B25" i="56"/>
  <c r="Z24" i="56"/>
  <c r="X24" i="56"/>
  <c r="L24" i="56"/>
  <c r="N24" i="56" s="1"/>
  <c r="F24" i="56"/>
  <c r="B24" i="56"/>
  <c r="Z23" i="56"/>
  <c r="X23" i="56"/>
  <c r="V23" i="56"/>
  <c r="L23" i="56"/>
  <c r="N23" i="56" s="1"/>
  <c r="B23" i="56"/>
  <c r="X22" i="56"/>
  <c r="Z22" i="56" s="1"/>
  <c r="R22" i="56"/>
  <c r="L22" i="56"/>
  <c r="N22" i="56" s="1"/>
  <c r="B22" i="56"/>
  <c r="X21" i="56"/>
  <c r="Z21" i="56" s="1"/>
  <c r="V21" i="56"/>
  <c r="R21" i="56"/>
  <c r="N21" i="56"/>
  <c r="L21" i="56"/>
  <c r="J21" i="56"/>
  <c r="B21" i="56"/>
  <c r="Z20" i="56"/>
  <c r="X20" i="56"/>
  <c r="L20" i="56"/>
  <c r="N20" i="56" s="1"/>
  <c r="J20" i="56"/>
  <c r="F20" i="56"/>
  <c r="B20" i="56"/>
  <c r="Z19" i="56"/>
  <c r="X19" i="56"/>
  <c r="V19" i="56"/>
  <c r="T19" i="56"/>
  <c r="P19" i="56"/>
  <c r="J19" i="56"/>
  <c r="H19" i="56"/>
  <c r="F19" i="56"/>
  <c r="D19" i="56"/>
  <c r="B19" i="56"/>
  <c r="X18" i="56"/>
  <c r="T18" i="56"/>
  <c r="Z18" i="56" s="1"/>
  <c r="P18" i="56"/>
  <c r="J18" i="56"/>
  <c r="H18" i="56"/>
  <c r="D18" i="56"/>
  <c r="J16" i="56"/>
  <c r="X14" i="56"/>
  <c r="T14" i="56"/>
  <c r="Z14" i="56" s="1"/>
  <c r="P14" i="56"/>
  <c r="P16" i="56" s="1"/>
  <c r="P70" i="56" s="1"/>
  <c r="J14" i="56"/>
  <c r="H14" i="56"/>
  <c r="D14" i="56"/>
  <c r="L14" i="56" s="1"/>
  <c r="Z12" i="56"/>
  <c r="X12" i="56"/>
  <c r="T12" i="56"/>
  <c r="V60" i="56" s="1"/>
  <c r="P12" i="56"/>
  <c r="R77" i="56" s="1"/>
  <c r="H12" i="56"/>
  <c r="J70" i="56" s="1"/>
  <c r="D12" i="56"/>
  <c r="F45" i="56" s="1"/>
  <c r="D6" i="56"/>
  <c r="D4" i="56"/>
  <c r="Z35" i="55"/>
  <c r="X35" i="55"/>
  <c r="R35" i="55"/>
  <c r="N35" i="55"/>
  <c r="L35" i="55"/>
  <c r="F35" i="55"/>
  <c r="T31" i="55"/>
  <c r="Z31" i="55" s="1"/>
  <c r="P31" i="55"/>
  <c r="X31" i="55" s="1"/>
  <c r="L31" i="55"/>
  <c r="H31" i="55"/>
  <c r="N31" i="55" s="1"/>
  <c r="D31" i="55"/>
  <c r="X29" i="55"/>
  <c r="Z29" i="55" s="1"/>
  <c r="R29" i="55"/>
  <c r="N29" i="55"/>
  <c r="L29" i="55"/>
  <c r="F29" i="55"/>
  <c r="B29" i="55"/>
  <c r="Z28" i="55"/>
  <c r="X28" i="55"/>
  <c r="N28" i="55"/>
  <c r="L28" i="55"/>
  <c r="J28" i="55"/>
  <c r="B28" i="55"/>
  <c r="X27" i="55"/>
  <c r="T27" i="55"/>
  <c r="P27" i="55"/>
  <c r="H27" i="55"/>
  <c r="N27" i="55" s="1"/>
  <c r="D27" i="55"/>
  <c r="B27" i="55"/>
  <c r="Z26" i="55"/>
  <c r="X26" i="55"/>
  <c r="N26" i="55"/>
  <c r="L26" i="55"/>
  <c r="F26" i="55"/>
  <c r="B26" i="55"/>
  <c r="T25" i="55"/>
  <c r="P25" i="55"/>
  <c r="H25" i="55"/>
  <c r="N25" i="55" s="1"/>
  <c r="F25" i="55"/>
  <c r="D25" i="55"/>
  <c r="L25" i="55" s="1"/>
  <c r="B25" i="55"/>
  <c r="Z24" i="55"/>
  <c r="X24" i="55"/>
  <c r="V24" i="55"/>
  <c r="N24" i="55"/>
  <c r="L24" i="55"/>
  <c r="B24" i="55"/>
  <c r="X23" i="55"/>
  <c r="T23" i="55"/>
  <c r="P23" i="55"/>
  <c r="H23" i="55"/>
  <c r="N23" i="55" s="1"/>
  <c r="D23" i="55"/>
  <c r="L23" i="55" s="1"/>
  <c r="B23" i="55"/>
  <c r="Z22" i="55"/>
  <c r="X22" i="55"/>
  <c r="V22" i="55"/>
  <c r="N22" i="55"/>
  <c r="L22" i="55"/>
  <c r="B22" i="55"/>
  <c r="T21" i="55"/>
  <c r="P21" i="55"/>
  <c r="L21" i="55"/>
  <c r="H21" i="55"/>
  <c r="N21" i="55" s="1"/>
  <c r="D21" i="55"/>
  <c r="B21" i="55"/>
  <c r="Z20" i="55"/>
  <c r="X20" i="55"/>
  <c r="V20" i="55"/>
  <c r="N20" i="55"/>
  <c r="L20" i="55"/>
  <c r="J20" i="55"/>
  <c r="B20" i="55"/>
  <c r="T19" i="55"/>
  <c r="P19" i="55"/>
  <c r="X19" i="55" s="1"/>
  <c r="H19" i="55"/>
  <c r="D19" i="55"/>
  <c r="B19" i="55"/>
  <c r="T18" i="55"/>
  <c r="X18" i="55" s="1"/>
  <c r="Z18" i="55" s="1"/>
  <c r="R18" i="55"/>
  <c r="P18" i="55"/>
  <c r="J18" i="55"/>
  <c r="H18" i="55"/>
  <c r="F18" i="55"/>
  <c r="D18" i="55"/>
  <c r="L18" i="55" s="1"/>
  <c r="N18" i="55" s="1"/>
  <c r="R16" i="55"/>
  <c r="J16" i="55"/>
  <c r="F16" i="55"/>
  <c r="Z14" i="55"/>
  <c r="T14" i="55"/>
  <c r="X14" i="55" s="1"/>
  <c r="R14" i="55"/>
  <c r="P14" i="55"/>
  <c r="N14" i="55"/>
  <c r="J14" i="55"/>
  <c r="H14" i="55"/>
  <c r="F14" i="55"/>
  <c r="D14" i="55"/>
  <c r="D16" i="55" s="1"/>
  <c r="T12" i="55"/>
  <c r="V28" i="55" s="1"/>
  <c r="P12" i="55"/>
  <c r="R27" i="55" s="1"/>
  <c r="N12" i="55"/>
  <c r="H12" i="55"/>
  <c r="J35" i="55" s="1"/>
  <c r="D12" i="55"/>
  <c r="F33" i="55" s="1"/>
  <c r="D6" i="55"/>
  <c r="D4" i="55"/>
  <c r="R31" i="54"/>
  <c r="J31" i="54"/>
  <c r="F31" i="54"/>
  <c r="T29" i="54"/>
  <c r="R29" i="54"/>
  <c r="P29" i="54"/>
  <c r="X29" i="54" s="1"/>
  <c r="Z29" i="54" s="1"/>
  <c r="N29" i="54"/>
  <c r="J29" i="54"/>
  <c r="H29" i="54"/>
  <c r="F29" i="54"/>
  <c r="D29" i="54"/>
  <c r="L29" i="54" s="1"/>
  <c r="T28" i="54"/>
  <c r="R28" i="54"/>
  <c r="P28" i="54"/>
  <c r="X28" i="54" s="1"/>
  <c r="Z28" i="54" s="1"/>
  <c r="J28" i="54"/>
  <c r="H28" i="54"/>
  <c r="F28" i="54"/>
  <c r="D28" i="54"/>
  <c r="L28" i="54" s="1"/>
  <c r="N28" i="54" s="1"/>
  <c r="R26" i="54"/>
  <c r="J26" i="54"/>
  <c r="F26" i="54"/>
  <c r="Z24" i="54"/>
  <c r="X24" i="54"/>
  <c r="N24" i="54"/>
  <c r="L24" i="54"/>
  <c r="J24" i="54"/>
  <c r="J22" i="54"/>
  <c r="F22" i="54"/>
  <c r="Z20" i="54"/>
  <c r="T20" i="54"/>
  <c r="P20" i="54"/>
  <c r="X20" i="54" s="1"/>
  <c r="N20" i="54"/>
  <c r="J20" i="54"/>
  <c r="H20" i="54"/>
  <c r="F20" i="54"/>
  <c r="D20" i="54"/>
  <c r="L20" i="54" s="1"/>
  <c r="Z18" i="54"/>
  <c r="T18" i="54"/>
  <c r="P18" i="54"/>
  <c r="X18" i="54" s="1"/>
  <c r="N18" i="54"/>
  <c r="J18" i="54"/>
  <c r="H18" i="54"/>
  <c r="F18" i="54"/>
  <c r="D18" i="54"/>
  <c r="L18" i="54" s="1"/>
  <c r="J16" i="54"/>
  <c r="F16" i="54"/>
  <c r="Z14" i="54"/>
  <c r="T14" i="54"/>
  <c r="P14" i="54"/>
  <c r="X14" i="54" s="1"/>
  <c r="N14" i="54"/>
  <c r="J14" i="54"/>
  <c r="H14" i="54"/>
  <c r="F14" i="54"/>
  <c r="D14" i="54"/>
  <c r="L14" i="54" s="1"/>
  <c r="T12" i="54"/>
  <c r="P12" i="54"/>
  <c r="P16" i="54" s="1"/>
  <c r="H12" i="54"/>
  <c r="L12" i="54" s="1"/>
  <c r="D12" i="54"/>
  <c r="F24" i="54" s="1"/>
  <c r="D6" i="54"/>
  <c r="D4" i="54"/>
  <c r="Z109" i="51"/>
  <c r="X109" i="51"/>
  <c r="N109" i="51"/>
  <c r="L109" i="51"/>
  <c r="Z105" i="51"/>
  <c r="X105" i="51"/>
  <c r="T105" i="51"/>
  <c r="P105" i="51"/>
  <c r="N105" i="51"/>
  <c r="L105" i="51"/>
  <c r="H105" i="51"/>
  <c r="D105" i="51"/>
  <c r="B105" i="51"/>
  <c r="T104" i="51"/>
  <c r="P104" i="51"/>
  <c r="H104" i="51"/>
  <c r="D104" i="51"/>
  <c r="L104" i="51" s="1"/>
  <c r="B104" i="51"/>
  <c r="T103" i="51"/>
  <c r="P103" i="51"/>
  <c r="X103" i="51" s="1"/>
  <c r="Z103" i="51" s="1"/>
  <c r="N103" i="51"/>
  <c r="H103" i="51"/>
  <c r="D103" i="51"/>
  <c r="L103" i="51" s="1"/>
  <c r="B103" i="51"/>
  <c r="X102" i="51"/>
  <c r="T102" i="51"/>
  <c r="P102" i="51"/>
  <c r="P101" i="51" s="1"/>
  <c r="H102" i="51"/>
  <c r="D102" i="51"/>
  <c r="B102" i="51"/>
  <c r="Z99" i="51"/>
  <c r="X99" i="51"/>
  <c r="N99" i="51"/>
  <c r="L99" i="51"/>
  <c r="B99" i="51"/>
  <c r="T98" i="51"/>
  <c r="P98" i="51"/>
  <c r="X98" i="51" s="1"/>
  <c r="H98" i="51"/>
  <c r="N98" i="51" s="1"/>
  <c r="D98" i="51"/>
  <c r="L98" i="51" s="1"/>
  <c r="B98" i="51"/>
  <c r="Z97" i="51"/>
  <c r="X97" i="51"/>
  <c r="N97" i="51"/>
  <c r="L97" i="51"/>
  <c r="B97" i="51"/>
  <c r="T96" i="51"/>
  <c r="P96" i="51"/>
  <c r="X96" i="51" s="1"/>
  <c r="L96" i="51"/>
  <c r="H96" i="51"/>
  <c r="N96" i="51" s="1"/>
  <c r="D96" i="51"/>
  <c r="B96" i="51"/>
  <c r="Z95" i="51"/>
  <c r="X95" i="51"/>
  <c r="N95" i="51"/>
  <c r="L95" i="51"/>
  <c r="B95" i="51"/>
  <c r="T94" i="51"/>
  <c r="P94" i="51"/>
  <c r="H94" i="51"/>
  <c r="D94" i="51"/>
  <c r="B94" i="51"/>
  <c r="Z93" i="51"/>
  <c r="X93" i="51"/>
  <c r="N93" i="51"/>
  <c r="L93" i="51"/>
  <c r="B93" i="51"/>
  <c r="X92" i="51"/>
  <c r="Z92" i="51" s="1"/>
  <c r="N92" i="51"/>
  <c r="L92" i="51"/>
  <c r="B92" i="51"/>
  <c r="Z91" i="51"/>
  <c r="X91" i="51"/>
  <c r="N91" i="51"/>
  <c r="L91" i="51"/>
  <c r="B91" i="51"/>
  <c r="T90" i="51"/>
  <c r="P90" i="51"/>
  <c r="H90" i="51"/>
  <c r="N90" i="51" s="1"/>
  <c r="D90" i="51"/>
  <c r="B90" i="51"/>
  <c r="Z89" i="51"/>
  <c r="X89" i="51"/>
  <c r="N89" i="51"/>
  <c r="L89" i="51"/>
  <c r="B89" i="51"/>
  <c r="X88" i="51"/>
  <c r="T88" i="51"/>
  <c r="P88" i="51"/>
  <c r="H88" i="51"/>
  <c r="N88" i="51" s="1"/>
  <c r="D88" i="51"/>
  <c r="L88" i="51" s="1"/>
  <c r="B88" i="51"/>
  <c r="Z87" i="51"/>
  <c r="X87" i="51"/>
  <c r="N87" i="51"/>
  <c r="L87" i="51"/>
  <c r="B87" i="51"/>
  <c r="T86" i="51"/>
  <c r="P86" i="51"/>
  <c r="H86" i="51"/>
  <c r="D86" i="51"/>
  <c r="L86" i="51" s="1"/>
  <c r="N86" i="51" s="1"/>
  <c r="B86" i="51"/>
  <c r="Z85" i="51"/>
  <c r="X85" i="51"/>
  <c r="N85" i="51"/>
  <c r="L85" i="51"/>
  <c r="B85" i="51"/>
  <c r="X84" i="51"/>
  <c r="T84" i="51"/>
  <c r="Z84" i="51" s="1"/>
  <c r="P84" i="51"/>
  <c r="H84" i="51"/>
  <c r="D84" i="51"/>
  <c r="B84" i="51"/>
  <c r="Z83" i="51"/>
  <c r="X83" i="51"/>
  <c r="N83" i="51"/>
  <c r="L83" i="51"/>
  <c r="B83" i="51"/>
  <c r="X82" i="51"/>
  <c r="T82" i="51"/>
  <c r="Z82" i="51" s="1"/>
  <c r="P82" i="51"/>
  <c r="H82" i="51"/>
  <c r="N82" i="51" s="1"/>
  <c r="D82" i="51"/>
  <c r="L82" i="51" s="1"/>
  <c r="B82" i="51"/>
  <c r="Z81" i="51"/>
  <c r="X81" i="51"/>
  <c r="N81" i="51"/>
  <c r="L81" i="51"/>
  <c r="B81" i="51"/>
  <c r="Z80" i="51"/>
  <c r="X80" i="51"/>
  <c r="N80" i="51"/>
  <c r="L80" i="51"/>
  <c r="B80" i="51"/>
  <c r="X79" i="51"/>
  <c r="T79" i="51"/>
  <c r="Z79" i="51" s="1"/>
  <c r="P79" i="51"/>
  <c r="H79" i="51"/>
  <c r="N79" i="51" s="1"/>
  <c r="D79" i="51"/>
  <c r="B79" i="51"/>
  <c r="X78" i="51"/>
  <c r="Z78" i="51" s="1"/>
  <c r="L78" i="51"/>
  <c r="N78" i="51" s="1"/>
  <c r="B78" i="51"/>
  <c r="Z77" i="51"/>
  <c r="T77" i="51"/>
  <c r="P77" i="51"/>
  <c r="X77" i="51" s="1"/>
  <c r="H77" i="51"/>
  <c r="D77" i="51"/>
  <c r="L77" i="51" s="1"/>
  <c r="B77" i="51"/>
  <c r="X76" i="51"/>
  <c r="Z76" i="51" s="1"/>
  <c r="N76" i="51"/>
  <c r="L76" i="51"/>
  <c r="B76" i="51"/>
  <c r="X75" i="51"/>
  <c r="Z75" i="51" s="1"/>
  <c r="T75" i="51"/>
  <c r="P75" i="51"/>
  <c r="L75" i="51"/>
  <c r="H75" i="51"/>
  <c r="N75" i="51" s="1"/>
  <c r="D75" i="51"/>
  <c r="B75" i="51"/>
  <c r="Z74" i="51"/>
  <c r="X74" i="51"/>
  <c r="L74" i="51"/>
  <c r="N74" i="51" s="1"/>
  <c r="B74" i="51"/>
  <c r="T73" i="51"/>
  <c r="P73" i="51"/>
  <c r="H73" i="51"/>
  <c r="N73" i="51" s="1"/>
  <c r="D73" i="51"/>
  <c r="L73" i="51" s="1"/>
  <c r="B73" i="51"/>
  <c r="X72" i="51"/>
  <c r="Z72" i="51" s="1"/>
  <c r="L72" i="51"/>
  <c r="N72" i="51" s="1"/>
  <c r="B72" i="51"/>
  <c r="X71" i="51"/>
  <c r="Z71" i="51" s="1"/>
  <c r="L71" i="51"/>
  <c r="N71" i="51" s="1"/>
  <c r="B71" i="51"/>
  <c r="X70" i="51"/>
  <c r="Z70" i="51" s="1"/>
  <c r="N70" i="51"/>
  <c r="L70" i="51"/>
  <c r="B70" i="51"/>
  <c r="Z69" i="51"/>
  <c r="X69" i="51"/>
  <c r="N69" i="51"/>
  <c r="L69" i="51"/>
  <c r="B69" i="51"/>
  <c r="X68" i="51"/>
  <c r="Z68" i="51" s="1"/>
  <c r="L68" i="51"/>
  <c r="N68" i="51" s="1"/>
  <c r="B68" i="51"/>
  <c r="T67" i="51"/>
  <c r="P67" i="51"/>
  <c r="X67" i="51" s="1"/>
  <c r="N67" i="51"/>
  <c r="H67" i="51"/>
  <c r="D67" i="51"/>
  <c r="L67" i="51" s="1"/>
  <c r="B67" i="51"/>
  <c r="Z66" i="51"/>
  <c r="X66" i="51"/>
  <c r="L66" i="51"/>
  <c r="N66" i="51" s="1"/>
  <c r="B66" i="51"/>
  <c r="X65" i="51"/>
  <c r="Z65" i="51" s="1"/>
  <c r="N65" i="51"/>
  <c r="L65" i="51"/>
  <c r="F65" i="51"/>
  <c r="B65" i="51"/>
  <c r="X64" i="51"/>
  <c r="Z64" i="51" s="1"/>
  <c r="N64" i="51"/>
  <c r="L64" i="51"/>
  <c r="B64" i="51"/>
  <c r="X63" i="51"/>
  <c r="Z63" i="51" s="1"/>
  <c r="V63" i="51"/>
  <c r="N63" i="51"/>
  <c r="L63" i="51"/>
  <c r="B63" i="51"/>
  <c r="Z62" i="51"/>
  <c r="X62" i="51"/>
  <c r="N62" i="51"/>
  <c r="L62" i="51"/>
  <c r="B62" i="51"/>
  <c r="X61" i="51"/>
  <c r="Z61" i="51" s="1"/>
  <c r="N61" i="51"/>
  <c r="L61" i="51"/>
  <c r="F61" i="51"/>
  <c r="B61" i="51"/>
  <c r="X60" i="51"/>
  <c r="Z60" i="51" s="1"/>
  <c r="N60" i="51"/>
  <c r="L60" i="51"/>
  <c r="B60" i="51"/>
  <c r="X59" i="51"/>
  <c r="Z59" i="51" s="1"/>
  <c r="N59" i="51"/>
  <c r="L59" i="51"/>
  <c r="B59" i="51"/>
  <c r="Z58" i="51"/>
  <c r="X58" i="51"/>
  <c r="N58" i="51"/>
  <c r="L58" i="51"/>
  <c r="B58" i="51"/>
  <c r="X57" i="51"/>
  <c r="T57" i="51"/>
  <c r="Z57" i="51" s="1"/>
  <c r="P57" i="51"/>
  <c r="L57" i="51"/>
  <c r="N57" i="51" s="1"/>
  <c r="H57" i="51"/>
  <c r="D57" i="51"/>
  <c r="B57" i="51"/>
  <c r="T56" i="51"/>
  <c r="P56" i="51"/>
  <c r="X56" i="51" s="1"/>
  <c r="Z56" i="51" s="1"/>
  <c r="L56" i="51"/>
  <c r="N56" i="51" s="1"/>
  <c r="H56" i="51"/>
  <c r="D56" i="51"/>
  <c r="Z52" i="51"/>
  <c r="X52" i="51"/>
  <c r="N52" i="51"/>
  <c r="L52" i="51"/>
  <c r="F52" i="51"/>
  <c r="B52" i="51"/>
  <c r="Z51" i="51"/>
  <c r="X51" i="51"/>
  <c r="L51" i="51"/>
  <c r="N51" i="51" s="1"/>
  <c r="B51" i="51"/>
  <c r="Z50" i="51"/>
  <c r="X50" i="51"/>
  <c r="N50" i="51"/>
  <c r="L50" i="51"/>
  <c r="B50" i="51"/>
  <c r="Z49" i="51"/>
  <c r="X49" i="51"/>
  <c r="N49" i="51"/>
  <c r="L49" i="51"/>
  <c r="B49" i="51"/>
  <c r="Z48" i="51"/>
  <c r="X48" i="51"/>
  <c r="L48" i="51"/>
  <c r="N48" i="51" s="1"/>
  <c r="F48" i="51"/>
  <c r="B48" i="51"/>
  <c r="Z47" i="51"/>
  <c r="X47" i="51"/>
  <c r="L47" i="51"/>
  <c r="N47" i="51" s="1"/>
  <c r="B47" i="51"/>
  <c r="X46" i="51"/>
  <c r="Z46" i="51" s="1"/>
  <c r="N46" i="51"/>
  <c r="L46" i="51"/>
  <c r="B46" i="51"/>
  <c r="Z45" i="51"/>
  <c r="X45" i="51"/>
  <c r="N45" i="51"/>
  <c r="L45" i="51"/>
  <c r="B45" i="51"/>
  <c r="Z44" i="51"/>
  <c r="X44" i="51"/>
  <c r="L44" i="51"/>
  <c r="N44" i="51" s="1"/>
  <c r="F44" i="51"/>
  <c r="B44" i="51"/>
  <c r="Z43" i="51"/>
  <c r="X43" i="51"/>
  <c r="N43" i="51"/>
  <c r="L43" i="51"/>
  <c r="B43" i="51"/>
  <c r="X42" i="51"/>
  <c r="Z42" i="51" s="1"/>
  <c r="L42" i="51"/>
  <c r="N42" i="51" s="1"/>
  <c r="B42" i="51"/>
  <c r="Z41" i="51"/>
  <c r="X41" i="51"/>
  <c r="N41" i="51"/>
  <c r="L41" i="51"/>
  <c r="B41" i="51"/>
  <c r="Z40" i="51"/>
  <c r="X40" i="51"/>
  <c r="L40" i="51"/>
  <c r="N40" i="51" s="1"/>
  <c r="F40" i="51"/>
  <c r="B40" i="51"/>
  <c r="T39" i="51"/>
  <c r="Z39" i="51" s="1"/>
  <c r="P39" i="51"/>
  <c r="X39" i="51" s="1"/>
  <c r="H39" i="51"/>
  <c r="D39" i="51"/>
  <c r="L39" i="51" s="1"/>
  <c r="T37" i="51"/>
  <c r="P37" i="51"/>
  <c r="X37" i="51" s="1"/>
  <c r="Z37" i="51" s="1"/>
  <c r="L37" i="51"/>
  <c r="H37" i="51"/>
  <c r="N37" i="51" s="1"/>
  <c r="D37" i="51"/>
  <c r="B37" i="51"/>
  <c r="X36" i="51"/>
  <c r="Z36" i="51" s="1"/>
  <c r="T36" i="51"/>
  <c r="P36" i="51"/>
  <c r="H36" i="51"/>
  <c r="N36" i="51" s="1"/>
  <c r="D36" i="51"/>
  <c r="B36" i="51"/>
  <c r="T35" i="51"/>
  <c r="P35" i="51"/>
  <c r="X35" i="51" s="1"/>
  <c r="N35" i="51"/>
  <c r="H35" i="51"/>
  <c r="L35" i="51" s="1"/>
  <c r="D35" i="51"/>
  <c r="B35" i="51"/>
  <c r="T34" i="51"/>
  <c r="P34" i="51"/>
  <c r="X34" i="51" s="1"/>
  <c r="Z34" i="51" s="1"/>
  <c r="H34" i="51"/>
  <c r="N34" i="51" s="1"/>
  <c r="D34" i="51"/>
  <c r="L34" i="51" s="1"/>
  <c r="B34" i="51"/>
  <c r="T33" i="51"/>
  <c r="P33" i="51"/>
  <c r="X33" i="51" s="1"/>
  <c r="L33" i="51"/>
  <c r="H33" i="51"/>
  <c r="N33" i="51" s="1"/>
  <c r="D33" i="51"/>
  <c r="B33" i="51"/>
  <c r="X32" i="51"/>
  <c r="Z32" i="51" s="1"/>
  <c r="T32" i="51"/>
  <c r="P32" i="51"/>
  <c r="H32" i="51"/>
  <c r="N32" i="51" s="1"/>
  <c r="D32" i="51"/>
  <c r="B32" i="51"/>
  <c r="T31" i="51"/>
  <c r="Z31" i="51" s="1"/>
  <c r="P31" i="51"/>
  <c r="X31" i="51" s="1"/>
  <c r="N31" i="51"/>
  <c r="H31" i="51"/>
  <c r="L31" i="51" s="1"/>
  <c r="D31" i="51"/>
  <c r="B31" i="51"/>
  <c r="T30" i="51"/>
  <c r="P30" i="51"/>
  <c r="X30" i="51" s="1"/>
  <c r="Z30" i="51" s="1"/>
  <c r="H30" i="51"/>
  <c r="D30" i="51"/>
  <c r="L30" i="51" s="1"/>
  <c r="B30" i="51"/>
  <c r="T29" i="51"/>
  <c r="P29" i="51"/>
  <c r="X29" i="51" s="1"/>
  <c r="L29" i="51"/>
  <c r="H29" i="51"/>
  <c r="N29" i="51" s="1"/>
  <c r="D29" i="51"/>
  <c r="B29" i="51"/>
  <c r="X28" i="51"/>
  <c r="Z28" i="51" s="1"/>
  <c r="T28" i="51"/>
  <c r="P28" i="51"/>
  <c r="H28" i="51"/>
  <c r="D28" i="51"/>
  <c r="B28" i="51"/>
  <c r="T27" i="51"/>
  <c r="P27" i="51"/>
  <c r="X27" i="51" s="1"/>
  <c r="N27" i="51"/>
  <c r="H27" i="51"/>
  <c r="L27" i="51" s="1"/>
  <c r="D27" i="51"/>
  <c r="B27" i="51"/>
  <c r="T26" i="51"/>
  <c r="P26" i="51"/>
  <c r="X26" i="51" s="1"/>
  <c r="Z26" i="51" s="1"/>
  <c r="H26" i="51"/>
  <c r="D26" i="51"/>
  <c r="L26" i="51" s="1"/>
  <c r="B26" i="51"/>
  <c r="T25" i="51"/>
  <c r="P25" i="51"/>
  <c r="X25" i="51" s="1"/>
  <c r="L25" i="51"/>
  <c r="H25" i="51"/>
  <c r="N25" i="51" s="1"/>
  <c r="D25" i="51"/>
  <c r="B25" i="51"/>
  <c r="X24" i="51"/>
  <c r="Z24" i="51" s="1"/>
  <c r="T24" i="51"/>
  <c r="P24" i="51"/>
  <c r="H24" i="51"/>
  <c r="N24" i="51" s="1"/>
  <c r="D24" i="51"/>
  <c r="B24" i="51"/>
  <c r="T23" i="51"/>
  <c r="P23" i="51"/>
  <c r="X23" i="51" s="1"/>
  <c r="H23" i="51"/>
  <c r="L23" i="51" s="1"/>
  <c r="N23" i="51" s="1"/>
  <c r="D23" i="51"/>
  <c r="B23" i="51"/>
  <c r="T22" i="51"/>
  <c r="P22" i="51"/>
  <c r="X22" i="51" s="1"/>
  <c r="Z22" i="51" s="1"/>
  <c r="H22" i="51"/>
  <c r="D22" i="51"/>
  <c r="L22" i="51" s="1"/>
  <c r="B22" i="51"/>
  <c r="T21" i="51"/>
  <c r="P21" i="51"/>
  <c r="X21" i="51" s="1"/>
  <c r="L21" i="51"/>
  <c r="H21" i="51"/>
  <c r="N21" i="51" s="1"/>
  <c r="D21" i="51"/>
  <c r="B21" i="51"/>
  <c r="X20" i="51"/>
  <c r="Z20" i="51" s="1"/>
  <c r="T20" i="51"/>
  <c r="P20" i="51"/>
  <c r="H20" i="51"/>
  <c r="N20" i="51" s="1"/>
  <c r="D20" i="51"/>
  <c r="B20" i="51"/>
  <c r="T19" i="51"/>
  <c r="Z19" i="51" s="1"/>
  <c r="P19" i="51"/>
  <c r="X19" i="51" s="1"/>
  <c r="H19" i="51"/>
  <c r="L19" i="51" s="1"/>
  <c r="N19" i="51" s="1"/>
  <c r="D19" i="51"/>
  <c r="B19" i="51"/>
  <c r="T18" i="51"/>
  <c r="P18" i="51"/>
  <c r="X18" i="51" s="1"/>
  <c r="Z18" i="51" s="1"/>
  <c r="H18" i="51"/>
  <c r="N18" i="51" s="1"/>
  <c r="D18" i="51"/>
  <c r="L18" i="51" s="1"/>
  <c r="B18" i="51"/>
  <c r="T17" i="51"/>
  <c r="P17" i="51"/>
  <c r="X17" i="51" s="1"/>
  <c r="L17" i="51"/>
  <c r="H17" i="51"/>
  <c r="N17" i="51" s="1"/>
  <c r="D17" i="51"/>
  <c r="B17" i="51"/>
  <c r="X16" i="51"/>
  <c r="Z16" i="51" s="1"/>
  <c r="T16" i="51"/>
  <c r="P16" i="51"/>
  <c r="H16" i="51"/>
  <c r="D16" i="51"/>
  <c r="B16" i="51"/>
  <c r="T15" i="51"/>
  <c r="Z15" i="51" s="1"/>
  <c r="P15" i="51"/>
  <c r="X15" i="51" s="1"/>
  <c r="H15" i="51"/>
  <c r="L15" i="51" s="1"/>
  <c r="N15" i="51" s="1"/>
  <c r="D15" i="51"/>
  <c r="B15" i="51"/>
  <c r="T14" i="51"/>
  <c r="P14" i="51"/>
  <c r="X14" i="51" s="1"/>
  <c r="Z14" i="51" s="1"/>
  <c r="H14" i="51"/>
  <c r="D14" i="51"/>
  <c r="L14" i="51" s="1"/>
  <c r="B14" i="51"/>
  <c r="T13" i="51"/>
  <c r="T12" i="51" s="1"/>
  <c r="P13" i="51"/>
  <c r="X13" i="51" s="1"/>
  <c r="L13" i="51"/>
  <c r="H13" i="51"/>
  <c r="N13" i="51" s="1"/>
  <c r="D13" i="51"/>
  <c r="D12" i="51" s="1"/>
  <c r="B13" i="51"/>
  <c r="D4" i="51"/>
  <c r="X65" i="48"/>
  <c r="Z65" i="48" s="1"/>
  <c r="V65" i="48"/>
  <c r="N65" i="48"/>
  <c r="L65" i="48"/>
  <c r="F65" i="48"/>
  <c r="T61" i="48"/>
  <c r="P61" i="48"/>
  <c r="H61" i="48"/>
  <c r="D61" i="48"/>
  <c r="D60" i="48" s="1"/>
  <c r="B61" i="48"/>
  <c r="T60" i="48"/>
  <c r="H60" i="48"/>
  <c r="Z58" i="48"/>
  <c r="X58" i="48"/>
  <c r="L58" i="48"/>
  <c r="N58" i="48" s="1"/>
  <c r="B58" i="48"/>
  <c r="X57" i="48"/>
  <c r="T57" i="48"/>
  <c r="Z57" i="48" s="1"/>
  <c r="P57" i="48"/>
  <c r="L57" i="48"/>
  <c r="N57" i="48" s="1"/>
  <c r="H57" i="48"/>
  <c r="D57" i="48"/>
  <c r="B57" i="48"/>
  <c r="Z56" i="48"/>
  <c r="X56" i="48"/>
  <c r="N56" i="48"/>
  <c r="L56" i="48"/>
  <c r="F56" i="48"/>
  <c r="B56" i="48"/>
  <c r="Z55" i="48"/>
  <c r="X55" i="48"/>
  <c r="L55" i="48"/>
  <c r="N55" i="48" s="1"/>
  <c r="B55" i="48"/>
  <c r="X54" i="48"/>
  <c r="Z54" i="48" s="1"/>
  <c r="N54" i="48"/>
  <c r="L54" i="48"/>
  <c r="B54" i="48"/>
  <c r="T53" i="48"/>
  <c r="P53" i="48"/>
  <c r="X53" i="48" s="1"/>
  <c r="H53" i="48"/>
  <c r="D53" i="48"/>
  <c r="L53" i="48" s="1"/>
  <c r="B53" i="48"/>
  <c r="X52" i="48"/>
  <c r="Z52" i="48" s="1"/>
  <c r="R52" i="48"/>
  <c r="N52" i="48"/>
  <c r="L52" i="48"/>
  <c r="B52" i="48"/>
  <c r="Z51" i="48"/>
  <c r="X51" i="48"/>
  <c r="N51" i="48"/>
  <c r="L51" i="48"/>
  <c r="B51" i="48"/>
  <c r="X50" i="48"/>
  <c r="Z50" i="48" s="1"/>
  <c r="N50" i="48"/>
  <c r="L50" i="48"/>
  <c r="B50" i="48"/>
  <c r="Z49" i="48"/>
  <c r="T49" i="48"/>
  <c r="P49" i="48"/>
  <c r="X49" i="48" s="1"/>
  <c r="H49" i="48"/>
  <c r="D49" i="48"/>
  <c r="L49" i="48" s="1"/>
  <c r="B49" i="48"/>
  <c r="Z48" i="48"/>
  <c r="X48" i="48"/>
  <c r="N48" i="48"/>
  <c r="L48" i="48"/>
  <c r="B48" i="48"/>
  <c r="X47" i="48"/>
  <c r="Z47" i="48" s="1"/>
  <c r="V47" i="48"/>
  <c r="T47" i="48"/>
  <c r="P47" i="48"/>
  <c r="L47" i="48"/>
  <c r="H47" i="48"/>
  <c r="N47" i="48" s="1"/>
  <c r="D47" i="48"/>
  <c r="B47" i="48"/>
  <c r="Z46" i="48"/>
  <c r="X46" i="48"/>
  <c r="L46" i="48"/>
  <c r="N46" i="48" s="1"/>
  <c r="B46" i="48"/>
  <c r="T45" i="48"/>
  <c r="R45" i="48"/>
  <c r="P45" i="48"/>
  <c r="X45" i="48" s="1"/>
  <c r="H45" i="48"/>
  <c r="D45" i="48"/>
  <c r="L45" i="48" s="1"/>
  <c r="B45" i="48"/>
  <c r="Z44" i="48"/>
  <c r="X44" i="48"/>
  <c r="N44" i="48"/>
  <c r="L44" i="48"/>
  <c r="B44" i="48"/>
  <c r="Z43" i="48"/>
  <c r="X43" i="48"/>
  <c r="N43" i="48"/>
  <c r="L43" i="48"/>
  <c r="B43" i="48"/>
  <c r="X42" i="48"/>
  <c r="T42" i="48"/>
  <c r="Z42" i="48" s="1"/>
  <c r="P42" i="48"/>
  <c r="H42" i="48"/>
  <c r="D42" i="48"/>
  <c r="B42" i="48"/>
  <c r="X41" i="48"/>
  <c r="Z41" i="48" s="1"/>
  <c r="N41" i="48"/>
  <c r="L41" i="48"/>
  <c r="F41" i="48"/>
  <c r="B41" i="48"/>
  <c r="T40" i="48"/>
  <c r="P40" i="48"/>
  <c r="N40" i="48"/>
  <c r="H40" i="48"/>
  <c r="D40" i="48"/>
  <c r="L40" i="48" s="1"/>
  <c r="B40" i="48"/>
  <c r="Z39" i="48"/>
  <c r="X39" i="48"/>
  <c r="L39" i="48"/>
  <c r="N39" i="48" s="1"/>
  <c r="B39" i="48"/>
  <c r="Z38" i="48"/>
  <c r="X38" i="48"/>
  <c r="T38" i="48"/>
  <c r="P38" i="48"/>
  <c r="H38" i="48"/>
  <c r="D38" i="48"/>
  <c r="L38" i="48" s="1"/>
  <c r="N38" i="48" s="1"/>
  <c r="B38" i="48"/>
  <c r="Z37" i="48"/>
  <c r="X37" i="48"/>
  <c r="N37" i="48"/>
  <c r="L37" i="48"/>
  <c r="F37" i="48"/>
  <c r="B37" i="48"/>
  <c r="T36" i="48"/>
  <c r="P36" i="48"/>
  <c r="L36" i="48"/>
  <c r="H36" i="48"/>
  <c r="N36" i="48" s="1"/>
  <c r="F36" i="48"/>
  <c r="D36" i="48"/>
  <c r="B36" i="48"/>
  <c r="X35" i="48"/>
  <c r="Z35" i="48" s="1"/>
  <c r="V35" i="48"/>
  <c r="N35" i="48"/>
  <c r="L35" i="48"/>
  <c r="F35" i="48"/>
  <c r="B35" i="48"/>
  <c r="Z34" i="48"/>
  <c r="X34" i="48"/>
  <c r="N34" i="48"/>
  <c r="L34" i="48"/>
  <c r="B34" i="48"/>
  <c r="X33" i="48"/>
  <c r="Z33" i="48" s="1"/>
  <c r="N33" i="48"/>
  <c r="L33" i="48"/>
  <c r="F33" i="48"/>
  <c r="B33" i="48"/>
  <c r="X32" i="48"/>
  <c r="Z32" i="48" s="1"/>
  <c r="N32" i="48"/>
  <c r="L32" i="48"/>
  <c r="B32" i="48"/>
  <c r="Z31" i="48"/>
  <c r="X31" i="48"/>
  <c r="N31" i="48"/>
  <c r="L31" i="48"/>
  <c r="F31" i="48"/>
  <c r="B31" i="48"/>
  <c r="T30" i="48"/>
  <c r="P30" i="48"/>
  <c r="X30" i="48" s="1"/>
  <c r="Z30" i="48" s="1"/>
  <c r="H30" i="48"/>
  <c r="F30" i="48"/>
  <c r="D30" i="48"/>
  <c r="B30" i="48"/>
  <c r="X29" i="48"/>
  <c r="Z29" i="48" s="1"/>
  <c r="R29" i="48"/>
  <c r="N29" i="48"/>
  <c r="L29" i="48"/>
  <c r="B29" i="48"/>
  <c r="Z28" i="48"/>
  <c r="X28" i="48"/>
  <c r="L28" i="48"/>
  <c r="N28" i="48" s="1"/>
  <c r="F28" i="48"/>
  <c r="B28" i="48"/>
  <c r="Z27" i="48"/>
  <c r="X27" i="48"/>
  <c r="R27" i="48"/>
  <c r="L27" i="48"/>
  <c r="N27" i="48" s="1"/>
  <c r="B27" i="48"/>
  <c r="Z26" i="48"/>
  <c r="X26" i="48"/>
  <c r="N26" i="48"/>
  <c r="L26" i="48"/>
  <c r="B26" i="48"/>
  <c r="X25" i="48"/>
  <c r="Z25" i="48" s="1"/>
  <c r="N25" i="48"/>
  <c r="L25" i="48"/>
  <c r="B25" i="48"/>
  <c r="Z24" i="48"/>
  <c r="X24" i="48"/>
  <c r="L24" i="48"/>
  <c r="N24" i="48" s="1"/>
  <c r="F24" i="48"/>
  <c r="B24" i="48"/>
  <c r="Z23" i="48"/>
  <c r="X23" i="48"/>
  <c r="L23" i="48"/>
  <c r="N23" i="48" s="1"/>
  <c r="B23" i="48"/>
  <c r="X22" i="48"/>
  <c r="Z22" i="48" s="1"/>
  <c r="L22" i="48"/>
  <c r="N22" i="48" s="1"/>
  <c r="B22" i="48"/>
  <c r="X21" i="48"/>
  <c r="Z21" i="48" s="1"/>
  <c r="R21" i="48"/>
  <c r="N21" i="48"/>
  <c r="L21" i="48"/>
  <c r="B21" i="48"/>
  <c r="T20" i="48"/>
  <c r="P20" i="48"/>
  <c r="X20" i="48" s="1"/>
  <c r="Z20" i="48" s="1"/>
  <c r="N20" i="48"/>
  <c r="L20" i="48"/>
  <c r="H20" i="48"/>
  <c r="D20" i="48"/>
  <c r="B20" i="48"/>
  <c r="T19" i="48"/>
  <c r="P19" i="48"/>
  <c r="X19" i="48" s="1"/>
  <c r="H19" i="48"/>
  <c r="D19" i="48"/>
  <c r="P17" i="48"/>
  <c r="D17" i="48"/>
  <c r="T15" i="48"/>
  <c r="Z15" i="48" s="1"/>
  <c r="P15" i="48"/>
  <c r="X15" i="48" s="1"/>
  <c r="N15" i="48"/>
  <c r="H15" i="48"/>
  <c r="D15" i="48"/>
  <c r="X13" i="48"/>
  <c r="T13" i="48"/>
  <c r="Z13" i="48" s="1"/>
  <c r="P13" i="48"/>
  <c r="P12" i="48" s="1"/>
  <c r="R53" i="48" s="1"/>
  <c r="H13" i="48"/>
  <c r="L13" i="48" s="1"/>
  <c r="D13" i="48"/>
  <c r="B13" i="48"/>
  <c r="T12" i="48"/>
  <c r="V36" i="48" s="1"/>
  <c r="D12" i="48"/>
  <c r="F29" i="48" s="1"/>
  <c r="D4" i="48"/>
  <c r="X96" i="45"/>
  <c r="Z96" i="45" s="1"/>
  <c r="L96" i="45"/>
  <c r="N96" i="45" s="1"/>
  <c r="Z92" i="45"/>
  <c r="X92" i="45"/>
  <c r="T92" i="45"/>
  <c r="P92" i="45"/>
  <c r="L92" i="45"/>
  <c r="H92" i="45"/>
  <c r="N92" i="45" s="1"/>
  <c r="D92" i="45"/>
  <c r="X90" i="45"/>
  <c r="Z90" i="45" s="1"/>
  <c r="L90" i="45"/>
  <c r="N90" i="45" s="1"/>
  <c r="B90" i="45"/>
  <c r="T89" i="45"/>
  <c r="P89" i="45"/>
  <c r="X89" i="45" s="1"/>
  <c r="Z89" i="45" s="1"/>
  <c r="H89" i="45"/>
  <c r="N89" i="45" s="1"/>
  <c r="D89" i="45"/>
  <c r="L89" i="45" s="1"/>
  <c r="B89" i="45"/>
  <c r="X88" i="45"/>
  <c r="Z88" i="45" s="1"/>
  <c r="N88" i="45"/>
  <c r="L88" i="45"/>
  <c r="B88" i="45"/>
  <c r="T87" i="45"/>
  <c r="P87" i="45"/>
  <c r="X87" i="45" s="1"/>
  <c r="Z87" i="45" s="1"/>
  <c r="L87" i="45"/>
  <c r="N87" i="45" s="1"/>
  <c r="H87" i="45"/>
  <c r="D87" i="45"/>
  <c r="B87" i="45"/>
  <c r="X86" i="45"/>
  <c r="Z86" i="45" s="1"/>
  <c r="L86" i="45"/>
  <c r="N86" i="45" s="1"/>
  <c r="B86" i="45"/>
  <c r="X85" i="45"/>
  <c r="T85" i="45"/>
  <c r="Z85" i="45" s="1"/>
  <c r="P85" i="45"/>
  <c r="H85" i="45"/>
  <c r="D85" i="45"/>
  <c r="B85" i="45"/>
  <c r="X84" i="45"/>
  <c r="Z84" i="45" s="1"/>
  <c r="N84" i="45"/>
  <c r="L84" i="45"/>
  <c r="B84" i="45"/>
  <c r="X83" i="45"/>
  <c r="Z83" i="45" s="1"/>
  <c r="N83" i="45"/>
  <c r="L83" i="45"/>
  <c r="B83" i="45"/>
  <c r="X82" i="45"/>
  <c r="Z82" i="45" s="1"/>
  <c r="N82" i="45"/>
  <c r="L82" i="45"/>
  <c r="B82" i="45"/>
  <c r="Z81" i="45"/>
  <c r="X81" i="45"/>
  <c r="L81" i="45"/>
  <c r="N81" i="45" s="1"/>
  <c r="B81" i="45"/>
  <c r="X80" i="45"/>
  <c r="Z80" i="45" s="1"/>
  <c r="L80" i="45"/>
  <c r="N80" i="45" s="1"/>
  <c r="B80" i="45"/>
  <c r="X79" i="45"/>
  <c r="Z79" i="45" s="1"/>
  <c r="N79" i="45"/>
  <c r="L79" i="45"/>
  <c r="B79" i="45"/>
  <c r="X78" i="45"/>
  <c r="Z78" i="45" s="1"/>
  <c r="L78" i="45"/>
  <c r="N78" i="45" s="1"/>
  <c r="B78" i="45"/>
  <c r="Z77" i="45"/>
  <c r="X77" i="45"/>
  <c r="N77" i="45"/>
  <c r="L77" i="45"/>
  <c r="B77" i="45"/>
  <c r="X76" i="45"/>
  <c r="Z76" i="45" s="1"/>
  <c r="N76" i="45"/>
  <c r="L76" i="45"/>
  <c r="B76" i="45"/>
  <c r="T75" i="45"/>
  <c r="P75" i="45"/>
  <c r="X75" i="45" s="1"/>
  <c r="N75" i="45"/>
  <c r="H75" i="45"/>
  <c r="D75" i="45"/>
  <c r="L75" i="45" s="1"/>
  <c r="B75" i="45"/>
  <c r="Z74" i="45"/>
  <c r="X74" i="45"/>
  <c r="N74" i="45"/>
  <c r="L74" i="45"/>
  <c r="B74" i="45"/>
  <c r="Z73" i="45"/>
  <c r="X73" i="45"/>
  <c r="T73" i="45"/>
  <c r="P73" i="45"/>
  <c r="N73" i="45"/>
  <c r="L73" i="45"/>
  <c r="H73" i="45"/>
  <c r="D73" i="45"/>
  <c r="B73" i="45"/>
  <c r="Z72" i="45"/>
  <c r="X72" i="45"/>
  <c r="L72" i="45"/>
  <c r="N72" i="45" s="1"/>
  <c r="B72" i="45"/>
  <c r="X71" i="45"/>
  <c r="Z71" i="45" s="1"/>
  <c r="L71" i="45"/>
  <c r="N71" i="45" s="1"/>
  <c r="B71" i="45"/>
  <c r="Z70" i="45"/>
  <c r="X70" i="45"/>
  <c r="N70" i="45"/>
  <c r="L70" i="45"/>
  <c r="B70" i="45"/>
  <c r="X69" i="45"/>
  <c r="Z69" i="45" s="1"/>
  <c r="N69" i="45"/>
  <c r="L69" i="45"/>
  <c r="B69" i="45"/>
  <c r="T68" i="45"/>
  <c r="P68" i="45"/>
  <c r="X68" i="45" s="1"/>
  <c r="Z68" i="45" s="1"/>
  <c r="H68" i="45"/>
  <c r="D68" i="45"/>
  <c r="L68" i="45" s="1"/>
  <c r="N68" i="45" s="1"/>
  <c r="B68" i="45"/>
  <c r="X67" i="45"/>
  <c r="Z67" i="45" s="1"/>
  <c r="N67" i="45"/>
  <c r="L67" i="45"/>
  <c r="B67" i="45"/>
  <c r="X66" i="45"/>
  <c r="Z66" i="45" s="1"/>
  <c r="L66" i="45"/>
  <c r="N66" i="45" s="1"/>
  <c r="B66" i="45"/>
  <c r="Z65" i="45"/>
  <c r="X65" i="45"/>
  <c r="N65" i="45"/>
  <c r="L65" i="45"/>
  <c r="B65" i="45"/>
  <c r="T64" i="45"/>
  <c r="P64" i="45"/>
  <c r="L64" i="45"/>
  <c r="N64" i="45" s="1"/>
  <c r="H64" i="45"/>
  <c r="D64" i="45"/>
  <c r="B64" i="45"/>
  <c r="Z63" i="45"/>
  <c r="X63" i="45"/>
  <c r="N63" i="45"/>
  <c r="L63" i="45"/>
  <c r="B63" i="45"/>
  <c r="T62" i="45"/>
  <c r="P62" i="45"/>
  <c r="H62" i="45"/>
  <c r="D62" i="45"/>
  <c r="B62" i="45"/>
  <c r="X61" i="45"/>
  <c r="Z61" i="45" s="1"/>
  <c r="N61" i="45"/>
  <c r="L61" i="45"/>
  <c r="B61" i="45"/>
  <c r="Z60" i="45"/>
  <c r="T60" i="45"/>
  <c r="P60" i="45"/>
  <c r="X60" i="45" s="1"/>
  <c r="H60" i="45"/>
  <c r="D60" i="45"/>
  <c r="L60" i="45" s="1"/>
  <c r="N60" i="45" s="1"/>
  <c r="B60" i="45"/>
  <c r="Z59" i="45"/>
  <c r="X59" i="45"/>
  <c r="N59" i="45"/>
  <c r="L59" i="45"/>
  <c r="B59" i="45"/>
  <c r="X58" i="45"/>
  <c r="T58" i="45"/>
  <c r="P58" i="45"/>
  <c r="H58" i="45"/>
  <c r="D58" i="45"/>
  <c r="B58" i="45"/>
  <c r="X57" i="45"/>
  <c r="Z57" i="45" s="1"/>
  <c r="L57" i="45"/>
  <c r="N57" i="45" s="1"/>
  <c r="B57" i="45"/>
  <c r="T56" i="45"/>
  <c r="P56" i="45"/>
  <c r="H56" i="45"/>
  <c r="D56" i="45"/>
  <c r="L56" i="45" s="1"/>
  <c r="B56" i="45"/>
  <c r="Z55" i="45"/>
  <c r="X55" i="45"/>
  <c r="N55" i="45"/>
  <c r="L55" i="45"/>
  <c r="B55" i="45"/>
  <c r="T54" i="45"/>
  <c r="P54" i="45"/>
  <c r="X54" i="45" s="1"/>
  <c r="N54" i="45"/>
  <c r="H54" i="45"/>
  <c r="D54" i="45"/>
  <c r="L54" i="45" s="1"/>
  <c r="B54" i="45"/>
  <c r="Z53" i="45"/>
  <c r="X53" i="45"/>
  <c r="L53" i="45"/>
  <c r="N53" i="45" s="1"/>
  <c r="B53" i="45"/>
  <c r="T52" i="45"/>
  <c r="X52" i="45" s="1"/>
  <c r="P52" i="45"/>
  <c r="L52" i="45"/>
  <c r="H52" i="45"/>
  <c r="D52" i="45"/>
  <c r="B52" i="45"/>
  <c r="Z51" i="45"/>
  <c r="X51" i="45"/>
  <c r="N51" i="45"/>
  <c r="L51" i="45"/>
  <c r="B51" i="45"/>
  <c r="T50" i="45"/>
  <c r="Z50" i="45" s="1"/>
  <c r="P50" i="45"/>
  <c r="H50" i="45"/>
  <c r="D50" i="45"/>
  <c r="B50" i="45"/>
  <c r="X49" i="45"/>
  <c r="Z49" i="45" s="1"/>
  <c r="N49" i="45"/>
  <c r="L49" i="45"/>
  <c r="B49" i="45"/>
  <c r="Z48" i="45"/>
  <c r="T48" i="45"/>
  <c r="P48" i="45"/>
  <c r="X48" i="45" s="1"/>
  <c r="H48" i="45"/>
  <c r="D48" i="45"/>
  <c r="L48" i="45" s="1"/>
  <c r="B48" i="45"/>
  <c r="Z47" i="45"/>
  <c r="X47" i="45"/>
  <c r="N47" i="45"/>
  <c r="L47" i="45"/>
  <c r="B47" i="45"/>
  <c r="X46" i="45"/>
  <c r="T46" i="45"/>
  <c r="P46" i="45"/>
  <c r="H46" i="45"/>
  <c r="D46" i="45"/>
  <c r="B46" i="45"/>
  <c r="X45" i="45"/>
  <c r="Z45" i="45" s="1"/>
  <c r="N45" i="45"/>
  <c r="L45" i="45"/>
  <c r="B45" i="45"/>
  <c r="T44" i="45"/>
  <c r="P44" i="45"/>
  <c r="H44" i="45"/>
  <c r="N44" i="45" s="1"/>
  <c r="D44" i="45"/>
  <c r="L44" i="45" s="1"/>
  <c r="B44" i="45"/>
  <c r="Z43" i="45"/>
  <c r="X43" i="45"/>
  <c r="N43" i="45"/>
  <c r="L43" i="45"/>
  <c r="B43" i="45"/>
  <c r="X42" i="45"/>
  <c r="Z42" i="45" s="1"/>
  <c r="L42" i="45"/>
  <c r="N42" i="45" s="1"/>
  <c r="B42" i="45"/>
  <c r="X41" i="45"/>
  <c r="Z41" i="45" s="1"/>
  <c r="N41" i="45"/>
  <c r="L41" i="45"/>
  <c r="B41" i="45"/>
  <c r="Z40" i="45"/>
  <c r="X40" i="45"/>
  <c r="L40" i="45"/>
  <c r="N40" i="45" s="1"/>
  <c r="B40" i="45"/>
  <c r="Z39" i="45"/>
  <c r="X39" i="45"/>
  <c r="N39" i="45"/>
  <c r="L39" i="45"/>
  <c r="B39" i="45"/>
  <c r="X38" i="45"/>
  <c r="Z38" i="45" s="1"/>
  <c r="L38" i="45"/>
  <c r="N38" i="45" s="1"/>
  <c r="B38" i="45"/>
  <c r="Z37" i="45"/>
  <c r="X37" i="45"/>
  <c r="N37" i="45"/>
  <c r="L37" i="45"/>
  <c r="B37" i="45"/>
  <c r="T36" i="45"/>
  <c r="P36" i="45"/>
  <c r="H36" i="45"/>
  <c r="D36" i="45"/>
  <c r="L36" i="45" s="1"/>
  <c r="B36" i="45"/>
  <c r="Z35" i="45"/>
  <c r="X35" i="45"/>
  <c r="N35" i="45"/>
  <c r="L35" i="45"/>
  <c r="B35" i="45"/>
  <c r="X34" i="45"/>
  <c r="Z34" i="45" s="1"/>
  <c r="L34" i="45"/>
  <c r="N34" i="45" s="1"/>
  <c r="B34" i="45"/>
  <c r="Z33" i="45"/>
  <c r="X33" i="45"/>
  <c r="N33" i="45"/>
  <c r="L33" i="45"/>
  <c r="B33" i="45"/>
  <c r="X32" i="45"/>
  <c r="Z32" i="45" s="1"/>
  <c r="L32" i="45"/>
  <c r="N32" i="45" s="1"/>
  <c r="B32" i="45"/>
  <c r="Z31" i="45"/>
  <c r="X31" i="45"/>
  <c r="L31" i="45"/>
  <c r="N31" i="45" s="1"/>
  <c r="B31" i="45"/>
  <c r="X30" i="45"/>
  <c r="Z30" i="45" s="1"/>
  <c r="L30" i="45"/>
  <c r="N30" i="45" s="1"/>
  <c r="B30" i="45"/>
  <c r="Z29" i="45"/>
  <c r="X29" i="45"/>
  <c r="L29" i="45"/>
  <c r="N29" i="45" s="1"/>
  <c r="B29" i="45"/>
  <c r="X28" i="45"/>
  <c r="Z28" i="45" s="1"/>
  <c r="L28" i="45"/>
  <c r="N28" i="45" s="1"/>
  <c r="B28" i="45"/>
  <c r="Z27" i="45"/>
  <c r="X27" i="45"/>
  <c r="L27" i="45"/>
  <c r="N27" i="45" s="1"/>
  <c r="B27" i="45"/>
  <c r="T26" i="45"/>
  <c r="P26" i="45"/>
  <c r="L26" i="45"/>
  <c r="H26" i="45"/>
  <c r="N26" i="45" s="1"/>
  <c r="D26" i="45"/>
  <c r="B26" i="45"/>
  <c r="X25" i="45"/>
  <c r="Z25" i="45" s="1"/>
  <c r="T25" i="45"/>
  <c r="P25" i="45"/>
  <c r="L25" i="45"/>
  <c r="N25" i="45" s="1"/>
  <c r="H25" i="45"/>
  <c r="D25" i="45"/>
  <c r="X21" i="45"/>
  <c r="Z21" i="45" s="1"/>
  <c r="L21" i="45"/>
  <c r="N21" i="45" s="1"/>
  <c r="B21" i="45"/>
  <c r="Z20" i="45"/>
  <c r="X20" i="45"/>
  <c r="L20" i="45"/>
  <c r="N20" i="45" s="1"/>
  <c r="B20" i="45"/>
  <c r="X19" i="45"/>
  <c r="Z19" i="45" s="1"/>
  <c r="T19" i="45"/>
  <c r="P19" i="45"/>
  <c r="L19" i="45"/>
  <c r="N19" i="45" s="1"/>
  <c r="H19" i="45"/>
  <c r="D19" i="45"/>
  <c r="X17" i="45"/>
  <c r="Z17" i="45" s="1"/>
  <c r="T17" i="45"/>
  <c r="P17" i="45"/>
  <c r="H17" i="45"/>
  <c r="N17" i="45" s="1"/>
  <c r="D17" i="45"/>
  <c r="L17" i="45" s="1"/>
  <c r="B17" i="45"/>
  <c r="T16" i="45"/>
  <c r="P16" i="45"/>
  <c r="X16" i="45" s="1"/>
  <c r="H16" i="45"/>
  <c r="L16" i="45" s="1"/>
  <c r="N16" i="45" s="1"/>
  <c r="D16" i="45"/>
  <c r="B16" i="45"/>
  <c r="X15" i="45"/>
  <c r="T15" i="45"/>
  <c r="P15" i="45"/>
  <c r="H15" i="45"/>
  <c r="D15" i="45"/>
  <c r="L15" i="45" s="1"/>
  <c r="B15" i="45"/>
  <c r="T14" i="45"/>
  <c r="P14" i="45"/>
  <c r="P12" i="45" s="1"/>
  <c r="R74" i="45" s="1"/>
  <c r="L14" i="45"/>
  <c r="N14" i="45" s="1"/>
  <c r="H14" i="45"/>
  <c r="D14" i="45"/>
  <c r="B14" i="45"/>
  <c r="X13" i="45"/>
  <c r="Z13" i="45" s="1"/>
  <c r="T13" i="45"/>
  <c r="P13" i="45"/>
  <c r="H13" i="45"/>
  <c r="H12" i="45" s="1"/>
  <c r="D13" i="45"/>
  <c r="B13" i="45"/>
  <c r="D4" i="45"/>
  <c r="Z121" i="42"/>
  <c r="X121" i="42"/>
  <c r="L121" i="42"/>
  <c r="N121" i="42" s="1"/>
  <c r="T117" i="42"/>
  <c r="P117" i="42"/>
  <c r="H117" i="42"/>
  <c r="L117" i="42" s="1"/>
  <c r="D117" i="42"/>
  <c r="B117" i="42"/>
  <c r="T116" i="42"/>
  <c r="P116" i="42"/>
  <c r="N116" i="42"/>
  <c r="L116" i="42"/>
  <c r="H116" i="42"/>
  <c r="D116" i="42"/>
  <c r="B116" i="42"/>
  <c r="X115" i="42"/>
  <c r="Z115" i="42" s="1"/>
  <c r="T115" i="42"/>
  <c r="P115" i="42"/>
  <c r="L115" i="42"/>
  <c r="N115" i="42" s="1"/>
  <c r="H115" i="42"/>
  <c r="H114" i="42" s="1"/>
  <c r="D115" i="42"/>
  <c r="B115" i="42"/>
  <c r="P114" i="42"/>
  <c r="D114" i="42"/>
  <c r="Z112" i="42"/>
  <c r="X112" i="42"/>
  <c r="L112" i="42"/>
  <c r="N112" i="42" s="1"/>
  <c r="B112" i="42"/>
  <c r="T111" i="42"/>
  <c r="P111" i="42"/>
  <c r="H111" i="42"/>
  <c r="L111" i="42" s="1"/>
  <c r="D111" i="42"/>
  <c r="B111" i="42"/>
  <c r="X110" i="42"/>
  <c r="Z110" i="42" s="1"/>
  <c r="L110" i="42"/>
  <c r="N110" i="42" s="1"/>
  <c r="B110" i="42"/>
  <c r="Z109" i="42"/>
  <c r="X109" i="42"/>
  <c r="N109" i="42"/>
  <c r="L109" i="42"/>
  <c r="B109" i="42"/>
  <c r="X108" i="42"/>
  <c r="Z108" i="42" s="1"/>
  <c r="N108" i="42"/>
  <c r="L108" i="42"/>
  <c r="B108" i="42"/>
  <c r="Z107" i="42"/>
  <c r="T107" i="42"/>
  <c r="P107" i="42"/>
  <c r="X107" i="42" s="1"/>
  <c r="H107" i="42"/>
  <c r="N107" i="42" s="1"/>
  <c r="D107" i="42"/>
  <c r="L107" i="42" s="1"/>
  <c r="B107" i="42"/>
  <c r="X106" i="42"/>
  <c r="Z106" i="42" s="1"/>
  <c r="N106" i="42"/>
  <c r="L106" i="42"/>
  <c r="B106" i="42"/>
  <c r="X105" i="42"/>
  <c r="Z105" i="42" s="1"/>
  <c r="T105" i="42"/>
  <c r="P105" i="42"/>
  <c r="L105" i="42"/>
  <c r="N105" i="42" s="1"/>
  <c r="H105" i="42"/>
  <c r="D105" i="42"/>
  <c r="B105" i="42"/>
  <c r="Z104" i="42"/>
  <c r="X104" i="42"/>
  <c r="L104" i="42"/>
  <c r="N104" i="42" s="1"/>
  <c r="B104" i="42"/>
  <c r="T103" i="42"/>
  <c r="P103" i="42"/>
  <c r="H103" i="42"/>
  <c r="L103" i="42" s="1"/>
  <c r="D103" i="42"/>
  <c r="B103" i="42"/>
  <c r="X102" i="42"/>
  <c r="Z102" i="42" s="1"/>
  <c r="N102" i="42"/>
  <c r="L102" i="42"/>
  <c r="B102" i="42"/>
  <c r="X101" i="42"/>
  <c r="Z101" i="42" s="1"/>
  <c r="L101" i="42"/>
  <c r="N101" i="42" s="1"/>
  <c r="B101" i="42"/>
  <c r="X100" i="42"/>
  <c r="Z100" i="42" s="1"/>
  <c r="N100" i="42"/>
  <c r="L100" i="42"/>
  <c r="B100" i="42"/>
  <c r="Z99" i="42"/>
  <c r="X99" i="42"/>
  <c r="L99" i="42"/>
  <c r="N99" i="42" s="1"/>
  <c r="B99" i="42"/>
  <c r="X98" i="42"/>
  <c r="Z98" i="42" s="1"/>
  <c r="N98" i="42"/>
  <c r="L98" i="42"/>
  <c r="B98" i="42"/>
  <c r="X97" i="42"/>
  <c r="Z97" i="42" s="1"/>
  <c r="L97" i="42"/>
  <c r="N97" i="42" s="1"/>
  <c r="B97" i="42"/>
  <c r="X96" i="42"/>
  <c r="Z96" i="42" s="1"/>
  <c r="N96" i="42"/>
  <c r="L96" i="42"/>
  <c r="B96" i="42"/>
  <c r="Z95" i="42"/>
  <c r="X95" i="42"/>
  <c r="N95" i="42"/>
  <c r="L95" i="42"/>
  <c r="B95" i="42"/>
  <c r="X94" i="42"/>
  <c r="Z94" i="42" s="1"/>
  <c r="N94" i="42"/>
  <c r="L94" i="42"/>
  <c r="B94" i="42"/>
  <c r="T93" i="42"/>
  <c r="Z93" i="42" s="1"/>
  <c r="P93" i="42"/>
  <c r="X93" i="42" s="1"/>
  <c r="H93" i="42"/>
  <c r="D93" i="42"/>
  <c r="L93" i="42" s="1"/>
  <c r="N93" i="42" s="1"/>
  <c r="B93" i="42"/>
  <c r="Z92" i="42"/>
  <c r="X92" i="42"/>
  <c r="L92" i="42"/>
  <c r="N92" i="42" s="1"/>
  <c r="B92" i="42"/>
  <c r="X91" i="42"/>
  <c r="Z91" i="42" s="1"/>
  <c r="L91" i="42"/>
  <c r="N91" i="42" s="1"/>
  <c r="B91" i="42"/>
  <c r="T90" i="42"/>
  <c r="P90" i="42"/>
  <c r="X90" i="42" s="1"/>
  <c r="H90" i="42"/>
  <c r="D90" i="42"/>
  <c r="L90" i="42" s="1"/>
  <c r="B90" i="42"/>
  <c r="X89" i="42"/>
  <c r="Z89" i="42" s="1"/>
  <c r="N89" i="42"/>
  <c r="L89" i="42"/>
  <c r="B89" i="42"/>
  <c r="Z88" i="42"/>
  <c r="X88" i="42"/>
  <c r="L88" i="42"/>
  <c r="N88" i="42" s="1"/>
  <c r="B88" i="42"/>
  <c r="X87" i="42"/>
  <c r="Z87" i="42" s="1"/>
  <c r="N87" i="42"/>
  <c r="L87" i="42"/>
  <c r="B87" i="42"/>
  <c r="Z86" i="42"/>
  <c r="X86" i="42"/>
  <c r="N86" i="42"/>
  <c r="L86" i="42"/>
  <c r="B86" i="42"/>
  <c r="X85" i="42"/>
  <c r="Z85" i="42" s="1"/>
  <c r="N85" i="42"/>
  <c r="L85" i="42"/>
  <c r="B85" i="42"/>
  <c r="Z84" i="42"/>
  <c r="X84" i="42"/>
  <c r="T84" i="42"/>
  <c r="P84" i="42"/>
  <c r="H84" i="42"/>
  <c r="D84" i="42"/>
  <c r="L84" i="42" s="1"/>
  <c r="N84" i="42" s="1"/>
  <c r="B84" i="42"/>
  <c r="Z83" i="42"/>
  <c r="X83" i="42"/>
  <c r="L83" i="42"/>
  <c r="N83" i="42" s="1"/>
  <c r="B83" i="42"/>
  <c r="X82" i="42"/>
  <c r="Z82" i="42" s="1"/>
  <c r="N82" i="42"/>
  <c r="L82" i="42"/>
  <c r="B82" i="42"/>
  <c r="T81" i="42"/>
  <c r="Z81" i="42" s="1"/>
  <c r="P81" i="42"/>
  <c r="X81" i="42" s="1"/>
  <c r="H81" i="42"/>
  <c r="D81" i="42"/>
  <c r="L81" i="42" s="1"/>
  <c r="N81" i="42" s="1"/>
  <c r="B81" i="42"/>
  <c r="Z80" i="42"/>
  <c r="X80" i="42"/>
  <c r="N80" i="42"/>
  <c r="L80" i="42"/>
  <c r="B80" i="42"/>
  <c r="X79" i="42"/>
  <c r="Z79" i="42" s="1"/>
  <c r="L79" i="42"/>
  <c r="N79" i="42" s="1"/>
  <c r="B79" i="42"/>
  <c r="Z78" i="42"/>
  <c r="X78" i="42"/>
  <c r="N78" i="42"/>
  <c r="L78" i="42"/>
  <c r="B78" i="42"/>
  <c r="X77" i="42"/>
  <c r="Z77" i="42" s="1"/>
  <c r="T77" i="42"/>
  <c r="P77" i="42"/>
  <c r="L77" i="42"/>
  <c r="N77" i="42" s="1"/>
  <c r="H77" i="42"/>
  <c r="D77" i="42"/>
  <c r="B77" i="42"/>
  <c r="Z76" i="42"/>
  <c r="X76" i="42"/>
  <c r="L76" i="42"/>
  <c r="N76" i="42" s="1"/>
  <c r="B76" i="42"/>
  <c r="T75" i="42"/>
  <c r="P75" i="42"/>
  <c r="H75" i="42"/>
  <c r="D75" i="42"/>
  <c r="B75" i="42"/>
  <c r="X74" i="42"/>
  <c r="Z74" i="42" s="1"/>
  <c r="N74" i="42"/>
  <c r="L74" i="42"/>
  <c r="B74" i="42"/>
  <c r="T73" i="42"/>
  <c r="Z73" i="42" s="1"/>
  <c r="P73" i="42"/>
  <c r="X73" i="42" s="1"/>
  <c r="N73" i="42"/>
  <c r="H73" i="42"/>
  <c r="D73" i="42"/>
  <c r="L73" i="42" s="1"/>
  <c r="B73" i="42"/>
  <c r="Z72" i="42"/>
  <c r="X72" i="42"/>
  <c r="N72" i="42"/>
  <c r="L72" i="42"/>
  <c r="B72" i="42"/>
  <c r="X71" i="42"/>
  <c r="Z71" i="42" s="1"/>
  <c r="T71" i="42"/>
  <c r="P71" i="42"/>
  <c r="N71" i="42"/>
  <c r="L71" i="42"/>
  <c r="H71" i="42"/>
  <c r="D71" i="42"/>
  <c r="B71" i="42"/>
  <c r="Z70" i="42"/>
  <c r="X70" i="42"/>
  <c r="L70" i="42"/>
  <c r="N70" i="42" s="1"/>
  <c r="B70" i="42"/>
  <c r="T69" i="42"/>
  <c r="P69" i="42"/>
  <c r="H69" i="42"/>
  <c r="D69" i="42"/>
  <c r="B69" i="42"/>
  <c r="X68" i="42"/>
  <c r="Z68" i="42" s="1"/>
  <c r="N68" i="42"/>
  <c r="L68" i="42"/>
  <c r="B68" i="42"/>
  <c r="Z67" i="42"/>
  <c r="X67" i="42"/>
  <c r="L67" i="42"/>
  <c r="N67" i="42" s="1"/>
  <c r="B67" i="42"/>
  <c r="T66" i="42"/>
  <c r="P66" i="42"/>
  <c r="L66" i="42"/>
  <c r="N66" i="42" s="1"/>
  <c r="H66" i="42"/>
  <c r="D66" i="42"/>
  <c r="B66" i="42"/>
  <c r="Z65" i="42"/>
  <c r="X65" i="42"/>
  <c r="N65" i="42"/>
  <c r="L65" i="42"/>
  <c r="B65" i="42"/>
  <c r="T64" i="42"/>
  <c r="Z64" i="42" s="1"/>
  <c r="P64" i="42"/>
  <c r="X64" i="42" s="1"/>
  <c r="H64" i="42"/>
  <c r="N64" i="42" s="1"/>
  <c r="D64" i="42"/>
  <c r="L64" i="42" s="1"/>
  <c r="B64" i="42"/>
  <c r="X63" i="42"/>
  <c r="Z63" i="42" s="1"/>
  <c r="N63" i="42"/>
  <c r="L63" i="42"/>
  <c r="B63" i="42"/>
  <c r="T62" i="42"/>
  <c r="P62" i="42"/>
  <c r="X62" i="42" s="1"/>
  <c r="Z62" i="42" s="1"/>
  <c r="L62" i="42"/>
  <c r="N62" i="42" s="1"/>
  <c r="H62" i="42"/>
  <c r="D62" i="42"/>
  <c r="B62" i="42"/>
  <c r="Z61" i="42"/>
  <c r="X61" i="42"/>
  <c r="N61" i="42"/>
  <c r="L61" i="42"/>
  <c r="B61" i="42"/>
  <c r="X60" i="42"/>
  <c r="Z60" i="42" s="1"/>
  <c r="T60" i="42"/>
  <c r="P60" i="42"/>
  <c r="H60" i="42"/>
  <c r="D60" i="42"/>
  <c r="B60" i="42"/>
  <c r="X59" i="42"/>
  <c r="Z59" i="42" s="1"/>
  <c r="L59" i="42"/>
  <c r="N59" i="42" s="1"/>
  <c r="B59" i="42"/>
  <c r="T58" i="42"/>
  <c r="Z58" i="42" s="1"/>
  <c r="P58" i="42"/>
  <c r="X58" i="42" s="1"/>
  <c r="H58" i="42"/>
  <c r="D58" i="42"/>
  <c r="L58" i="42" s="1"/>
  <c r="B58" i="42"/>
  <c r="X57" i="42"/>
  <c r="Z57" i="42" s="1"/>
  <c r="N57" i="42"/>
  <c r="L57" i="42"/>
  <c r="B57" i="42"/>
  <c r="Z56" i="42"/>
  <c r="X56" i="42"/>
  <c r="L56" i="42"/>
  <c r="N56" i="42" s="1"/>
  <c r="B56" i="42"/>
  <c r="X55" i="42"/>
  <c r="Z55" i="42" s="1"/>
  <c r="N55" i="42"/>
  <c r="L55" i="42"/>
  <c r="B55" i="42"/>
  <c r="T54" i="42"/>
  <c r="P54" i="42"/>
  <c r="X54" i="42" s="1"/>
  <c r="Z54" i="42" s="1"/>
  <c r="N54" i="42"/>
  <c r="L54" i="42"/>
  <c r="H54" i="42"/>
  <c r="D54" i="42"/>
  <c r="B54" i="42"/>
  <c r="Z53" i="42"/>
  <c r="X53" i="42"/>
  <c r="N53" i="42"/>
  <c r="L53" i="42"/>
  <c r="B53" i="42"/>
  <c r="X52" i="42"/>
  <c r="T52" i="42"/>
  <c r="Z52" i="42" s="1"/>
  <c r="P52" i="42"/>
  <c r="H52" i="42"/>
  <c r="D52" i="42"/>
  <c r="B52" i="42"/>
  <c r="X51" i="42"/>
  <c r="Z51" i="42" s="1"/>
  <c r="L51" i="42"/>
  <c r="N51" i="42" s="1"/>
  <c r="B51" i="42"/>
  <c r="T50" i="42"/>
  <c r="P50" i="42"/>
  <c r="X50" i="42" s="1"/>
  <c r="H50" i="42"/>
  <c r="D50" i="42"/>
  <c r="B50" i="42"/>
  <c r="X49" i="42"/>
  <c r="Z49" i="42" s="1"/>
  <c r="N49" i="42"/>
  <c r="L49" i="42"/>
  <c r="B49" i="42"/>
  <c r="X48" i="42"/>
  <c r="Z48" i="42" s="1"/>
  <c r="T48" i="42"/>
  <c r="P48" i="42"/>
  <c r="H48" i="42"/>
  <c r="D48" i="42"/>
  <c r="L48" i="42" s="1"/>
  <c r="N48" i="42" s="1"/>
  <c r="B48" i="42"/>
  <c r="Z47" i="42"/>
  <c r="X47" i="42"/>
  <c r="L47" i="42"/>
  <c r="N47" i="42" s="1"/>
  <c r="B47" i="42"/>
  <c r="X46" i="42"/>
  <c r="Z46" i="42" s="1"/>
  <c r="N46" i="42"/>
  <c r="L46" i="42"/>
  <c r="B46" i="42"/>
  <c r="Z45" i="42"/>
  <c r="X45" i="42"/>
  <c r="L45" i="42"/>
  <c r="N45" i="42" s="1"/>
  <c r="B45" i="42"/>
  <c r="X44" i="42"/>
  <c r="Z44" i="42" s="1"/>
  <c r="N44" i="42"/>
  <c r="L44" i="42"/>
  <c r="B44" i="42"/>
  <c r="Z43" i="42"/>
  <c r="X43" i="42"/>
  <c r="L43" i="42"/>
  <c r="N43" i="42" s="1"/>
  <c r="B43" i="42"/>
  <c r="X42" i="42"/>
  <c r="Z42" i="42" s="1"/>
  <c r="L42" i="42"/>
  <c r="N42" i="42" s="1"/>
  <c r="B42" i="42"/>
  <c r="Z41" i="42"/>
  <c r="X41" i="42"/>
  <c r="L41" i="42"/>
  <c r="N41" i="42" s="1"/>
  <c r="B41" i="42"/>
  <c r="X40" i="42"/>
  <c r="T40" i="42"/>
  <c r="Z40" i="42" s="1"/>
  <c r="P40" i="42"/>
  <c r="L40" i="42"/>
  <c r="H40" i="42"/>
  <c r="D40" i="42"/>
  <c r="B40" i="42"/>
  <c r="X39" i="42"/>
  <c r="Z39" i="42" s="1"/>
  <c r="L39" i="42"/>
  <c r="N39" i="42" s="1"/>
  <c r="B39" i="42"/>
  <c r="X38" i="42"/>
  <c r="Z38" i="42" s="1"/>
  <c r="N38" i="42"/>
  <c r="L38" i="42"/>
  <c r="B38" i="42"/>
  <c r="Z37" i="42"/>
  <c r="X37" i="42"/>
  <c r="L37" i="42"/>
  <c r="N37" i="42" s="1"/>
  <c r="B37" i="42"/>
  <c r="X36" i="42"/>
  <c r="Z36" i="42" s="1"/>
  <c r="N36" i="42"/>
  <c r="L36" i="42"/>
  <c r="B36" i="42"/>
  <c r="X35" i="42"/>
  <c r="Z35" i="42" s="1"/>
  <c r="L35" i="42"/>
  <c r="N35" i="42" s="1"/>
  <c r="B35" i="42"/>
  <c r="X34" i="42"/>
  <c r="Z34" i="42" s="1"/>
  <c r="N34" i="42"/>
  <c r="L34" i="42"/>
  <c r="B34" i="42"/>
  <c r="Z33" i="42"/>
  <c r="X33" i="42"/>
  <c r="L33" i="42"/>
  <c r="N33" i="42" s="1"/>
  <c r="B33" i="42"/>
  <c r="X32" i="42"/>
  <c r="Z32" i="42" s="1"/>
  <c r="N32" i="42"/>
  <c r="L32" i="42"/>
  <c r="B32" i="42"/>
  <c r="X31" i="42"/>
  <c r="Z31" i="42" s="1"/>
  <c r="L31" i="42"/>
  <c r="N31" i="42" s="1"/>
  <c r="B31" i="42"/>
  <c r="T30" i="42"/>
  <c r="Z30" i="42" s="1"/>
  <c r="P30" i="42"/>
  <c r="X30" i="42" s="1"/>
  <c r="H30" i="42"/>
  <c r="D30" i="42"/>
  <c r="B30" i="42"/>
  <c r="T29" i="42"/>
  <c r="P29" i="42"/>
  <c r="H29" i="42"/>
  <c r="D29" i="42"/>
  <c r="X25" i="42"/>
  <c r="Z25" i="42" s="1"/>
  <c r="L25" i="42"/>
  <c r="N25" i="42" s="1"/>
  <c r="B25" i="42"/>
  <c r="X24" i="42"/>
  <c r="Z24" i="42" s="1"/>
  <c r="L24" i="42"/>
  <c r="N24" i="42" s="1"/>
  <c r="B24" i="42"/>
  <c r="T23" i="42"/>
  <c r="P23" i="42"/>
  <c r="H23" i="42"/>
  <c r="D23" i="42"/>
  <c r="L23" i="42" s="1"/>
  <c r="T21" i="42"/>
  <c r="P21" i="42"/>
  <c r="N21" i="42"/>
  <c r="L21" i="42"/>
  <c r="H21" i="42"/>
  <c r="D21" i="42"/>
  <c r="B21" i="42"/>
  <c r="Z20" i="42"/>
  <c r="T20" i="42"/>
  <c r="X20" i="42" s="1"/>
  <c r="P20" i="42"/>
  <c r="H20" i="42"/>
  <c r="D20" i="42"/>
  <c r="B20" i="42"/>
  <c r="T19" i="42"/>
  <c r="Z19" i="42" s="1"/>
  <c r="P19" i="42"/>
  <c r="X19" i="42" s="1"/>
  <c r="H19" i="42"/>
  <c r="D19" i="42"/>
  <c r="L19" i="42" s="1"/>
  <c r="N19" i="42" s="1"/>
  <c r="B19" i="42"/>
  <c r="Z18" i="42"/>
  <c r="X18" i="42"/>
  <c r="T18" i="42"/>
  <c r="P18" i="42"/>
  <c r="H18" i="42"/>
  <c r="D18" i="42"/>
  <c r="B18" i="42"/>
  <c r="T17" i="42"/>
  <c r="P17" i="42"/>
  <c r="N17" i="42"/>
  <c r="L17" i="42"/>
  <c r="H17" i="42"/>
  <c r="D17" i="42"/>
  <c r="B17" i="42"/>
  <c r="T16" i="42"/>
  <c r="X16" i="42" s="1"/>
  <c r="Z16" i="42" s="1"/>
  <c r="P16" i="42"/>
  <c r="H16" i="42"/>
  <c r="D16" i="42"/>
  <c r="B16" i="42"/>
  <c r="T15" i="42"/>
  <c r="Z15" i="42" s="1"/>
  <c r="P15" i="42"/>
  <c r="X15" i="42" s="1"/>
  <c r="L15" i="42"/>
  <c r="N15" i="42" s="1"/>
  <c r="H15" i="42"/>
  <c r="D15" i="42"/>
  <c r="B15" i="42"/>
  <c r="X14" i="42"/>
  <c r="Z14" i="42" s="1"/>
  <c r="T14" i="42"/>
  <c r="P14" i="42"/>
  <c r="H14" i="42"/>
  <c r="D14" i="42"/>
  <c r="B14" i="42"/>
  <c r="T13" i="42"/>
  <c r="P13" i="42"/>
  <c r="N13" i="42"/>
  <c r="L13" i="42"/>
  <c r="H13" i="42"/>
  <c r="D13" i="42"/>
  <c r="B13" i="42"/>
  <c r="D4" i="42"/>
  <c r="Z130" i="39"/>
  <c r="X130" i="39"/>
  <c r="N130" i="39"/>
  <c r="L130" i="39"/>
  <c r="T126" i="39"/>
  <c r="X126" i="39" s="1"/>
  <c r="Z126" i="39" s="1"/>
  <c r="P126" i="39"/>
  <c r="L126" i="39"/>
  <c r="N126" i="39" s="1"/>
  <c r="H126" i="39"/>
  <c r="D126" i="39"/>
  <c r="B126" i="39"/>
  <c r="T125" i="39"/>
  <c r="P125" i="39"/>
  <c r="X125" i="39" s="1"/>
  <c r="H125" i="39"/>
  <c r="D125" i="39"/>
  <c r="B125" i="39"/>
  <c r="T124" i="39"/>
  <c r="P124" i="39"/>
  <c r="X124" i="39" s="1"/>
  <c r="Z124" i="39" s="1"/>
  <c r="H124" i="39"/>
  <c r="D124" i="39"/>
  <c r="L124" i="39" s="1"/>
  <c r="B124" i="39"/>
  <c r="T123" i="39"/>
  <c r="Z121" i="39"/>
  <c r="X121" i="39"/>
  <c r="N121" i="39"/>
  <c r="L121" i="39"/>
  <c r="B121" i="39"/>
  <c r="T120" i="39"/>
  <c r="X120" i="39" s="1"/>
  <c r="Z120" i="39" s="1"/>
  <c r="P120" i="39"/>
  <c r="L120" i="39"/>
  <c r="N120" i="39" s="1"/>
  <c r="H120" i="39"/>
  <c r="D120" i="39"/>
  <c r="B120" i="39"/>
  <c r="X119" i="39"/>
  <c r="Z119" i="39" s="1"/>
  <c r="L119" i="39"/>
  <c r="N119" i="39" s="1"/>
  <c r="B119" i="39"/>
  <c r="Z118" i="39"/>
  <c r="X118" i="39"/>
  <c r="N118" i="39"/>
  <c r="L118" i="39"/>
  <c r="B118" i="39"/>
  <c r="Z117" i="39"/>
  <c r="X117" i="39"/>
  <c r="L117" i="39"/>
  <c r="N117" i="39" s="1"/>
  <c r="B117" i="39"/>
  <c r="T116" i="39"/>
  <c r="P116" i="39"/>
  <c r="X116" i="39" s="1"/>
  <c r="H116" i="39"/>
  <c r="D116" i="39"/>
  <c r="L116" i="39" s="1"/>
  <c r="N116" i="39" s="1"/>
  <c r="B116" i="39"/>
  <c r="X115" i="39"/>
  <c r="Z115" i="39" s="1"/>
  <c r="L115" i="39"/>
  <c r="N115" i="39" s="1"/>
  <c r="B115" i="39"/>
  <c r="T114" i="39"/>
  <c r="P114" i="39"/>
  <c r="X114" i="39" s="1"/>
  <c r="Z114" i="39" s="1"/>
  <c r="H114" i="39"/>
  <c r="D114" i="39"/>
  <c r="L114" i="39" s="1"/>
  <c r="B114" i="39"/>
  <c r="Z113" i="39"/>
  <c r="X113" i="39"/>
  <c r="N113" i="39"/>
  <c r="L113" i="39"/>
  <c r="B113" i="39"/>
  <c r="T112" i="39"/>
  <c r="X112" i="39" s="1"/>
  <c r="Z112" i="39" s="1"/>
  <c r="P112" i="39"/>
  <c r="L112" i="39"/>
  <c r="N112" i="39" s="1"/>
  <c r="H112" i="39"/>
  <c r="D112" i="39"/>
  <c r="B112" i="39"/>
  <c r="X111" i="39"/>
  <c r="Z111" i="39" s="1"/>
  <c r="N111" i="39"/>
  <c r="L111" i="39"/>
  <c r="B111" i="39"/>
  <c r="Z110" i="39"/>
  <c r="X110" i="39"/>
  <c r="L110" i="39"/>
  <c r="N110" i="39" s="1"/>
  <c r="B110" i="39"/>
  <c r="Z109" i="39"/>
  <c r="X109" i="39"/>
  <c r="N109" i="39"/>
  <c r="L109" i="39"/>
  <c r="B109" i="39"/>
  <c r="Z108" i="39"/>
  <c r="X108" i="39"/>
  <c r="N108" i="39"/>
  <c r="L108" i="39"/>
  <c r="B108" i="39"/>
  <c r="X107" i="39"/>
  <c r="Z107" i="39" s="1"/>
  <c r="L107" i="39"/>
  <c r="N107" i="39" s="1"/>
  <c r="B107" i="39"/>
  <c r="Z106" i="39"/>
  <c r="X106" i="39"/>
  <c r="L106" i="39"/>
  <c r="N106" i="39" s="1"/>
  <c r="B106" i="39"/>
  <c r="Z105" i="39"/>
  <c r="X105" i="39"/>
  <c r="L105" i="39"/>
  <c r="N105" i="39" s="1"/>
  <c r="B105" i="39"/>
  <c r="Z104" i="39"/>
  <c r="X104" i="39"/>
  <c r="N104" i="39"/>
  <c r="L104" i="39"/>
  <c r="B104" i="39"/>
  <c r="X103" i="39"/>
  <c r="Z103" i="39" s="1"/>
  <c r="N103" i="39"/>
  <c r="L103" i="39"/>
  <c r="B103" i="39"/>
  <c r="T102" i="39"/>
  <c r="P102" i="39"/>
  <c r="X102" i="39" s="1"/>
  <c r="Z102" i="39" s="1"/>
  <c r="H102" i="39"/>
  <c r="D102" i="39"/>
  <c r="B102" i="39"/>
  <c r="X101" i="39"/>
  <c r="Z101" i="39" s="1"/>
  <c r="N101" i="39"/>
  <c r="L101" i="39"/>
  <c r="B101" i="39"/>
  <c r="Z100" i="39"/>
  <c r="X100" i="39"/>
  <c r="N100" i="39"/>
  <c r="L100" i="39"/>
  <c r="B100" i="39"/>
  <c r="T99" i="39"/>
  <c r="Z99" i="39" s="1"/>
  <c r="P99" i="39"/>
  <c r="X99" i="39" s="1"/>
  <c r="L99" i="39"/>
  <c r="N99" i="39" s="1"/>
  <c r="H99" i="39"/>
  <c r="D99" i="39"/>
  <c r="B99" i="39"/>
  <c r="X98" i="39"/>
  <c r="Z98" i="39" s="1"/>
  <c r="N98" i="39"/>
  <c r="L98" i="39"/>
  <c r="B98" i="39"/>
  <c r="Z97" i="39"/>
  <c r="X97" i="39"/>
  <c r="N97" i="39"/>
  <c r="L97" i="39"/>
  <c r="B97" i="39"/>
  <c r="Z96" i="39"/>
  <c r="X96" i="39"/>
  <c r="N96" i="39"/>
  <c r="L96" i="39"/>
  <c r="B96" i="39"/>
  <c r="X95" i="39"/>
  <c r="Z95" i="39" s="1"/>
  <c r="N95" i="39"/>
  <c r="L95" i="39"/>
  <c r="B95" i="39"/>
  <c r="Z94" i="39"/>
  <c r="X94" i="39"/>
  <c r="N94" i="39"/>
  <c r="L94" i="39"/>
  <c r="B94" i="39"/>
  <c r="T93" i="39"/>
  <c r="P93" i="39"/>
  <c r="L93" i="39"/>
  <c r="H93" i="39"/>
  <c r="D93" i="39"/>
  <c r="B93" i="39"/>
  <c r="Z92" i="39"/>
  <c r="X92" i="39"/>
  <c r="N92" i="39"/>
  <c r="L92" i="39"/>
  <c r="B92" i="39"/>
  <c r="X91" i="39"/>
  <c r="Z91" i="39" s="1"/>
  <c r="L91" i="39"/>
  <c r="N91" i="39" s="1"/>
  <c r="B91" i="39"/>
  <c r="Z90" i="39"/>
  <c r="T90" i="39"/>
  <c r="P90" i="39"/>
  <c r="X90" i="39" s="1"/>
  <c r="H90" i="39"/>
  <c r="D90" i="39"/>
  <c r="L90" i="39" s="1"/>
  <c r="B90" i="39"/>
  <c r="X89" i="39"/>
  <c r="Z89" i="39" s="1"/>
  <c r="N89" i="39"/>
  <c r="L89" i="39"/>
  <c r="B89" i="39"/>
  <c r="Z88" i="39"/>
  <c r="X88" i="39"/>
  <c r="N88" i="39"/>
  <c r="L88" i="39"/>
  <c r="B88" i="39"/>
  <c r="X87" i="39"/>
  <c r="Z87" i="39" s="1"/>
  <c r="N87" i="39"/>
  <c r="L87" i="39"/>
  <c r="B87" i="39"/>
  <c r="T86" i="39"/>
  <c r="P86" i="39"/>
  <c r="X86" i="39" s="1"/>
  <c r="Z86" i="39" s="1"/>
  <c r="H86" i="39"/>
  <c r="N86" i="39" s="1"/>
  <c r="D86" i="39"/>
  <c r="L86" i="39" s="1"/>
  <c r="B86" i="39"/>
  <c r="Z85" i="39"/>
  <c r="X85" i="39"/>
  <c r="N85" i="39"/>
  <c r="L85" i="39"/>
  <c r="B85" i="39"/>
  <c r="T84" i="39"/>
  <c r="P84" i="39"/>
  <c r="N84" i="39"/>
  <c r="L84" i="39"/>
  <c r="H84" i="39"/>
  <c r="D84" i="39"/>
  <c r="B84" i="39"/>
  <c r="X83" i="39"/>
  <c r="Z83" i="39" s="1"/>
  <c r="N83" i="39"/>
  <c r="L83" i="39"/>
  <c r="B83" i="39"/>
  <c r="Z82" i="39"/>
  <c r="T82" i="39"/>
  <c r="P82" i="39"/>
  <c r="X82" i="39" s="1"/>
  <c r="H82" i="39"/>
  <c r="N82" i="39" s="1"/>
  <c r="D82" i="39"/>
  <c r="B82" i="39"/>
  <c r="X81" i="39"/>
  <c r="Z81" i="39" s="1"/>
  <c r="N81" i="39"/>
  <c r="L81" i="39"/>
  <c r="B81" i="39"/>
  <c r="T80" i="39"/>
  <c r="Z80" i="39" s="1"/>
  <c r="P80" i="39"/>
  <c r="X80" i="39" s="1"/>
  <c r="H80" i="39"/>
  <c r="D80" i="39"/>
  <c r="L80" i="39" s="1"/>
  <c r="N80" i="39" s="1"/>
  <c r="B80" i="39"/>
  <c r="X79" i="39"/>
  <c r="Z79" i="39" s="1"/>
  <c r="L79" i="39"/>
  <c r="N79" i="39" s="1"/>
  <c r="B79" i="39"/>
  <c r="Z78" i="39"/>
  <c r="X78" i="39"/>
  <c r="T78" i="39"/>
  <c r="P78" i="39"/>
  <c r="H78" i="39"/>
  <c r="L78" i="39" s="1"/>
  <c r="N78" i="39" s="1"/>
  <c r="D78" i="39"/>
  <c r="B78" i="39"/>
  <c r="Z77" i="39"/>
  <c r="X77" i="39"/>
  <c r="L77" i="39"/>
  <c r="N77" i="39" s="1"/>
  <c r="B77" i="39"/>
  <c r="Z76" i="39"/>
  <c r="X76" i="39"/>
  <c r="N76" i="39"/>
  <c r="L76" i="39"/>
  <c r="B76" i="39"/>
  <c r="T75" i="39"/>
  <c r="Z75" i="39" s="1"/>
  <c r="P75" i="39"/>
  <c r="X75" i="39" s="1"/>
  <c r="H75" i="39"/>
  <c r="D75" i="39"/>
  <c r="B75" i="39"/>
  <c r="Z74" i="39"/>
  <c r="X74" i="39"/>
  <c r="N74" i="39"/>
  <c r="L74" i="39"/>
  <c r="B74" i="39"/>
  <c r="X73" i="39"/>
  <c r="Z73" i="39" s="1"/>
  <c r="N73" i="39"/>
  <c r="L73" i="39"/>
  <c r="B73" i="39"/>
  <c r="T72" i="39"/>
  <c r="P72" i="39"/>
  <c r="X72" i="39" s="1"/>
  <c r="H72" i="39"/>
  <c r="D72" i="39"/>
  <c r="L72" i="39" s="1"/>
  <c r="N72" i="39" s="1"/>
  <c r="B72" i="39"/>
  <c r="X71" i="39"/>
  <c r="Z71" i="39" s="1"/>
  <c r="L71" i="39"/>
  <c r="N71" i="39" s="1"/>
  <c r="B71" i="39"/>
  <c r="X70" i="39"/>
  <c r="Z70" i="39" s="1"/>
  <c r="T70" i="39"/>
  <c r="P70" i="39"/>
  <c r="H70" i="39"/>
  <c r="D70" i="39"/>
  <c r="B70" i="39"/>
  <c r="Z69" i="39"/>
  <c r="X69" i="39"/>
  <c r="L69" i="39"/>
  <c r="N69" i="39" s="1"/>
  <c r="B69" i="39"/>
  <c r="T68" i="39"/>
  <c r="P68" i="39"/>
  <c r="H68" i="39"/>
  <c r="D68" i="39"/>
  <c r="L68" i="39" s="1"/>
  <c r="N68" i="39" s="1"/>
  <c r="B68" i="39"/>
  <c r="X67" i="39"/>
  <c r="Z67" i="39" s="1"/>
  <c r="L67" i="39"/>
  <c r="N67" i="39" s="1"/>
  <c r="B67" i="39"/>
  <c r="T66" i="39"/>
  <c r="P66" i="39"/>
  <c r="X66" i="39" s="1"/>
  <c r="Z66" i="39" s="1"/>
  <c r="H66" i="39"/>
  <c r="N66" i="39" s="1"/>
  <c r="D66" i="39"/>
  <c r="L66" i="39" s="1"/>
  <c r="B66" i="39"/>
  <c r="Z65" i="39"/>
  <c r="X65" i="39"/>
  <c r="N65" i="39"/>
  <c r="L65" i="39"/>
  <c r="B65" i="39"/>
  <c r="T64" i="39"/>
  <c r="P64" i="39"/>
  <c r="N64" i="39"/>
  <c r="L64" i="39"/>
  <c r="H64" i="39"/>
  <c r="D64" i="39"/>
  <c r="B64" i="39"/>
  <c r="X63" i="39"/>
  <c r="Z63" i="39" s="1"/>
  <c r="L63" i="39"/>
  <c r="N63" i="39" s="1"/>
  <c r="B63" i="39"/>
  <c r="Z62" i="39"/>
  <c r="X62" i="39"/>
  <c r="L62" i="39"/>
  <c r="N62" i="39" s="1"/>
  <c r="B62" i="39"/>
  <c r="Z61" i="39"/>
  <c r="X61" i="39"/>
  <c r="L61" i="39"/>
  <c r="N61" i="39" s="1"/>
  <c r="B61" i="39"/>
  <c r="T60" i="39"/>
  <c r="P60" i="39"/>
  <c r="H60" i="39"/>
  <c r="D60" i="39"/>
  <c r="L60" i="39" s="1"/>
  <c r="N60" i="39" s="1"/>
  <c r="B60" i="39"/>
  <c r="X59" i="39"/>
  <c r="Z59" i="39" s="1"/>
  <c r="L59" i="39"/>
  <c r="N59" i="39" s="1"/>
  <c r="B59" i="39"/>
  <c r="T58" i="39"/>
  <c r="P58" i="39"/>
  <c r="X58" i="39" s="1"/>
  <c r="Z58" i="39" s="1"/>
  <c r="H58" i="39"/>
  <c r="D58" i="39"/>
  <c r="L58" i="39" s="1"/>
  <c r="B58" i="39"/>
  <c r="Z57" i="39"/>
  <c r="X57" i="39"/>
  <c r="N57" i="39"/>
  <c r="L57" i="39"/>
  <c r="B57" i="39"/>
  <c r="T56" i="39"/>
  <c r="P56" i="39"/>
  <c r="L56" i="39"/>
  <c r="N56" i="39" s="1"/>
  <c r="H56" i="39"/>
  <c r="D56" i="39"/>
  <c r="B56" i="39"/>
  <c r="Z55" i="39"/>
  <c r="X55" i="39"/>
  <c r="L55" i="39"/>
  <c r="N55" i="39" s="1"/>
  <c r="B55" i="39"/>
  <c r="Z54" i="39"/>
  <c r="T54" i="39"/>
  <c r="P54" i="39"/>
  <c r="X54" i="39" s="1"/>
  <c r="H54" i="39"/>
  <c r="D54" i="39"/>
  <c r="B54" i="39"/>
  <c r="X53" i="39"/>
  <c r="Z53" i="39" s="1"/>
  <c r="N53" i="39"/>
  <c r="L53" i="39"/>
  <c r="B53" i="39"/>
  <c r="Z52" i="39"/>
  <c r="X52" i="39"/>
  <c r="N52" i="39"/>
  <c r="L52" i="39"/>
  <c r="B52" i="39"/>
  <c r="X51" i="39"/>
  <c r="Z51" i="39" s="1"/>
  <c r="L51" i="39"/>
  <c r="N51" i="39" s="1"/>
  <c r="B51" i="39"/>
  <c r="X50" i="39"/>
  <c r="Z50" i="39" s="1"/>
  <c r="N50" i="39"/>
  <c r="L50" i="39"/>
  <c r="B50" i="39"/>
  <c r="X49" i="39"/>
  <c r="Z49" i="39" s="1"/>
  <c r="N49" i="39"/>
  <c r="L49" i="39"/>
  <c r="B49" i="39"/>
  <c r="Z48" i="39"/>
  <c r="X48" i="39"/>
  <c r="N48" i="39"/>
  <c r="L48" i="39"/>
  <c r="B48" i="39"/>
  <c r="X47" i="39"/>
  <c r="Z47" i="39" s="1"/>
  <c r="L47" i="39"/>
  <c r="N47" i="39" s="1"/>
  <c r="B47" i="39"/>
  <c r="T46" i="39"/>
  <c r="P46" i="39"/>
  <c r="X46" i="39" s="1"/>
  <c r="Z46" i="39" s="1"/>
  <c r="H46" i="39"/>
  <c r="N46" i="39" s="1"/>
  <c r="D46" i="39"/>
  <c r="L46" i="39" s="1"/>
  <c r="B46" i="39"/>
  <c r="Z45" i="39"/>
  <c r="X45" i="39"/>
  <c r="N45" i="39"/>
  <c r="L45" i="39"/>
  <c r="B45" i="39"/>
  <c r="Z44" i="39"/>
  <c r="X44" i="39"/>
  <c r="N44" i="39"/>
  <c r="L44" i="39"/>
  <c r="B44" i="39"/>
  <c r="X43" i="39"/>
  <c r="Z43" i="39" s="1"/>
  <c r="N43" i="39"/>
  <c r="L43" i="39"/>
  <c r="B43" i="39"/>
  <c r="X42" i="39"/>
  <c r="Z42" i="39" s="1"/>
  <c r="N42" i="39"/>
  <c r="L42" i="39"/>
  <c r="B42" i="39"/>
  <c r="X41" i="39"/>
  <c r="Z41" i="39" s="1"/>
  <c r="N41" i="39"/>
  <c r="L41" i="39"/>
  <c r="B41" i="39"/>
  <c r="Z40" i="39"/>
  <c r="X40" i="39"/>
  <c r="N40" i="39"/>
  <c r="L40" i="39"/>
  <c r="F40" i="39"/>
  <c r="B40" i="39"/>
  <c r="X39" i="39"/>
  <c r="Z39" i="39" s="1"/>
  <c r="N39" i="39"/>
  <c r="L39" i="39"/>
  <c r="B39" i="39"/>
  <c r="Z38" i="39"/>
  <c r="X38" i="39"/>
  <c r="L38" i="39"/>
  <c r="N38" i="39" s="1"/>
  <c r="B38" i="39"/>
  <c r="Z37" i="39"/>
  <c r="X37" i="39"/>
  <c r="N37" i="39"/>
  <c r="L37" i="39"/>
  <c r="B37" i="39"/>
  <c r="X36" i="39"/>
  <c r="T36" i="39"/>
  <c r="Z36" i="39" s="1"/>
  <c r="P36" i="39"/>
  <c r="H36" i="39"/>
  <c r="D36" i="39"/>
  <c r="L36" i="39" s="1"/>
  <c r="N36" i="39" s="1"/>
  <c r="B36" i="39"/>
  <c r="T35" i="39"/>
  <c r="P35" i="39"/>
  <c r="H35" i="39"/>
  <c r="D35" i="39"/>
  <c r="Z31" i="39"/>
  <c r="X31" i="39"/>
  <c r="L31" i="39"/>
  <c r="N31" i="39" s="1"/>
  <c r="B31" i="39"/>
  <c r="Z30" i="39"/>
  <c r="X30" i="39"/>
  <c r="N30" i="39"/>
  <c r="L30" i="39"/>
  <c r="B30" i="39"/>
  <c r="Z29" i="39"/>
  <c r="T29" i="39"/>
  <c r="P29" i="39"/>
  <c r="X29" i="39" s="1"/>
  <c r="H29" i="39"/>
  <c r="D29" i="39"/>
  <c r="L29" i="39" s="1"/>
  <c r="T27" i="39"/>
  <c r="P27" i="39"/>
  <c r="X27" i="39" s="1"/>
  <c r="Z27" i="39" s="1"/>
  <c r="H27" i="39"/>
  <c r="D27" i="39"/>
  <c r="L27" i="39" s="1"/>
  <c r="N27" i="39" s="1"/>
  <c r="B27" i="39"/>
  <c r="T26" i="39"/>
  <c r="P26" i="39"/>
  <c r="X26" i="39" s="1"/>
  <c r="Z26" i="39" s="1"/>
  <c r="H26" i="39"/>
  <c r="D26" i="39"/>
  <c r="B26" i="39"/>
  <c r="X25" i="39"/>
  <c r="Z25" i="39" s="1"/>
  <c r="T25" i="39"/>
  <c r="P25" i="39"/>
  <c r="H25" i="39"/>
  <c r="D25" i="39"/>
  <c r="B25" i="39"/>
  <c r="T24" i="39"/>
  <c r="P24" i="39"/>
  <c r="X24" i="39" s="1"/>
  <c r="Z24" i="39" s="1"/>
  <c r="L24" i="39"/>
  <c r="N24" i="39" s="1"/>
  <c r="H24" i="39"/>
  <c r="D24" i="39"/>
  <c r="B24" i="39"/>
  <c r="Z23" i="39"/>
  <c r="T23" i="39"/>
  <c r="P23" i="39"/>
  <c r="X23" i="39" s="1"/>
  <c r="H23" i="39"/>
  <c r="D23" i="39"/>
  <c r="L23" i="39" s="1"/>
  <c r="N23" i="39" s="1"/>
  <c r="B23" i="39"/>
  <c r="Z22" i="39"/>
  <c r="T22" i="39"/>
  <c r="P22" i="39"/>
  <c r="X22" i="39" s="1"/>
  <c r="H22" i="39"/>
  <c r="D22" i="39"/>
  <c r="L22" i="39" s="1"/>
  <c r="B22" i="39"/>
  <c r="X21" i="39"/>
  <c r="T21" i="39"/>
  <c r="Z21" i="39" s="1"/>
  <c r="P21" i="39"/>
  <c r="L21" i="39"/>
  <c r="H21" i="39"/>
  <c r="N21" i="39" s="1"/>
  <c r="D21" i="39"/>
  <c r="B21" i="39"/>
  <c r="T20" i="39"/>
  <c r="P20" i="39"/>
  <c r="L20" i="39"/>
  <c r="H20" i="39"/>
  <c r="D20" i="39"/>
  <c r="B20" i="39"/>
  <c r="X19" i="39"/>
  <c r="Z19" i="39" s="1"/>
  <c r="T19" i="39"/>
  <c r="P19" i="39"/>
  <c r="L19" i="39"/>
  <c r="N19" i="39" s="1"/>
  <c r="H19" i="39"/>
  <c r="D19" i="39"/>
  <c r="B19" i="39"/>
  <c r="T18" i="39"/>
  <c r="P18" i="39"/>
  <c r="X18" i="39" s="1"/>
  <c r="Z18" i="39" s="1"/>
  <c r="H18" i="39"/>
  <c r="D18" i="39"/>
  <c r="B18" i="39"/>
  <c r="X17" i="39"/>
  <c r="Z17" i="39" s="1"/>
  <c r="T17" i="39"/>
  <c r="P17" i="39"/>
  <c r="L17" i="39"/>
  <c r="H17" i="39"/>
  <c r="D17" i="39"/>
  <c r="B17" i="39"/>
  <c r="X16" i="39"/>
  <c r="Z16" i="39" s="1"/>
  <c r="T16" i="39"/>
  <c r="P16" i="39"/>
  <c r="L16" i="39"/>
  <c r="N16" i="39" s="1"/>
  <c r="H16" i="39"/>
  <c r="D16" i="39"/>
  <c r="B16" i="39"/>
  <c r="T15" i="39"/>
  <c r="T12" i="39" s="1"/>
  <c r="V51" i="39" s="1"/>
  <c r="P15" i="39"/>
  <c r="X15" i="39" s="1"/>
  <c r="H15" i="39"/>
  <c r="D15" i="39"/>
  <c r="L15" i="39" s="1"/>
  <c r="N15" i="39" s="1"/>
  <c r="B15" i="39"/>
  <c r="T14" i="39"/>
  <c r="P14" i="39"/>
  <c r="X14" i="39" s="1"/>
  <c r="Z14" i="39" s="1"/>
  <c r="H14" i="39"/>
  <c r="D14" i="39"/>
  <c r="L14" i="39" s="1"/>
  <c r="B14" i="39"/>
  <c r="T13" i="39"/>
  <c r="P13" i="39"/>
  <c r="H13" i="39"/>
  <c r="D13" i="39"/>
  <c r="D12" i="39" s="1"/>
  <c r="F45" i="39" s="1"/>
  <c r="B13" i="39"/>
  <c r="D4" i="39"/>
  <c r="X124" i="36"/>
  <c r="Z124" i="36" s="1"/>
  <c r="L124" i="36"/>
  <c r="N124" i="36" s="1"/>
  <c r="T120" i="36"/>
  <c r="P120" i="36"/>
  <c r="X120" i="36" s="1"/>
  <c r="H120" i="36"/>
  <c r="D120" i="36"/>
  <c r="L120" i="36" s="1"/>
  <c r="B120" i="36"/>
  <c r="X119" i="36"/>
  <c r="T119" i="36"/>
  <c r="P119" i="36"/>
  <c r="N119" i="36"/>
  <c r="L119" i="36"/>
  <c r="H119" i="36"/>
  <c r="D119" i="36"/>
  <c r="B119" i="36"/>
  <c r="T118" i="36"/>
  <c r="T117" i="36" s="1"/>
  <c r="P118" i="36"/>
  <c r="P117" i="36" s="1"/>
  <c r="X117" i="36" s="1"/>
  <c r="H118" i="36"/>
  <c r="D118" i="36"/>
  <c r="B118" i="36"/>
  <c r="D117" i="36"/>
  <c r="Z115" i="36"/>
  <c r="X115" i="36"/>
  <c r="N115" i="36"/>
  <c r="L115" i="36"/>
  <c r="B115" i="36"/>
  <c r="T114" i="36"/>
  <c r="P114" i="36"/>
  <c r="X114" i="36" s="1"/>
  <c r="H114" i="36"/>
  <c r="D114" i="36"/>
  <c r="L114" i="36" s="1"/>
  <c r="B114" i="36"/>
  <c r="X113" i="36"/>
  <c r="Z113" i="36" s="1"/>
  <c r="N113" i="36"/>
  <c r="L113" i="36"/>
  <c r="B113" i="36"/>
  <c r="X112" i="36"/>
  <c r="Z112" i="36" s="1"/>
  <c r="N112" i="36"/>
  <c r="L112" i="36"/>
  <c r="B112" i="36"/>
  <c r="Z111" i="36"/>
  <c r="X111" i="36"/>
  <c r="N111" i="36"/>
  <c r="L111" i="36"/>
  <c r="B111" i="36"/>
  <c r="X110" i="36"/>
  <c r="T110" i="36"/>
  <c r="Z110" i="36" s="1"/>
  <c r="P110" i="36"/>
  <c r="L110" i="36"/>
  <c r="H110" i="36"/>
  <c r="N110" i="36" s="1"/>
  <c r="D110" i="36"/>
  <c r="B110" i="36"/>
  <c r="Z109" i="36"/>
  <c r="X109" i="36"/>
  <c r="N109" i="36"/>
  <c r="L109" i="36"/>
  <c r="B109" i="36"/>
  <c r="T108" i="36"/>
  <c r="X108" i="36" s="1"/>
  <c r="Z108" i="36" s="1"/>
  <c r="P108" i="36"/>
  <c r="H108" i="36"/>
  <c r="D108" i="36"/>
  <c r="B108" i="36"/>
  <c r="Z107" i="36"/>
  <c r="X107" i="36"/>
  <c r="N107" i="36"/>
  <c r="L107" i="36"/>
  <c r="B107" i="36"/>
  <c r="T106" i="36"/>
  <c r="P106" i="36"/>
  <c r="X106" i="36" s="1"/>
  <c r="H106" i="36"/>
  <c r="D106" i="36"/>
  <c r="L106" i="36" s="1"/>
  <c r="B106" i="36"/>
  <c r="X105" i="36"/>
  <c r="Z105" i="36" s="1"/>
  <c r="N105" i="36"/>
  <c r="L105" i="36"/>
  <c r="B105" i="36"/>
  <c r="X104" i="36"/>
  <c r="Z104" i="36" s="1"/>
  <c r="N104" i="36"/>
  <c r="L104" i="36"/>
  <c r="B104" i="36"/>
  <c r="Z103" i="36"/>
  <c r="X103" i="36"/>
  <c r="N103" i="36"/>
  <c r="L103" i="36"/>
  <c r="B103" i="36"/>
  <c r="X102" i="36"/>
  <c r="Z102" i="36" s="1"/>
  <c r="L102" i="36"/>
  <c r="N102" i="36" s="1"/>
  <c r="B102" i="36"/>
  <c r="X101" i="36"/>
  <c r="Z101" i="36" s="1"/>
  <c r="N101" i="36"/>
  <c r="L101" i="36"/>
  <c r="B101" i="36"/>
  <c r="X100" i="36"/>
  <c r="Z100" i="36" s="1"/>
  <c r="N100" i="36"/>
  <c r="L100" i="36"/>
  <c r="B100" i="36"/>
  <c r="Z99" i="36"/>
  <c r="X99" i="36"/>
  <c r="N99" i="36"/>
  <c r="L99" i="36"/>
  <c r="B99" i="36"/>
  <c r="Z98" i="36"/>
  <c r="X98" i="36"/>
  <c r="N98" i="36"/>
  <c r="L98" i="36"/>
  <c r="B98" i="36"/>
  <c r="X97" i="36"/>
  <c r="Z97" i="36" s="1"/>
  <c r="N97" i="36"/>
  <c r="L97" i="36"/>
  <c r="B97" i="36"/>
  <c r="X96" i="36"/>
  <c r="T96" i="36"/>
  <c r="Z96" i="36" s="1"/>
  <c r="R96" i="36"/>
  <c r="P96" i="36"/>
  <c r="L96" i="36"/>
  <c r="H96" i="36"/>
  <c r="N96" i="36" s="1"/>
  <c r="D96" i="36"/>
  <c r="B96" i="36"/>
  <c r="Z95" i="36"/>
  <c r="X95" i="36"/>
  <c r="R95" i="36"/>
  <c r="N95" i="36"/>
  <c r="L95" i="36"/>
  <c r="B95" i="36"/>
  <c r="X94" i="36"/>
  <c r="Z94" i="36" s="1"/>
  <c r="N94" i="36"/>
  <c r="L94" i="36"/>
  <c r="B94" i="36"/>
  <c r="T93" i="36"/>
  <c r="X93" i="36" s="1"/>
  <c r="Z93" i="36" s="1"/>
  <c r="P93" i="36"/>
  <c r="H93" i="36"/>
  <c r="D93" i="36"/>
  <c r="B93" i="36"/>
  <c r="X92" i="36"/>
  <c r="Z92" i="36" s="1"/>
  <c r="L92" i="36"/>
  <c r="N92" i="36" s="1"/>
  <c r="B92" i="36"/>
  <c r="Z91" i="36"/>
  <c r="X91" i="36"/>
  <c r="N91" i="36"/>
  <c r="L91" i="36"/>
  <c r="B91" i="36"/>
  <c r="Z90" i="36"/>
  <c r="X90" i="36"/>
  <c r="L90" i="36"/>
  <c r="N90" i="36" s="1"/>
  <c r="B90" i="36"/>
  <c r="Z89" i="36"/>
  <c r="X89" i="36"/>
  <c r="N89" i="36"/>
  <c r="L89" i="36"/>
  <c r="B89" i="36"/>
  <c r="X88" i="36"/>
  <c r="Z88" i="36" s="1"/>
  <c r="L88" i="36"/>
  <c r="N88" i="36" s="1"/>
  <c r="B88" i="36"/>
  <c r="T87" i="36"/>
  <c r="P87" i="36"/>
  <c r="X87" i="36" s="1"/>
  <c r="Z87" i="36" s="1"/>
  <c r="H87" i="36"/>
  <c r="D87" i="36"/>
  <c r="L87" i="36" s="1"/>
  <c r="N87" i="36" s="1"/>
  <c r="B87" i="36"/>
  <c r="X86" i="36"/>
  <c r="Z86" i="36" s="1"/>
  <c r="L86" i="36"/>
  <c r="N86" i="36" s="1"/>
  <c r="B86" i="36"/>
  <c r="X85" i="36"/>
  <c r="Z85" i="36" s="1"/>
  <c r="N85" i="36"/>
  <c r="L85" i="36"/>
  <c r="B85" i="36"/>
  <c r="X84" i="36"/>
  <c r="T84" i="36"/>
  <c r="Z84" i="36" s="1"/>
  <c r="R84" i="36"/>
  <c r="P84" i="36"/>
  <c r="L84" i="36"/>
  <c r="H84" i="36"/>
  <c r="N84" i="36" s="1"/>
  <c r="D84" i="36"/>
  <c r="B84" i="36"/>
  <c r="Z83" i="36"/>
  <c r="X83" i="36"/>
  <c r="R83" i="36"/>
  <c r="N83" i="36"/>
  <c r="L83" i="36"/>
  <c r="B83" i="36"/>
  <c r="X82" i="36"/>
  <c r="Z82" i="36" s="1"/>
  <c r="N82" i="36"/>
  <c r="L82" i="36"/>
  <c r="J82" i="36"/>
  <c r="B82" i="36"/>
  <c r="Z81" i="36"/>
  <c r="X81" i="36"/>
  <c r="N81" i="36"/>
  <c r="L81" i="36"/>
  <c r="B81" i="36"/>
  <c r="T80" i="36"/>
  <c r="X80" i="36" s="1"/>
  <c r="Z80" i="36" s="1"/>
  <c r="P80" i="36"/>
  <c r="H80" i="36"/>
  <c r="D80" i="36"/>
  <c r="B80" i="36"/>
  <c r="Z79" i="36"/>
  <c r="X79" i="36"/>
  <c r="N79" i="36"/>
  <c r="L79" i="36"/>
  <c r="B79" i="36"/>
  <c r="T78" i="36"/>
  <c r="P78" i="36"/>
  <c r="X78" i="36" s="1"/>
  <c r="H78" i="36"/>
  <c r="N78" i="36" s="1"/>
  <c r="D78" i="36"/>
  <c r="L78" i="36" s="1"/>
  <c r="B78" i="36"/>
  <c r="X77" i="36"/>
  <c r="Z77" i="36" s="1"/>
  <c r="N77" i="36"/>
  <c r="L77" i="36"/>
  <c r="B77" i="36"/>
  <c r="X76" i="36"/>
  <c r="T76" i="36"/>
  <c r="Z76" i="36" s="1"/>
  <c r="R76" i="36"/>
  <c r="P76" i="36"/>
  <c r="H76" i="36"/>
  <c r="N76" i="36" s="1"/>
  <c r="D76" i="36"/>
  <c r="L76" i="36" s="1"/>
  <c r="B76" i="36"/>
  <c r="Z75" i="36"/>
  <c r="X75" i="36"/>
  <c r="R75" i="36"/>
  <c r="N75" i="36"/>
  <c r="L75" i="36"/>
  <c r="B75" i="36"/>
  <c r="T74" i="36"/>
  <c r="P74" i="36"/>
  <c r="N74" i="36"/>
  <c r="H74" i="36"/>
  <c r="L74" i="36" s="1"/>
  <c r="D74" i="36"/>
  <c r="B74" i="36"/>
  <c r="Z73" i="36"/>
  <c r="X73" i="36"/>
  <c r="L73" i="36"/>
  <c r="N73" i="36" s="1"/>
  <c r="B73" i="36"/>
  <c r="T72" i="36"/>
  <c r="P72" i="36"/>
  <c r="X72" i="36" s="1"/>
  <c r="H72" i="36"/>
  <c r="N72" i="36" s="1"/>
  <c r="D72" i="36"/>
  <c r="L72" i="36" s="1"/>
  <c r="B72" i="36"/>
  <c r="Z71" i="36"/>
  <c r="X71" i="36"/>
  <c r="N71" i="36"/>
  <c r="L71" i="36"/>
  <c r="B71" i="36"/>
  <c r="T70" i="36"/>
  <c r="P70" i="36"/>
  <c r="X70" i="36" s="1"/>
  <c r="L70" i="36"/>
  <c r="H70" i="36"/>
  <c r="N70" i="36" s="1"/>
  <c r="D70" i="36"/>
  <c r="B70" i="36"/>
  <c r="Z69" i="36"/>
  <c r="X69" i="36"/>
  <c r="N69" i="36"/>
  <c r="L69" i="36"/>
  <c r="B69" i="36"/>
  <c r="Z68" i="36"/>
  <c r="X68" i="36"/>
  <c r="L68" i="36"/>
  <c r="N68" i="36" s="1"/>
  <c r="B68" i="36"/>
  <c r="T67" i="36"/>
  <c r="P67" i="36"/>
  <c r="H67" i="36"/>
  <c r="D67" i="36"/>
  <c r="L67" i="36" s="1"/>
  <c r="N67" i="36" s="1"/>
  <c r="B67" i="36"/>
  <c r="Z66" i="36"/>
  <c r="X66" i="36"/>
  <c r="N66" i="36"/>
  <c r="L66" i="36"/>
  <c r="B66" i="36"/>
  <c r="Z65" i="36"/>
  <c r="T65" i="36"/>
  <c r="P65" i="36"/>
  <c r="X65" i="36" s="1"/>
  <c r="N65" i="36"/>
  <c r="H65" i="36"/>
  <c r="D65" i="36"/>
  <c r="L65" i="36" s="1"/>
  <c r="B65" i="36"/>
  <c r="X64" i="36"/>
  <c r="Z64" i="36" s="1"/>
  <c r="N64" i="36"/>
  <c r="L64" i="36"/>
  <c r="B64" i="36"/>
  <c r="T63" i="36"/>
  <c r="P63" i="36"/>
  <c r="X63" i="36" s="1"/>
  <c r="Z63" i="36" s="1"/>
  <c r="L63" i="36"/>
  <c r="H63" i="36"/>
  <c r="N63" i="36" s="1"/>
  <c r="D63" i="36"/>
  <c r="B63" i="36"/>
  <c r="X62" i="36"/>
  <c r="Z62" i="36" s="1"/>
  <c r="N62" i="36"/>
  <c r="L62" i="36"/>
  <c r="B62" i="36"/>
  <c r="T61" i="36"/>
  <c r="X61" i="36" s="1"/>
  <c r="Z61" i="36" s="1"/>
  <c r="R61" i="36"/>
  <c r="P61" i="36"/>
  <c r="H61" i="36"/>
  <c r="D61" i="36"/>
  <c r="B61" i="36"/>
  <c r="X60" i="36"/>
  <c r="Z60" i="36" s="1"/>
  <c r="R60" i="36"/>
  <c r="L60" i="36"/>
  <c r="N60" i="36" s="1"/>
  <c r="B60" i="36"/>
  <c r="T59" i="36"/>
  <c r="P59" i="36"/>
  <c r="X59" i="36" s="1"/>
  <c r="Z59" i="36" s="1"/>
  <c r="H59" i="36"/>
  <c r="D59" i="36"/>
  <c r="L59" i="36" s="1"/>
  <c r="N59" i="36" s="1"/>
  <c r="B59" i="36"/>
  <c r="X58" i="36"/>
  <c r="Z58" i="36" s="1"/>
  <c r="L58" i="36"/>
  <c r="N58" i="36" s="1"/>
  <c r="B58" i="36"/>
  <c r="X57" i="36"/>
  <c r="Z57" i="36" s="1"/>
  <c r="N57" i="36"/>
  <c r="L57" i="36"/>
  <c r="B57" i="36"/>
  <c r="X56" i="36"/>
  <c r="Z56" i="36" s="1"/>
  <c r="N56" i="36"/>
  <c r="L56" i="36"/>
  <c r="B56" i="36"/>
  <c r="T55" i="36"/>
  <c r="P55" i="36"/>
  <c r="X55" i="36" s="1"/>
  <c r="Z55" i="36" s="1"/>
  <c r="L55" i="36"/>
  <c r="H55" i="36"/>
  <c r="N55" i="36" s="1"/>
  <c r="D55" i="36"/>
  <c r="B55" i="36"/>
  <c r="X54" i="36"/>
  <c r="Z54" i="36" s="1"/>
  <c r="N54" i="36"/>
  <c r="L54" i="36"/>
  <c r="J54" i="36"/>
  <c r="B54" i="36"/>
  <c r="T53" i="36"/>
  <c r="X53" i="36" s="1"/>
  <c r="Z53" i="36" s="1"/>
  <c r="R53" i="36"/>
  <c r="P53" i="36"/>
  <c r="H53" i="36"/>
  <c r="D53" i="36"/>
  <c r="B53" i="36"/>
  <c r="X52" i="36"/>
  <c r="Z52" i="36" s="1"/>
  <c r="R52" i="36"/>
  <c r="L52" i="36"/>
  <c r="N52" i="36" s="1"/>
  <c r="B52" i="36"/>
  <c r="T51" i="36"/>
  <c r="P51" i="36"/>
  <c r="X51" i="36" s="1"/>
  <c r="Z51" i="36" s="1"/>
  <c r="H51" i="36"/>
  <c r="D51" i="36"/>
  <c r="L51" i="36" s="1"/>
  <c r="N51" i="36" s="1"/>
  <c r="B51" i="36"/>
  <c r="X50" i="36"/>
  <c r="Z50" i="36" s="1"/>
  <c r="L50" i="36"/>
  <c r="N50" i="36" s="1"/>
  <c r="B50" i="36"/>
  <c r="X49" i="36"/>
  <c r="T49" i="36"/>
  <c r="P49" i="36"/>
  <c r="J49" i="36"/>
  <c r="H49" i="36"/>
  <c r="D49" i="36"/>
  <c r="L49" i="36" s="1"/>
  <c r="N49" i="36" s="1"/>
  <c r="B49" i="36"/>
  <c r="Z48" i="36"/>
  <c r="X48" i="36"/>
  <c r="L48" i="36"/>
  <c r="N48" i="36" s="1"/>
  <c r="B48" i="36"/>
  <c r="Z47" i="36"/>
  <c r="X47" i="36"/>
  <c r="R47" i="36"/>
  <c r="N47" i="36"/>
  <c r="L47" i="36"/>
  <c r="B47" i="36"/>
  <c r="X46" i="36"/>
  <c r="Z46" i="36" s="1"/>
  <c r="N46" i="36"/>
  <c r="L46" i="36"/>
  <c r="B46" i="36"/>
  <c r="Z45" i="36"/>
  <c r="X45" i="36"/>
  <c r="N45" i="36"/>
  <c r="L45" i="36"/>
  <c r="B45" i="36"/>
  <c r="Z44" i="36"/>
  <c r="X44" i="36"/>
  <c r="L44" i="36"/>
  <c r="N44" i="36" s="1"/>
  <c r="B44" i="36"/>
  <c r="Z43" i="36"/>
  <c r="X43" i="36"/>
  <c r="R43" i="36"/>
  <c r="N43" i="36"/>
  <c r="L43" i="36"/>
  <c r="B43" i="36"/>
  <c r="X42" i="36"/>
  <c r="Z42" i="36" s="1"/>
  <c r="N42" i="36"/>
  <c r="L42" i="36"/>
  <c r="J42" i="36"/>
  <c r="B42" i="36"/>
  <c r="T41" i="36"/>
  <c r="X41" i="36" s="1"/>
  <c r="Z41" i="36" s="1"/>
  <c r="R41" i="36"/>
  <c r="P41" i="36"/>
  <c r="H41" i="36"/>
  <c r="D41" i="36"/>
  <c r="B41" i="36"/>
  <c r="X40" i="36"/>
  <c r="Z40" i="36" s="1"/>
  <c r="R40" i="36"/>
  <c r="L40" i="36"/>
  <c r="N40" i="36" s="1"/>
  <c r="B40" i="36"/>
  <c r="Z39" i="36"/>
  <c r="X39" i="36"/>
  <c r="N39" i="36"/>
  <c r="L39" i="36"/>
  <c r="B39" i="36"/>
  <c r="Z38" i="36"/>
  <c r="X38" i="36"/>
  <c r="L38" i="36"/>
  <c r="N38" i="36" s="1"/>
  <c r="B38" i="36"/>
  <c r="Z37" i="36"/>
  <c r="X37" i="36"/>
  <c r="L37" i="36"/>
  <c r="N37" i="36" s="1"/>
  <c r="B37" i="36"/>
  <c r="X36" i="36"/>
  <c r="Z36" i="36" s="1"/>
  <c r="R36" i="36"/>
  <c r="L36" i="36"/>
  <c r="N36" i="36" s="1"/>
  <c r="B36" i="36"/>
  <c r="Z35" i="36"/>
  <c r="X35" i="36"/>
  <c r="N35" i="36"/>
  <c r="L35" i="36"/>
  <c r="B35" i="36"/>
  <c r="Z34" i="36"/>
  <c r="X34" i="36"/>
  <c r="L34" i="36"/>
  <c r="N34" i="36" s="1"/>
  <c r="B34" i="36"/>
  <c r="Z33" i="36"/>
  <c r="X33" i="36"/>
  <c r="L33" i="36"/>
  <c r="N33" i="36" s="1"/>
  <c r="B33" i="36"/>
  <c r="X32" i="36"/>
  <c r="Z32" i="36" s="1"/>
  <c r="R32" i="36"/>
  <c r="L32" i="36"/>
  <c r="N32" i="36" s="1"/>
  <c r="B32" i="36"/>
  <c r="T31" i="36"/>
  <c r="P31" i="36"/>
  <c r="X31" i="36" s="1"/>
  <c r="Z31" i="36" s="1"/>
  <c r="H31" i="36"/>
  <c r="D31" i="36"/>
  <c r="L31" i="36" s="1"/>
  <c r="N31" i="36" s="1"/>
  <c r="B31" i="36"/>
  <c r="T30" i="36"/>
  <c r="P30" i="36"/>
  <c r="X30" i="36" s="1"/>
  <c r="L30" i="36"/>
  <c r="H30" i="36"/>
  <c r="N30" i="36" s="1"/>
  <c r="D30" i="36"/>
  <c r="P28" i="36"/>
  <c r="X26" i="36"/>
  <c r="Z26" i="36" s="1"/>
  <c r="L26" i="36"/>
  <c r="N26" i="36" s="1"/>
  <c r="B26" i="36"/>
  <c r="X25" i="36"/>
  <c r="Z25" i="36" s="1"/>
  <c r="N25" i="36"/>
  <c r="L25" i="36"/>
  <c r="B25" i="36"/>
  <c r="X24" i="36"/>
  <c r="T24" i="36"/>
  <c r="Z24" i="36" s="1"/>
  <c r="R24" i="36"/>
  <c r="P24" i="36"/>
  <c r="H24" i="36"/>
  <c r="D24" i="36"/>
  <c r="L24" i="36" s="1"/>
  <c r="X22" i="36"/>
  <c r="T22" i="36"/>
  <c r="Z22" i="36" s="1"/>
  <c r="P22" i="36"/>
  <c r="H22" i="36"/>
  <c r="D22" i="36"/>
  <c r="L22" i="36" s="1"/>
  <c r="N22" i="36" s="1"/>
  <c r="B22" i="36"/>
  <c r="T21" i="36"/>
  <c r="P21" i="36"/>
  <c r="H21" i="36"/>
  <c r="D21" i="36"/>
  <c r="L21" i="36" s="1"/>
  <c r="N21" i="36" s="1"/>
  <c r="B21" i="36"/>
  <c r="X20" i="36"/>
  <c r="Z20" i="36" s="1"/>
  <c r="T20" i="36"/>
  <c r="P20" i="36"/>
  <c r="L20" i="36"/>
  <c r="N20" i="36" s="1"/>
  <c r="H20" i="36"/>
  <c r="D20" i="36"/>
  <c r="B20" i="36"/>
  <c r="X19" i="36"/>
  <c r="T19" i="36"/>
  <c r="Z19" i="36" s="1"/>
  <c r="P19" i="36"/>
  <c r="H19" i="36"/>
  <c r="D19" i="36"/>
  <c r="L19" i="36" s="1"/>
  <c r="N19" i="36" s="1"/>
  <c r="B19" i="36"/>
  <c r="X18" i="36"/>
  <c r="T18" i="36"/>
  <c r="Z18" i="36" s="1"/>
  <c r="P18" i="36"/>
  <c r="N18" i="36"/>
  <c r="H18" i="36"/>
  <c r="D18" i="36"/>
  <c r="L18" i="36" s="1"/>
  <c r="B18" i="36"/>
  <c r="T17" i="36"/>
  <c r="P17" i="36"/>
  <c r="H17" i="36"/>
  <c r="D17" i="36"/>
  <c r="L17" i="36" s="1"/>
  <c r="N17" i="36" s="1"/>
  <c r="B17" i="36"/>
  <c r="X16" i="36"/>
  <c r="Z16" i="36" s="1"/>
  <c r="T16" i="36"/>
  <c r="P16" i="36"/>
  <c r="L16" i="36"/>
  <c r="N16" i="36" s="1"/>
  <c r="H16" i="36"/>
  <c r="D16" i="36"/>
  <c r="B16" i="36"/>
  <c r="X15" i="36"/>
  <c r="T15" i="36"/>
  <c r="P15" i="36"/>
  <c r="H15" i="36"/>
  <c r="D15" i="36"/>
  <c r="L15" i="36" s="1"/>
  <c r="N15" i="36" s="1"/>
  <c r="B15" i="36"/>
  <c r="X14" i="36"/>
  <c r="T14" i="36"/>
  <c r="Z14" i="36" s="1"/>
  <c r="P14" i="36"/>
  <c r="N14" i="36"/>
  <c r="L14" i="36"/>
  <c r="H14" i="36"/>
  <c r="D14" i="36"/>
  <c r="B14" i="36"/>
  <c r="T13" i="36"/>
  <c r="P13" i="36"/>
  <c r="H13" i="36"/>
  <c r="H12" i="36" s="1"/>
  <c r="J72" i="36" s="1"/>
  <c r="D13" i="36"/>
  <c r="B13" i="36"/>
  <c r="P12" i="36"/>
  <c r="R119" i="36" s="1"/>
  <c r="D4" i="36"/>
  <c r="Z98" i="33"/>
  <c r="X98" i="33"/>
  <c r="N98" i="33"/>
  <c r="L98" i="33"/>
  <c r="T94" i="33"/>
  <c r="P94" i="33"/>
  <c r="X94" i="33" s="1"/>
  <c r="N94" i="33"/>
  <c r="H94" i="33"/>
  <c r="D94" i="33"/>
  <c r="L94" i="33" s="1"/>
  <c r="B94" i="33"/>
  <c r="T93" i="33"/>
  <c r="P93" i="33"/>
  <c r="X93" i="33" s="1"/>
  <c r="H93" i="33"/>
  <c r="D93" i="33"/>
  <c r="B93" i="33"/>
  <c r="X92" i="33"/>
  <c r="Z92" i="33" s="1"/>
  <c r="T92" i="33"/>
  <c r="P92" i="33"/>
  <c r="H92" i="33"/>
  <c r="D92" i="33"/>
  <c r="L92" i="33" s="1"/>
  <c r="N92" i="33" s="1"/>
  <c r="B92" i="33"/>
  <c r="Z91" i="33"/>
  <c r="X91" i="33"/>
  <c r="T91" i="33"/>
  <c r="P91" i="33"/>
  <c r="L91" i="33"/>
  <c r="H91" i="33"/>
  <c r="N91" i="33" s="1"/>
  <c r="D91" i="33"/>
  <c r="B91" i="33"/>
  <c r="T90" i="33"/>
  <c r="P90" i="33"/>
  <c r="X90" i="33" s="1"/>
  <c r="Z90" i="33" s="1"/>
  <c r="N90" i="33"/>
  <c r="H90" i="33"/>
  <c r="D90" i="33"/>
  <c r="L90" i="33" s="1"/>
  <c r="B90" i="33"/>
  <c r="T89" i="33"/>
  <c r="T88" i="33" s="1"/>
  <c r="P89" i="33"/>
  <c r="H89" i="33"/>
  <c r="N89" i="33" s="1"/>
  <c r="D89" i="33"/>
  <c r="L89" i="33" s="1"/>
  <c r="B89" i="33"/>
  <c r="Z86" i="33"/>
  <c r="X86" i="33"/>
  <c r="N86" i="33"/>
  <c r="L86" i="33"/>
  <c r="B86" i="33"/>
  <c r="Z85" i="33"/>
  <c r="X85" i="33"/>
  <c r="T85" i="33"/>
  <c r="P85" i="33"/>
  <c r="L85" i="33"/>
  <c r="H85" i="33"/>
  <c r="N85" i="33" s="1"/>
  <c r="D85" i="33"/>
  <c r="B85" i="33"/>
  <c r="Z84" i="33"/>
  <c r="X84" i="33"/>
  <c r="N84" i="33"/>
  <c r="L84" i="33"/>
  <c r="B84" i="33"/>
  <c r="T83" i="33"/>
  <c r="P83" i="33"/>
  <c r="X83" i="33" s="1"/>
  <c r="H83" i="33"/>
  <c r="N83" i="33" s="1"/>
  <c r="D83" i="33"/>
  <c r="B83" i="33"/>
  <c r="X82" i="33"/>
  <c r="Z82" i="33" s="1"/>
  <c r="N82" i="33"/>
  <c r="L82" i="33"/>
  <c r="B82" i="33"/>
  <c r="T81" i="33"/>
  <c r="P81" i="33"/>
  <c r="X81" i="33" s="1"/>
  <c r="H81" i="33"/>
  <c r="D81" i="33"/>
  <c r="L81" i="33" s="1"/>
  <c r="B81" i="33"/>
  <c r="Z80" i="33"/>
  <c r="X80" i="33"/>
  <c r="N80" i="33"/>
  <c r="L80" i="33"/>
  <c r="B80" i="33"/>
  <c r="X79" i="33"/>
  <c r="Z79" i="33" s="1"/>
  <c r="L79" i="33"/>
  <c r="N79" i="33" s="1"/>
  <c r="B79" i="33"/>
  <c r="Z78" i="33"/>
  <c r="X78" i="33"/>
  <c r="N78" i="33"/>
  <c r="L78" i="33"/>
  <c r="B78" i="33"/>
  <c r="Z77" i="33"/>
  <c r="X77" i="33"/>
  <c r="L77" i="33"/>
  <c r="N77" i="33" s="1"/>
  <c r="B77" i="33"/>
  <c r="Z76" i="33"/>
  <c r="X76" i="33"/>
  <c r="N76" i="33"/>
  <c r="L76" i="33"/>
  <c r="B76" i="33"/>
  <c r="X75" i="33"/>
  <c r="Z75" i="33" s="1"/>
  <c r="N75" i="33"/>
  <c r="L75" i="33"/>
  <c r="B75" i="33"/>
  <c r="T74" i="33"/>
  <c r="P74" i="33"/>
  <c r="X74" i="33" s="1"/>
  <c r="Z74" i="33" s="1"/>
  <c r="H74" i="33"/>
  <c r="D74" i="33"/>
  <c r="B74" i="33"/>
  <c r="X73" i="33"/>
  <c r="Z73" i="33" s="1"/>
  <c r="L73" i="33"/>
  <c r="N73" i="33" s="1"/>
  <c r="B73" i="33"/>
  <c r="Z72" i="33"/>
  <c r="X72" i="33"/>
  <c r="T72" i="33"/>
  <c r="P72" i="33"/>
  <c r="H72" i="33"/>
  <c r="D72" i="33"/>
  <c r="L72" i="33" s="1"/>
  <c r="N72" i="33" s="1"/>
  <c r="B72" i="33"/>
  <c r="X71" i="33"/>
  <c r="Z71" i="33" s="1"/>
  <c r="L71" i="33"/>
  <c r="N71" i="33" s="1"/>
  <c r="B71" i="33"/>
  <c r="X70" i="33"/>
  <c r="Z70" i="33" s="1"/>
  <c r="N70" i="33"/>
  <c r="L70" i="33"/>
  <c r="B70" i="33"/>
  <c r="Z69" i="33"/>
  <c r="X69" i="33"/>
  <c r="N69" i="33"/>
  <c r="L69" i="33"/>
  <c r="B69" i="33"/>
  <c r="T68" i="33"/>
  <c r="P68" i="33"/>
  <c r="X68" i="33" s="1"/>
  <c r="Z68" i="33" s="1"/>
  <c r="L68" i="33"/>
  <c r="N68" i="33" s="1"/>
  <c r="H68" i="33"/>
  <c r="D68" i="33"/>
  <c r="B68" i="33"/>
  <c r="X67" i="33"/>
  <c r="Z67" i="33" s="1"/>
  <c r="L67" i="33"/>
  <c r="N67" i="33" s="1"/>
  <c r="B67" i="33"/>
  <c r="T66" i="33"/>
  <c r="R66" i="33"/>
  <c r="P66" i="33"/>
  <c r="X66" i="33" s="1"/>
  <c r="Z66" i="33" s="1"/>
  <c r="H66" i="33"/>
  <c r="D66" i="33"/>
  <c r="L66" i="33" s="1"/>
  <c r="B66" i="33"/>
  <c r="X65" i="33"/>
  <c r="Z65" i="33" s="1"/>
  <c r="L65" i="33"/>
  <c r="N65" i="33" s="1"/>
  <c r="B65" i="33"/>
  <c r="Z64" i="33"/>
  <c r="X64" i="33"/>
  <c r="T64" i="33"/>
  <c r="P64" i="33"/>
  <c r="H64" i="33"/>
  <c r="D64" i="33"/>
  <c r="L64" i="33" s="1"/>
  <c r="N64" i="33" s="1"/>
  <c r="B64" i="33"/>
  <c r="X63" i="33"/>
  <c r="Z63" i="33" s="1"/>
  <c r="L63" i="33"/>
  <c r="N63" i="33" s="1"/>
  <c r="B63" i="33"/>
  <c r="X62" i="33"/>
  <c r="Z62" i="33" s="1"/>
  <c r="N62" i="33"/>
  <c r="L62" i="33"/>
  <c r="B62" i="33"/>
  <c r="T61" i="33"/>
  <c r="Z61" i="33" s="1"/>
  <c r="P61" i="33"/>
  <c r="X61" i="33" s="1"/>
  <c r="H61" i="33"/>
  <c r="D61" i="33"/>
  <c r="L61" i="33" s="1"/>
  <c r="B61" i="33"/>
  <c r="Z60" i="33"/>
  <c r="X60" i="33"/>
  <c r="N60" i="33"/>
  <c r="L60" i="33"/>
  <c r="B60" i="33"/>
  <c r="X59" i="33"/>
  <c r="T59" i="33"/>
  <c r="P59" i="33"/>
  <c r="N59" i="33"/>
  <c r="L59" i="33"/>
  <c r="H59" i="33"/>
  <c r="D59" i="33"/>
  <c r="B59" i="33"/>
  <c r="Z58" i="33"/>
  <c r="X58" i="33"/>
  <c r="L58" i="33"/>
  <c r="N58" i="33" s="1"/>
  <c r="B58" i="33"/>
  <c r="T57" i="33"/>
  <c r="P57" i="33"/>
  <c r="H57" i="33"/>
  <c r="D57" i="33"/>
  <c r="L57" i="33" s="1"/>
  <c r="B57" i="33"/>
  <c r="Z56" i="33"/>
  <c r="X56" i="33"/>
  <c r="N56" i="33"/>
  <c r="L56" i="33"/>
  <c r="B56" i="33"/>
  <c r="T55" i="33"/>
  <c r="Z55" i="33" s="1"/>
  <c r="P55" i="33"/>
  <c r="X55" i="33" s="1"/>
  <c r="H55" i="33"/>
  <c r="N55" i="33" s="1"/>
  <c r="D55" i="33"/>
  <c r="L55" i="33" s="1"/>
  <c r="B55" i="33"/>
  <c r="Z54" i="33"/>
  <c r="X54" i="33"/>
  <c r="N54" i="33"/>
  <c r="L54" i="33"/>
  <c r="B54" i="33"/>
  <c r="Z53" i="33"/>
  <c r="X53" i="33"/>
  <c r="T53" i="33"/>
  <c r="P53" i="33"/>
  <c r="L53" i="33"/>
  <c r="H53" i="33"/>
  <c r="D53" i="33"/>
  <c r="B53" i="33"/>
  <c r="Z52" i="33"/>
  <c r="X52" i="33"/>
  <c r="N52" i="33"/>
  <c r="L52" i="33"/>
  <c r="B52" i="33"/>
  <c r="X51" i="33"/>
  <c r="Z51" i="33" s="1"/>
  <c r="N51" i="33"/>
  <c r="L51" i="33"/>
  <c r="B51" i="33"/>
  <c r="Z50" i="33"/>
  <c r="X50" i="33"/>
  <c r="L50" i="33"/>
  <c r="N50" i="33" s="1"/>
  <c r="B50" i="33"/>
  <c r="X49" i="33"/>
  <c r="Z49" i="33" s="1"/>
  <c r="R49" i="33"/>
  <c r="L49" i="33"/>
  <c r="N49" i="33" s="1"/>
  <c r="B49" i="33"/>
  <c r="Z48" i="33"/>
  <c r="X48" i="33"/>
  <c r="T48" i="33"/>
  <c r="P48" i="33"/>
  <c r="H48" i="33"/>
  <c r="D48" i="33"/>
  <c r="L48" i="33" s="1"/>
  <c r="N48" i="33" s="1"/>
  <c r="B48" i="33"/>
  <c r="X47" i="33"/>
  <c r="Z47" i="33" s="1"/>
  <c r="L47" i="33"/>
  <c r="N47" i="33" s="1"/>
  <c r="B47" i="33"/>
  <c r="X46" i="33"/>
  <c r="Z46" i="33" s="1"/>
  <c r="N46" i="33"/>
  <c r="L46" i="33"/>
  <c r="B46" i="33"/>
  <c r="X45" i="33"/>
  <c r="Z45" i="33" s="1"/>
  <c r="L45" i="33"/>
  <c r="N45" i="33" s="1"/>
  <c r="B45" i="33"/>
  <c r="Z44" i="33"/>
  <c r="X44" i="33"/>
  <c r="N44" i="33"/>
  <c r="L44" i="33"/>
  <c r="B44" i="33"/>
  <c r="X43" i="33"/>
  <c r="Z43" i="33" s="1"/>
  <c r="L43" i="33"/>
  <c r="N43" i="33" s="1"/>
  <c r="B43" i="33"/>
  <c r="X42" i="33"/>
  <c r="Z42" i="33" s="1"/>
  <c r="N42" i="33"/>
  <c r="L42" i="33"/>
  <c r="B42" i="33"/>
  <c r="X41" i="33"/>
  <c r="Z41" i="33" s="1"/>
  <c r="L41" i="33"/>
  <c r="N41" i="33" s="1"/>
  <c r="B41" i="33"/>
  <c r="Z40" i="33"/>
  <c r="X40" i="33"/>
  <c r="N40" i="33"/>
  <c r="L40" i="33"/>
  <c r="B40" i="33"/>
  <c r="T39" i="33"/>
  <c r="Z39" i="33" s="1"/>
  <c r="P39" i="33"/>
  <c r="X39" i="33" s="1"/>
  <c r="H39" i="33"/>
  <c r="N39" i="33" s="1"/>
  <c r="D39" i="33"/>
  <c r="L39" i="33" s="1"/>
  <c r="B39" i="33"/>
  <c r="T38" i="33"/>
  <c r="P38" i="33"/>
  <c r="X38" i="33" s="1"/>
  <c r="H38" i="33"/>
  <c r="D38" i="33"/>
  <c r="L38" i="33" s="1"/>
  <c r="Z34" i="33"/>
  <c r="X34" i="33"/>
  <c r="N34" i="33"/>
  <c r="L34" i="33"/>
  <c r="B34" i="33"/>
  <c r="Z33" i="33"/>
  <c r="X33" i="33"/>
  <c r="L33" i="33"/>
  <c r="N33" i="33" s="1"/>
  <c r="B33" i="33"/>
  <c r="Z32" i="33"/>
  <c r="X32" i="33"/>
  <c r="N32" i="33"/>
  <c r="L32" i="33"/>
  <c r="B32" i="33"/>
  <c r="Z31" i="33"/>
  <c r="X31" i="33"/>
  <c r="N31" i="33"/>
  <c r="L31" i="33"/>
  <c r="B31" i="33"/>
  <c r="Z30" i="33"/>
  <c r="X30" i="33"/>
  <c r="N30" i="33"/>
  <c r="L30" i="33"/>
  <c r="B30" i="33"/>
  <c r="X29" i="33"/>
  <c r="Z29" i="33" s="1"/>
  <c r="T29" i="33"/>
  <c r="P29" i="33"/>
  <c r="L29" i="33"/>
  <c r="N29" i="33" s="1"/>
  <c r="H29" i="33"/>
  <c r="D29" i="33"/>
  <c r="X27" i="33"/>
  <c r="T27" i="33"/>
  <c r="Z27" i="33" s="1"/>
  <c r="P27" i="33"/>
  <c r="H27" i="33"/>
  <c r="D27" i="33"/>
  <c r="B27" i="33"/>
  <c r="T26" i="33"/>
  <c r="P26" i="33"/>
  <c r="X26" i="33" s="1"/>
  <c r="Z26" i="33" s="1"/>
  <c r="N26" i="33"/>
  <c r="L26" i="33"/>
  <c r="H26" i="33"/>
  <c r="D26" i="33"/>
  <c r="B26" i="33"/>
  <c r="T25" i="33"/>
  <c r="P25" i="33"/>
  <c r="H25" i="33"/>
  <c r="N25" i="33" s="1"/>
  <c r="D25" i="33"/>
  <c r="L25" i="33" s="1"/>
  <c r="B25" i="33"/>
  <c r="T24" i="33"/>
  <c r="P24" i="33"/>
  <c r="N24" i="33"/>
  <c r="L24" i="33"/>
  <c r="H24" i="33"/>
  <c r="D24" i="33"/>
  <c r="B24" i="33"/>
  <c r="T23" i="33"/>
  <c r="Z23" i="33" s="1"/>
  <c r="P23" i="33"/>
  <c r="X23" i="33" s="1"/>
  <c r="L23" i="33"/>
  <c r="H23" i="33"/>
  <c r="D23" i="33"/>
  <c r="B23" i="33"/>
  <c r="T22" i="33"/>
  <c r="P22" i="33"/>
  <c r="X22" i="33" s="1"/>
  <c r="Z22" i="33" s="1"/>
  <c r="L22" i="33"/>
  <c r="N22" i="33" s="1"/>
  <c r="H22" i="33"/>
  <c r="D22" i="33"/>
  <c r="B22" i="33"/>
  <c r="X21" i="33"/>
  <c r="T21" i="33"/>
  <c r="Z21" i="33" s="1"/>
  <c r="P21" i="33"/>
  <c r="H21" i="33"/>
  <c r="D21" i="33"/>
  <c r="B21" i="33"/>
  <c r="T20" i="33"/>
  <c r="P20" i="33"/>
  <c r="H20" i="33"/>
  <c r="L20" i="33" s="1"/>
  <c r="D20" i="33"/>
  <c r="B20" i="33"/>
  <c r="X19" i="33"/>
  <c r="T19" i="33"/>
  <c r="Z19" i="33" s="1"/>
  <c r="P19" i="33"/>
  <c r="H19" i="33"/>
  <c r="D19" i="33"/>
  <c r="B19" i="33"/>
  <c r="T18" i="33"/>
  <c r="Z18" i="33" s="1"/>
  <c r="P18" i="33"/>
  <c r="X18" i="33" s="1"/>
  <c r="H18" i="33"/>
  <c r="D18" i="33"/>
  <c r="B18" i="33"/>
  <c r="X17" i="33"/>
  <c r="Z17" i="33" s="1"/>
  <c r="T17" i="33"/>
  <c r="P17" i="33"/>
  <c r="H17" i="33"/>
  <c r="D17" i="33"/>
  <c r="L17" i="33" s="1"/>
  <c r="B17" i="33"/>
  <c r="T16" i="33"/>
  <c r="P16" i="33"/>
  <c r="H16" i="33"/>
  <c r="D16" i="33"/>
  <c r="B16" i="33"/>
  <c r="T15" i="33"/>
  <c r="Z15" i="33" s="1"/>
  <c r="P15" i="33"/>
  <c r="X15" i="33" s="1"/>
  <c r="H15" i="33"/>
  <c r="D15" i="33"/>
  <c r="L15" i="33" s="1"/>
  <c r="B15" i="33"/>
  <c r="T14" i="33"/>
  <c r="P14" i="33"/>
  <c r="H14" i="33"/>
  <c r="L14" i="33" s="1"/>
  <c r="D14" i="33"/>
  <c r="B14" i="33"/>
  <c r="X13" i="33"/>
  <c r="T13" i="33"/>
  <c r="Z13" i="33" s="1"/>
  <c r="P13" i="33"/>
  <c r="H13" i="33"/>
  <c r="D13" i="33"/>
  <c r="B13" i="33"/>
  <c r="P12" i="33"/>
  <c r="D4" i="33"/>
  <c r="X163" i="30"/>
  <c r="Z163" i="30" s="1"/>
  <c r="L163" i="30"/>
  <c r="N163" i="30" s="1"/>
  <c r="Z159" i="30"/>
  <c r="X159" i="30"/>
  <c r="T159" i="30"/>
  <c r="P159" i="30"/>
  <c r="H159" i="30"/>
  <c r="N159" i="30" s="1"/>
  <c r="D159" i="30"/>
  <c r="B159" i="30"/>
  <c r="T158" i="30"/>
  <c r="P158" i="30"/>
  <c r="P157" i="30" s="1"/>
  <c r="X157" i="30" s="1"/>
  <c r="N158" i="30"/>
  <c r="H158" i="30"/>
  <c r="H157" i="30" s="1"/>
  <c r="N157" i="30" s="1"/>
  <c r="D158" i="30"/>
  <c r="L158" i="30" s="1"/>
  <c r="B158" i="30"/>
  <c r="T157" i="30"/>
  <c r="D157" i="30"/>
  <c r="X155" i="30"/>
  <c r="Z155" i="30" s="1"/>
  <c r="N155" i="30"/>
  <c r="L155" i="30"/>
  <c r="B155" i="30"/>
  <c r="X154" i="30"/>
  <c r="V154" i="30"/>
  <c r="T154" i="30"/>
  <c r="P154" i="30"/>
  <c r="L154" i="30"/>
  <c r="N154" i="30" s="1"/>
  <c r="H154" i="30"/>
  <c r="D154" i="30"/>
  <c r="B154" i="30"/>
  <c r="Z153" i="30"/>
  <c r="X153" i="30"/>
  <c r="L153" i="30"/>
  <c r="N153" i="30" s="1"/>
  <c r="B153" i="30"/>
  <c r="Z152" i="30"/>
  <c r="X152" i="30"/>
  <c r="N152" i="30"/>
  <c r="L152" i="30"/>
  <c r="B152" i="30"/>
  <c r="T151" i="30"/>
  <c r="P151" i="30"/>
  <c r="N151" i="30"/>
  <c r="L151" i="30"/>
  <c r="H151" i="30"/>
  <c r="D151" i="30"/>
  <c r="B151" i="30"/>
  <c r="Z150" i="30"/>
  <c r="X150" i="30"/>
  <c r="N150" i="30"/>
  <c r="L150" i="30"/>
  <c r="B150" i="30"/>
  <c r="T149" i="30"/>
  <c r="P149" i="30"/>
  <c r="X149" i="30" s="1"/>
  <c r="H149" i="30"/>
  <c r="N149" i="30" s="1"/>
  <c r="D149" i="30"/>
  <c r="B149" i="30"/>
  <c r="X148" i="30"/>
  <c r="Z148" i="30" s="1"/>
  <c r="N148" i="30"/>
  <c r="L148" i="30"/>
  <c r="B148" i="30"/>
  <c r="T147" i="30"/>
  <c r="P147" i="30"/>
  <c r="X147" i="30" s="1"/>
  <c r="H147" i="30"/>
  <c r="D147" i="30"/>
  <c r="L147" i="30" s="1"/>
  <c r="B147" i="30"/>
  <c r="X146" i="30"/>
  <c r="Z146" i="30" s="1"/>
  <c r="N146" i="30"/>
  <c r="L146" i="30"/>
  <c r="B146" i="30"/>
  <c r="Z145" i="30"/>
  <c r="X145" i="30"/>
  <c r="N145" i="30"/>
  <c r="L145" i="30"/>
  <c r="B145" i="30"/>
  <c r="Z144" i="30"/>
  <c r="X144" i="30"/>
  <c r="N144" i="30"/>
  <c r="L144" i="30"/>
  <c r="B144" i="30"/>
  <c r="Z143" i="30"/>
  <c r="X143" i="30"/>
  <c r="N143" i="30"/>
  <c r="L143" i="30"/>
  <c r="B143" i="30"/>
  <c r="Z142" i="30"/>
  <c r="X142" i="30"/>
  <c r="N142" i="30"/>
  <c r="L142" i="30"/>
  <c r="B142" i="30"/>
  <c r="X141" i="30"/>
  <c r="Z141" i="30" s="1"/>
  <c r="N141" i="30"/>
  <c r="L141" i="30"/>
  <c r="B141" i="30"/>
  <c r="T140" i="30"/>
  <c r="P140" i="30"/>
  <c r="H140" i="30"/>
  <c r="N140" i="30" s="1"/>
  <c r="D140" i="30"/>
  <c r="L140" i="30" s="1"/>
  <c r="B140" i="30"/>
  <c r="Z139" i="30"/>
  <c r="X139" i="30"/>
  <c r="V139" i="30"/>
  <c r="N139" i="30"/>
  <c r="L139" i="30"/>
  <c r="B139" i="30"/>
  <c r="Z138" i="30"/>
  <c r="X138" i="30"/>
  <c r="N138" i="30"/>
  <c r="L138" i="30"/>
  <c r="B138" i="30"/>
  <c r="T137" i="30"/>
  <c r="P137" i="30"/>
  <c r="X137" i="30" s="1"/>
  <c r="H137" i="30"/>
  <c r="D137" i="30"/>
  <c r="B137" i="30"/>
  <c r="X136" i="30"/>
  <c r="Z136" i="30" s="1"/>
  <c r="N136" i="30"/>
  <c r="L136" i="30"/>
  <c r="B136" i="30"/>
  <c r="X135" i="30"/>
  <c r="Z135" i="30" s="1"/>
  <c r="N135" i="30"/>
  <c r="L135" i="30"/>
  <c r="B135" i="30"/>
  <c r="X134" i="30"/>
  <c r="Z134" i="30" s="1"/>
  <c r="V134" i="30"/>
  <c r="N134" i="30"/>
  <c r="L134" i="30"/>
  <c r="B134" i="30"/>
  <c r="T133" i="30"/>
  <c r="P133" i="30"/>
  <c r="X133" i="30" s="1"/>
  <c r="Z133" i="30" s="1"/>
  <c r="H133" i="30"/>
  <c r="N133" i="30" s="1"/>
  <c r="D133" i="30"/>
  <c r="L133" i="30" s="1"/>
  <c r="B133" i="30"/>
  <c r="Z132" i="30"/>
  <c r="X132" i="30"/>
  <c r="N132" i="30"/>
  <c r="L132" i="30"/>
  <c r="B132" i="30"/>
  <c r="Z131" i="30"/>
  <c r="X131" i="30"/>
  <c r="N131" i="30"/>
  <c r="L131" i="30"/>
  <c r="B131" i="30"/>
  <c r="T130" i="30"/>
  <c r="P130" i="30"/>
  <c r="X130" i="30" s="1"/>
  <c r="H130" i="30"/>
  <c r="D130" i="30"/>
  <c r="B130" i="30"/>
  <c r="X129" i="30"/>
  <c r="Z129" i="30" s="1"/>
  <c r="L129" i="30"/>
  <c r="N129" i="30" s="1"/>
  <c r="B129" i="30"/>
  <c r="Z128" i="30"/>
  <c r="X128" i="30"/>
  <c r="L128" i="30"/>
  <c r="N128" i="30" s="1"/>
  <c r="B128" i="30"/>
  <c r="T127" i="30"/>
  <c r="P127" i="30"/>
  <c r="H127" i="30"/>
  <c r="D127" i="30"/>
  <c r="L127" i="30" s="1"/>
  <c r="B127" i="30"/>
  <c r="X126" i="30"/>
  <c r="Z126" i="30" s="1"/>
  <c r="V126" i="30"/>
  <c r="L126" i="30"/>
  <c r="N126" i="30" s="1"/>
  <c r="B126" i="30"/>
  <c r="T125" i="30"/>
  <c r="P125" i="30"/>
  <c r="X125" i="30" s="1"/>
  <c r="Z125" i="30" s="1"/>
  <c r="H125" i="30"/>
  <c r="N125" i="30" s="1"/>
  <c r="D125" i="30"/>
  <c r="L125" i="30" s="1"/>
  <c r="B125" i="30"/>
  <c r="Z124" i="30"/>
  <c r="X124" i="30"/>
  <c r="N124" i="30"/>
  <c r="L124" i="30"/>
  <c r="B124" i="30"/>
  <c r="T123" i="30"/>
  <c r="P123" i="30"/>
  <c r="N123" i="30"/>
  <c r="L123" i="30"/>
  <c r="H123" i="30"/>
  <c r="D123" i="30"/>
  <c r="B123" i="30"/>
  <c r="Z122" i="30"/>
  <c r="X122" i="30"/>
  <c r="L122" i="30"/>
  <c r="N122" i="30" s="1"/>
  <c r="B122" i="30"/>
  <c r="T121" i="30"/>
  <c r="Z121" i="30" s="1"/>
  <c r="P121" i="30"/>
  <c r="X121" i="30" s="1"/>
  <c r="H121" i="30"/>
  <c r="D121" i="30"/>
  <c r="B121" i="30"/>
  <c r="X120" i="30"/>
  <c r="Z120" i="30" s="1"/>
  <c r="N120" i="30"/>
  <c r="L120" i="30"/>
  <c r="B120" i="30"/>
  <c r="T119" i="30"/>
  <c r="Z119" i="30" s="1"/>
  <c r="P119" i="30"/>
  <c r="X119" i="30" s="1"/>
  <c r="H119" i="30"/>
  <c r="D119" i="30"/>
  <c r="L119" i="30" s="1"/>
  <c r="N119" i="30" s="1"/>
  <c r="B119" i="30"/>
  <c r="X118" i="30"/>
  <c r="Z118" i="30" s="1"/>
  <c r="N118" i="30"/>
  <c r="L118" i="30"/>
  <c r="B118" i="30"/>
  <c r="Z117" i="30"/>
  <c r="X117" i="30"/>
  <c r="T117" i="30"/>
  <c r="P117" i="30"/>
  <c r="H117" i="30"/>
  <c r="D117" i="30"/>
  <c r="B117" i="30"/>
  <c r="Z116" i="30"/>
  <c r="X116" i="30"/>
  <c r="N116" i="30"/>
  <c r="L116" i="30"/>
  <c r="B116" i="30"/>
  <c r="X115" i="30"/>
  <c r="Z115" i="30" s="1"/>
  <c r="V115" i="30"/>
  <c r="N115" i="30"/>
  <c r="L115" i="30"/>
  <c r="B115" i="30"/>
  <c r="T114" i="30"/>
  <c r="P114" i="30"/>
  <c r="X114" i="30" s="1"/>
  <c r="Z114" i="30" s="1"/>
  <c r="N114" i="30"/>
  <c r="H114" i="30"/>
  <c r="D114" i="30"/>
  <c r="L114" i="30" s="1"/>
  <c r="B114" i="30"/>
  <c r="X113" i="30"/>
  <c r="Z113" i="30" s="1"/>
  <c r="N113" i="30"/>
  <c r="L113" i="30"/>
  <c r="B113" i="30"/>
  <c r="X112" i="30"/>
  <c r="Z112" i="30" s="1"/>
  <c r="T112" i="30"/>
  <c r="P112" i="30"/>
  <c r="N112" i="30"/>
  <c r="L112" i="30"/>
  <c r="H112" i="30"/>
  <c r="D112" i="30"/>
  <c r="B112" i="30"/>
  <c r="Z111" i="30"/>
  <c r="X111" i="30"/>
  <c r="N111" i="30"/>
  <c r="L111" i="30"/>
  <c r="B111" i="30"/>
  <c r="X110" i="30"/>
  <c r="Z110" i="30" s="1"/>
  <c r="N110" i="30"/>
  <c r="L110" i="30"/>
  <c r="B110" i="30"/>
  <c r="Z109" i="30"/>
  <c r="X109" i="30"/>
  <c r="T109" i="30"/>
  <c r="P109" i="30"/>
  <c r="H109" i="30"/>
  <c r="D109" i="30"/>
  <c r="B109" i="30"/>
  <c r="Z108" i="30"/>
  <c r="X108" i="30"/>
  <c r="L108" i="30"/>
  <c r="N108" i="30" s="1"/>
  <c r="B108" i="30"/>
  <c r="T107" i="30"/>
  <c r="P107" i="30"/>
  <c r="H107" i="30"/>
  <c r="N107" i="30" s="1"/>
  <c r="D107" i="30"/>
  <c r="L107" i="30" s="1"/>
  <c r="B107" i="30"/>
  <c r="X106" i="30"/>
  <c r="Z106" i="30" s="1"/>
  <c r="V106" i="30"/>
  <c r="L106" i="30"/>
  <c r="N106" i="30" s="1"/>
  <c r="B106" i="30"/>
  <c r="T105" i="30"/>
  <c r="P105" i="30"/>
  <c r="X105" i="30" s="1"/>
  <c r="Z105" i="30" s="1"/>
  <c r="H105" i="30"/>
  <c r="N105" i="30" s="1"/>
  <c r="D105" i="30"/>
  <c r="L105" i="30" s="1"/>
  <c r="B105" i="30"/>
  <c r="Z104" i="30"/>
  <c r="X104" i="30"/>
  <c r="N104" i="30"/>
  <c r="L104" i="30"/>
  <c r="B104" i="30"/>
  <c r="T103" i="30"/>
  <c r="P103" i="30"/>
  <c r="L103" i="30"/>
  <c r="N103" i="30" s="1"/>
  <c r="H103" i="30"/>
  <c r="D103" i="30"/>
  <c r="B103" i="30"/>
  <c r="Z102" i="30"/>
  <c r="X102" i="30"/>
  <c r="N102" i="30"/>
  <c r="L102" i="30"/>
  <c r="B102" i="30"/>
  <c r="X101" i="30"/>
  <c r="Z101" i="30" s="1"/>
  <c r="L101" i="30"/>
  <c r="N101" i="30" s="1"/>
  <c r="B101" i="30"/>
  <c r="Z100" i="30"/>
  <c r="X100" i="30"/>
  <c r="N100" i="30"/>
  <c r="L100" i="30"/>
  <c r="B100" i="30"/>
  <c r="X99" i="30"/>
  <c r="Z99" i="30" s="1"/>
  <c r="V99" i="30"/>
  <c r="L99" i="30"/>
  <c r="N99" i="30" s="1"/>
  <c r="B99" i="30"/>
  <c r="Z98" i="30"/>
  <c r="X98" i="30"/>
  <c r="N98" i="30"/>
  <c r="L98" i="30"/>
  <c r="B98" i="30"/>
  <c r="X97" i="30"/>
  <c r="Z97" i="30" s="1"/>
  <c r="L97" i="30"/>
  <c r="N97" i="30" s="1"/>
  <c r="B97" i="30"/>
  <c r="Z96" i="30"/>
  <c r="T96" i="30"/>
  <c r="P96" i="30"/>
  <c r="X96" i="30" s="1"/>
  <c r="H96" i="30"/>
  <c r="D96" i="30"/>
  <c r="L96" i="30" s="1"/>
  <c r="N96" i="30" s="1"/>
  <c r="B96" i="30"/>
  <c r="X95" i="30"/>
  <c r="Z95" i="30" s="1"/>
  <c r="N95" i="30"/>
  <c r="L95" i="30"/>
  <c r="B95" i="30"/>
  <c r="X94" i="30"/>
  <c r="Z94" i="30" s="1"/>
  <c r="V94" i="30"/>
  <c r="L94" i="30"/>
  <c r="N94" i="30" s="1"/>
  <c r="B94" i="30"/>
  <c r="X93" i="30"/>
  <c r="Z93" i="30" s="1"/>
  <c r="L93" i="30"/>
  <c r="N93" i="30" s="1"/>
  <c r="B93" i="30"/>
  <c r="X92" i="30"/>
  <c r="Z92" i="30" s="1"/>
  <c r="N92" i="30"/>
  <c r="L92" i="30"/>
  <c r="B92" i="30"/>
  <c r="X91" i="30"/>
  <c r="Z91" i="30" s="1"/>
  <c r="N91" i="30"/>
  <c r="L91" i="30"/>
  <c r="B91" i="30"/>
  <c r="X90" i="30"/>
  <c r="Z90" i="30" s="1"/>
  <c r="V90" i="30"/>
  <c r="L90" i="30"/>
  <c r="N90" i="30" s="1"/>
  <c r="B90" i="30"/>
  <c r="X89" i="30"/>
  <c r="Z89" i="30" s="1"/>
  <c r="L89" i="30"/>
  <c r="N89" i="30" s="1"/>
  <c r="B89" i="30"/>
  <c r="X88" i="30"/>
  <c r="Z88" i="30" s="1"/>
  <c r="N88" i="30"/>
  <c r="L88" i="30"/>
  <c r="B88" i="30"/>
  <c r="T87" i="30"/>
  <c r="Z87" i="30" s="1"/>
  <c r="P87" i="30"/>
  <c r="X87" i="30" s="1"/>
  <c r="H87" i="30"/>
  <c r="D87" i="30"/>
  <c r="L87" i="30" s="1"/>
  <c r="N87" i="30" s="1"/>
  <c r="B87" i="30"/>
  <c r="T86" i="30"/>
  <c r="Z86" i="30" s="1"/>
  <c r="P86" i="30"/>
  <c r="X86" i="30" s="1"/>
  <c r="H86" i="30"/>
  <c r="D86" i="30"/>
  <c r="X82" i="30"/>
  <c r="Z82" i="30" s="1"/>
  <c r="N82" i="30"/>
  <c r="L82" i="30"/>
  <c r="B82" i="30"/>
  <c r="X81" i="30"/>
  <c r="Z81" i="30" s="1"/>
  <c r="L81" i="30"/>
  <c r="N81" i="30" s="1"/>
  <c r="B81" i="30"/>
  <c r="Z80" i="30"/>
  <c r="X80" i="30"/>
  <c r="N80" i="30"/>
  <c r="L80" i="30"/>
  <c r="B80" i="30"/>
  <c r="Z79" i="30"/>
  <c r="X79" i="30"/>
  <c r="N79" i="30"/>
  <c r="L79" i="30"/>
  <c r="B79" i="30"/>
  <c r="X78" i="30"/>
  <c r="Z78" i="30" s="1"/>
  <c r="N78" i="30"/>
  <c r="L78" i="30"/>
  <c r="B78" i="30"/>
  <c r="Z77" i="30"/>
  <c r="X77" i="30"/>
  <c r="L77" i="30"/>
  <c r="N77" i="30" s="1"/>
  <c r="B77" i="30"/>
  <c r="Z76" i="30"/>
  <c r="X76" i="30"/>
  <c r="N76" i="30"/>
  <c r="L76" i="30"/>
  <c r="B76" i="30"/>
  <c r="Z75" i="30"/>
  <c r="X75" i="30"/>
  <c r="N75" i="30"/>
  <c r="L75" i="30"/>
  <c r="B75" i="30"/>
  <c r="Z74" i="30"/>
  <c r="X74" i="30"/>
  <c r="N74" i="30"/>
  <c r="L74" i="30"/>
  <c r="B74" i="30"/>
  <c r="Z73" i="30"/>
  <c r="X73" i="30"/>
  <c r="N73" i="30"/>
  <c r="L73" i="30"/>
  <c r="B73" i="30"/>
  <c r="Z72" i="30"/>
  <c r="X72" i="30"/>
  <c r="N72" i="30"/>
  <c r="L72" i="30"/>
  <c r="B72" i="30"/>
  <c r="Z71" i="30"/>
  <c r="X71" i="30"/>
  <c r="L71" i="30"/>
  <c r="N71" i="30" s="1"/>
  <c r="B71" i="30"/>
  <c r="X70" i="30"/>
  <c r="Z70" i="30" s="1"/>
  <c r="N70" i="30"/>
  <c r="L70" i="30"/>
  <c r="B70" i="30"/>
  <c r="X69" i="30"/>
  <c r="Z69" i="30" s="1"/>
  <c r="N69" i="30"/>
  <c r="L69" i="30"/>
  <c r="B69" i="30"/>
  <c r="Z68" i="30"/>
  <c r="X68" i="30"/>
  <c r="N68" i="30"/>
  <c r="L68" i="30"/>
  <c r="B68" i="30"/>
  <c r="Z67" i="30"/>
  <c r="X67" i="30"/>
  <c r="L67" i="30"/>
  <c r="N67" i="30" s="1"/>
  <c r="B67" i="30"/>
  <c r="X66" i="30"/>
  <c r="Z66" i="30" s="1"/>
  <c r="N66" i="30"/>
  <c r="L66" i="30"/>
  <c r="B66" i="30"/>
  <c r="Z65" i="30"/>
  <c r="X65" i="30"/>
  <c r="L65" i="30"/>
  <c r="N65" i="30" s="1"/>
  <c r="B65" i="30"/>
  <c r="Z64" i="30"/>
  <c r="X64" i="30"/>
  <c r="N64" i="30"/>
  <c r="L64" i="30"/>
  <c r="B64" i="30"/>
  <c r="Z63" i="30"/>
  <c r="X63" i="30"/>
  <c r="L63" i="30"/>
  <c r="N63" i="30" s="1"/>
  <c r="B63" i="30"/>
  <c r="X62" i="30"/>
  <c r="Z62" i="30" s="1"/>
  <c r="N62" i="30"/>
  <c r="L62" i="30"/>
  <c r="B62" i="30"/>
  <c r="Z61" i="30"/>
  <c r="X61" i="30"/>
  <c r="N61" i="30"/>
  <c r="L61" i="30"/>
  <c r="B61" i="30"/>
  <c r="Z60" i="30"/>
  <c r="X60" i="30"/>
  <c r="N60" i="30"/>
  <c r="L60" i="30"/>
  <c r="B60" i="30"/>
  <c r="Z59" i="30"/>
  <c r="X59" i="30"/>
  <c r="N59" i="30"/>
  <c r="L59" i="30"/>
  <c r="B59" i="30"/>
  <c r="X58" i="30"/>
  <c r="Z58" i="30" s="1"/>
  <c r="N58" i="30"/>
  <c r="L58" i="30"/>
  <c r="B58" i="30"/>
  <c r="Z57" i="30"/>
  <c r="X57" i="30"/>
  <c r="L57" i="30"/>
  <c r="N57" i="30" s="1"/>
  <c r="B57" i="30"/>
  <c r="Z56" i="30"/>
  <c r="X56" i="30"/>
  <c r="N56" i="30"/>
  <c r="L56" i="30"/>
  <c r="B56" i="30"/>
  <c r="T55" i="30"/>
  <c r="P55" i="30"/>
  <c r="N55" i="30"/>
  <c r="L55" i="30"/>
  <c r="H55" i="30"/>
  <c r="D55" i="30"/>
  <c r="T53" i="30"/>
  <c r="P53" i="30"/>
  <c r="X53" i="30" s="1"/>
  <c r="Z53" i="30" s="1"/>
  <c r="H53" i="30"/>
  <c r="N53" i="30" s="1"/>
  <c r="D53" i="30"/>
  <c r="B53" i="30"/>
  <c r="T52" i="30"/>
  <c r="Z52" i="30" s="1"/>
  <c r="P52" i="30"/>
  <c r="X52" i="30" s="1"/>
  <c r="H52" i="30"/>
  <c r="D52" i="30"/>
  <c r="B52" i="30"/>
  <c r="Z51" i="30"/>
  <c r="X51" i="30"/>
  <c r="T51" i="30"/>
  <c r="P51" i="30"/>
  <c r="H51" i="30"/>
  <c r="D51" i="30"/>
  <c r="B51" i="30"/>
  <c r="Z50" i="30"/>
  <c r="T50" i="30"/>
  <c r="P50" i="30"/>
  <c r="X50" i="30" s="1"/>
  <c r="N50" i="30"/>
  <c r="L50" i="30"/>
  <c r="H50" i="30"/>
  <c r="D50" i="30"/>
  <c r="B50" i="30"/>
  <c r="T49" i="30"/>
  <c r="P49" i="30"/>
  <c r="X49" i="30" s="1"/>
  <c r="Z49" i="30" s="1"/>
  <c r="H49" i="30"/>
  <c r="N49" i="30" s="1"/>
  <c r="D49" i="30"/>
  <c r="L49" i="30" s="1"/>
  <c r="B49" i="30"/>
  <c r="T48" i="30"/>
  <c r="Z48" i="30" s="1"/>
  <c r="P48" i="30"/>
  <c r="X48" i="30" s="1"/>
  <c r="H48" i="30"/>
  <c r="D48" i="30"/>
  <c r="B48" i="30"/>
  <c r="Z47" i="30"/>
  <c r="X47" i="30"/>
  <c r="T47" i="30"/>
  <c r="P47" i="30"/>
  <c r="H47" i="30"/>
  <c r="D47" i="30"/>
  <c r="B47" i="30"/>
  <c r="Z46" i="30"/>
  <c r="T46" i="30"/>
  <c r="P46" i="30"/>
  <c r="X46" i="30" s="1"/>
  <c r="N46" i="30"/>
  <c r="L46" i="30"/>
  <c r="H46" i="30"/>
  <c r="D46" i="30"/>
  <c r="B46" i="30"/>
  <c r="T45" i="30"/>
  <c r="P45" i="30"/>
  <c r="X45" i="30" s="1"/>
  <c r="Z45" i="30" s="1"/>
  <c r="H45" i="30"/>
  <c r="D45" i="30"/>
  <c r="L45" i="30" s="1"/>
  <c r="B45" i="30"/>
  <c r="T44" i="30"/>
  <c r="P44" i="30"/>
  <c r="X44" i="30" s="1"/>
  <c r="H44" i="30"/>
  <c r="D44" i="30"/>
  <c r="B44" i="30"/>
  <c r="Z43" i="30"/>
  <c r="X43" i="30"/>
  <c r="T43" i="30"/>
  <c r="P43" i="30"/>
  <c r="H43" i="30"/>
  <c r="N43" i="30" s="1"/>
  <c r="D43" i="30"/>
  <c r="B43" i="30"/>
  <c r="Z42" i="30"/>
  <c r="T42" i="30"/>
  <c r="P42" i="30"/>
  <c r="X42" i="30" s="1"/>
  <c r="N42" i="30"/>
  <c r="L42" i="30"/>
  <c r="H42" i="30"/>
  <c r="D42" i="30"/>
  <c r="B42" i="30"/>
  <c r="T41" i="30"/>
  <c r="P41" i="30"/>
  <c r="X41" i="30" s="1"/>
  <c r="Z41" i="30" s="1"/>
  <c r="H41" i="30"/>
  <c r="N41" i="30" s="1"/>
  <c r="D41" i="30"/>
  <c r="B41" i="30"/>
  <c r="T40" i="30"/>
  <c r="Z40" i="30" s="1"/>
  <c r="P40" i="30"/>
  <c r="X40" i="30" s="1"/>
  <c r="H40" i="30"/>
  <c r="D40" i="30"/>
  <c r="B40" i="30"/>
  <c r="X39" i="30"/>
  <c r="Z39" i="30" s="1"/>
  <c r="T39" i="30"/>
  <c r="P39" i="30"/>
  <c r="H39" i="30"/>
  <c r="D39" i="30"/>
  <c r="B39" i="30"/>
  <c r="Z38" i="30"/>
  <c r="T38" i="30"/>
  <c r="P38" i="30"/>
  <c r="X38" i="30" s="1"/>
  <c r="N38" i="30"/>
  <c r="L38" i="30"/>
  <c r="H38" i="30"/>
  <c r="D38" i="30"/>
  <c r="B38" i="30"/>
  <c r="T37" i="30"/>
  <c r="P37" i="30"/>
  <c r="X37" i="30" s="1"/>
  <c r="Z37" i="30" s="1"/>
  <c r="H37" i="30"/>
  <c r="D37" i="30"/>
  <c r="B37" i="30"/>
  <c r="T36" i="30"/>
  <c r="P36" i="30"/>
  <c r="X36" i="30" s="1"/>
  <c r="H36" i="30"/>
  <c r="D36" i="30"/>
  <c r="B36" i="30"/>
  <c r="Z35" i="30"/>
  <c r="X35" i="30"/>
  <c r="T35" i="30"/>
  <c r="P35" i="30"/>
  <c r="H35" i="30"/>
  <c r="D35" i="30"/>
  <c r="B35" i="30"/>
  <c r="T34" i="30"/>
  <c r="P34" i="30"/>
  <c r="X34" i="30" s="1"/>
  <c r="Z34" i="30" s="1"/>
  <c r="N34" i="30"/>
  <c r="L34" i="30"/>
  <c r="H34" i="30"/>
  <c r="D34" i="30"/>
  <c r="B34" i="30"/>
  <c r="Z33" i="30"/>
  <c r="T33" i="30"/>
  <c r="P33" i="30"/>
  <c r="X33" i="30" s="1"/>
  <c r="H33" i="30"/>
  <c r="N33" i="30" s="1"/>
  <c r="D33" i="30"/>
  <c r="B33" i="30"/>
  <c r="T32" i="30"/>
  <c r="Z32" i="30" s="1"/>
  <c r="P32" i="30"/>
  <c r="X32" i="30" s="1"/>
  <c r="H32" i="30"/>
  <c r="D32" i="30"/>
  <c r="B32" i="30"/>
  <c r="Z31" i="30"/>
  <c r="X31" i="30"/>
  <c r="T31" i="30"/>
  <c r="P31" i="30"/>
  <c r="H31" i="30"/>
  <c r="N31" i="30" s="1"/>
  <c r="D31" i="30"/>
  <c r="B31" i="30"/>
  <c r="Z30" i="30"/>
  <c r="T30" i="30"/>
  <c r="P30" i="30"/>
  <c r="X30" i="30" s="1"/>
  <c r="N30" i="30"/>
  <c r="L30" i="30"/>
  <c r="H30" i="30"/>
  <c r="D30" i="30"/>
  <c r="B30" i="30"/>
  <c r="Z29" i="30"/>
  <c r="T29" i="30"/>
  <c r="P29" i="30"/>
  <c r="X29" i="30" s="1"/>
  <c r="H29" i="30"/>
  <c r="N29" i="30" s="1"/>
  <c r="D29" i="30"/>
  <c r="B29" i="30"/>
  <c r="T28" i="30"/>
  <c r="Z28" i="30" s="1"/>
  <c r="P28" i="30"/>
  <c r="X28" i="30" s="1"/>
  <c r="H28" i="30"/>
  <c r="D28" i="30"/>
  <c r="B28" i="30"/>
  <c r="Z27" i="30"/>
  <c r="X27" i="30"/>
  <c r="T27" i="30"/>
  <c r="P27" i="30"/>
  <c r="H27" i="30"/>
  <c r="N27" i="30" s="1"/>
  <c r="D27" i="30"/>
  <c r="B27" i="30"/>
  <c r="Z26" i="30"/>
  <c r="T26" i="30"/>
  <c r="P26" i="30"/>
  <c r="X26" i="30" s="1"/>
  <c r="N26" i="30"/>
  <c r="L26" i="30"/>
  <c r="H26" i="30"/>
  <c r="D26" i="30"/>
  <c r="B26" i="30"/>
  <c r="T25" i="30"/>
  <c r="P25" i="30"/>
  <c r="X25" i="30" s="1"/>
  <c r="Z25" i="30" s="1"/>
  <c r="H25" i="30"/>
  <c r="N25" i="30" s="1"/>
  <c r="D25" i="30"/>
  <c r="B25" i="30"/>
  <c r="T24" i="30"/>
  <c r="Z24" i="30" s="1"/>
  <c r="P24" i="30"/>
  <c r="X24" i="30" s="1"/>
  <c r="H24" i="30"/>
  <c r="D24" i="30"/>
  <c r="B24" i="30"/>
  <c r="X23" i="30"/>
  <c r="Z23" i="30" s="1"/>
  <c r="T23" i="30"/>
  <c r="P23" i="30"/>
  <c r="H23" i="30"/>
  <c r="D23" i="30"/>
  <c r="B23" i="30"/>
  <c r="T22" i="30"/>
  <c r="P22" i="30"/>
  <c r="X22" i="30" s="1"/>
  <c r="Z22" i="30" s="1"/>
  <c r="N22" i="30"/>
  <c r="L22" i="30"/>
  <c r="H22" i="30"/>
  <c r="D22" i="30"/>
  <c r="B22" i="30"/>
  <c r="T21" i="30"/>
  <c r="P21" i="30"/>
  <c r="X21" i="30" s="1"/>
  <c r="Z21" i="30" s="1"/>
  <c r="H21" i="30"/>
  <c r="D21" i="30"/>
  <c r="L21" i="30" s="1"/>
  <c r="B21" i="30"/>
  <c r="T20" i="30"/>
  <c r="P20" i="30"/>
  <c r="X20" i="30" s="1"/>
  <c r="H20" i="30"/>
  <c r="D20" i="30"/>
  <c r="B20" i="30"/>
  <c r="Z19" i="30"/>
  <c r="X19" i="30"/>
  <c r="T19" i="30"/>
  <c r="P19" i="30"/>
  <c r="H19" i="30"/>
  <c r="D19" i="30"/>
  <c r="B19" i="30"/>
  <c r="Z18" i="30"/>
  <c r="T18" i="30"/>
  <c r="P18" i="30"/>
  <c r="X18" i="30" s="1"/>
  <c r="N18" i="30"/>
  <c r="L18" i="30"/>
  <c r="H18" i="30"/>
  <c r="D18" i="30"/>
  <c r="B18" i="30"/>
  <c r="Z17" i="30"/>
  <c r="T17" i="30"/>
  <c r="P17" i="30"/>
  <c r="X17" i="30" s="1"/>
  <c r="H17" i="30"/>
  <c r="N17" i="30" s="1"/>
  <c r="D17" i="30"/>
  <c r="B17" i="30"/>
  <c r="T16" i="30"/>
  <c r="Z16" i="30" s="1"/>
  <c r="P16" i="30"/>
  <c r="X16" i="30" s="1"/>
  <c r="H16" i="30"/>
  <c r="D16" i="30"/>
  <c r="B16" i="30"/>
  <c r="Z15" i="30"/>
  <c r="X15" i="30"/>
  <c r="T15" i="30"/>
  <c r="P15" i="30"/>
  <c r="H15" i="30"/>
  <c r="N15" i="30" s="1"/>
  <c r="D15" i="30"/>
  <c r="B15" i="30"/>
  <c r="Z14" i="30"/>
  <c r="T14" i="30"/>
  <c r="P14" i="30"/>
  <c r="X14" i="30" s="1"/>
  <c r="N14" i="30"/>
  <c r="L14" i="30"/>
  <c r="H14" i="30"/>
  <c r="D14" i="30"/>
  <c r="B14" i="30"/>
  <c r="Z13" i="30"/>
  <c r="T13" i="30"/>
  <c r="P13" i="30"/>
  <c r="H13" i="30"/>
  <c r="D13" i="30"/>
  <c r="B13" i="30"/>
  <c r="T12" i="30"/>
  <c r="V157" i="30" s="1"/>
  <c r="D4" i="30"/>
  <c r="Z120" i="27"/>
  <c r="X120" i="27"/>
  <c r="N120" i="27"/>
  <c r="L120" i="27"/>
  <c r="T116" i="27"/>
  <c r="P116" i="27"/>
  <c r="H116" i="27"/>
  <c r="D116" i="27"/>
  <c r="L116" i="27" s="1"/>
  <c r="B116" i="27"/>
  <c r="X115" i="27"/>
  <c r="T115" i="27"/>
  <c r="P115" i="27"/>
  <c r="N115" i="27"/>
  <c r="L115" i="27"/>
  <c r="H115" i="27"/>
  <c r="D115" i="27"/>
  <c r="B115" i="27"/>
  <c r="T114" i="27"/>
  <c r="P114" i="27"/>
  <c r="P113" i="27" s="1"/>
  <c r="H114" i="27"/>
  <c r="D114" i="27"/>
  <c r="B114" i="27"/>
  <c r="D113" i="27"/>
  <c r="Z111" i="27"/>
  <c r="X111" i="27"/>
  <c r="N111" i="27"/>
  <c r="L111" i="27"/>
  <c r="B111" i="27"/>
  <c r="T110" i="27"/>
  <c r="P110" i="27"/>
  <c r="H110" i="27"/>
  <c r="N110" i="27" s="1"/>
  <c r="D110" i="27"/>
  <c r="L110" i="27" s="1"/>
  <c r="B110" i="27"/>
  <c r="X109" i="27"/>
  <c r="Z109" i="27" s="1"/>
  <c r="N109" i="27"/>
  <c r="L109" i="27"/>
  <c r="B109" i="27"/>
  <c r="T108" i="27"/>
  <c r="P108" i="27"/>
  <c r="X108" i="27" s="1"/>
  <c r="Z108" i="27" s="1"/>
  <c r="H108" i="27"/>
  <c r="N108" i="27" s="1"/>
  <c r="D108" i="27"/>
  <c r="L108" i="27" s="1"/>
  <c r="B108" i="27"/>
  <c r="Z107" i="27"/>
  <c r="X107" i="27"/>
  <c r="N107" i="27"/>
  <c r="L107" i="27"/>
  <c r="B107" i="27"/>
  <c r="Z106" i="27"/>
  <c r="X106" i="27"/>
  <c r="L106" i="27"/>
  <c r="N106" i="27" s="1"/>
  <c r="B106" i="27"/>
  <c r="T105" i="27"/>
  <c r="P105" i="27"/>
  <c r="H105" i="27"/>
  <c r="D105" i="27"/>
  <c r="L105" i="27" s="1"/>
  <c r="N105" i="27" s="1"/>
  <c r="B105" i="27"/>
  <c r="X104" i="27"/>
  <c r="Z104" i="27" s="1"/>
  <c r="N104" i="27"/>
  <c r="L104" i="27"/>
  <c r="B104" i="27"/>
  <c r="Z103" i="27"/>
  <c r="X103" i="27"/>
  <c r="N103" i="27"/>
  <c r="L103" i="27"/>
  <c r="B103" i="27"/>
  <c r="X102" i="27"/>
  <c r="Z102" i="27" s="1"/>
  <c r="N102" i="27"/>
  <c r="L102" i="27"/>
  <c r="B102" i="27"/>
  <c r="T101" i="27"/>
  <c r="P101" i="27"/>
  <c r="X101" i="27" s="1"/>
  <c r="Z101" i="27" s="1"/>
  <c r="N101" i="27"/>
  <c r="H101" i="27"/>
  <c r="D101" i="27"/>
  <c r="L101" i="27" s="1"/>
  <c r="B101" i="27"/>
  <c r="X100" i="27"/>
  <c r="Z100" i="27" s="1"/>
  <c r="L100" i="27"/>
  <c r="N100" i="27" s="1"/>
  <c r="B100" i="27"/>
  <c r="Z99" i="27"/>
  <c r="X99" i="27"/>
  <c r="T99" i="27"/>
  <c r="P99" i="27"/>
  <c r="L99" i="27"/>
  <c r="H99" i="27"/>
  <c r="N99" i="27" s="1"/>
  <c r="D99" i="27"/>
  <c r="B99" i="27"/>
  <c r="Z98" i="27"/>
  <c r="X98" i="27"/>
  <c r="N98" i="27"/>
  <c r="L98" i="27"/>
  <c r="B98" i="27"/>
  <c r="X97" i="27"/>
  <c r="Z97" i="27" s="1"/>
  <c r="N97" i="27"/>
  <c r="L97" i="27"/>
  <c r="B97" i="27"/>
  <c r="T96" i="27"/>
  <c r="P96" i="27"/>
  <c r="X96" i="27" s="1"/>
  <c r="Z96" i="27" s="1"/>
  <c r="L96" i="27"/>
  <c r="H96" i="27"/>
  <c r="N96" i="27" s="1"/>
  <c r="D96" i="27"/>
  <c r="B96" i="27"/>
  <c r="Z95" i="27"/>
  <c r="X95" i="27"/>
  <c r="N95" i="27"/>
  <c r="L95" i="27"/>
  <c r="B95" i="27"/>
  <c r="T94" i="27"/>
  <c r="P94" i="27"/>
  <c r="H94" i="27"/>
  <c r="D94" i="27"/>
  <c r="B94" i="27"/>
  <c r="X93" i="27"/>
  <c r="Z93" i="27" s="1"/>
  <c r="N93" i="27"/>
  <c r="L93" i="27"/>
  <c r="B93" i="27"/>
  <c r="Z92" i="27"/>
  <c r="X92" i="27"/>
  <c r="T92" i="27"/>
  <c r="P92" i="27"/>
  <c r="H92" i="27"/>
  <c r="N92" i="27" s="1"/>
  <c r="D92" i="27"/>
  <c r="B92" i="27"/>
  <c r="Z91" i="27"/>
  <c r="X91" i="27"/>
  <c r="N91" i="27"/>
  <c r="L91" i="27"/>
  <c r="B91" i="27"/>
  <c r="Z90" i="27"/>
  <c r="X90" i="27"/>
  <c r="L90" i="27"/>
  <c r="N90" i="27" s="1"/>
  <c r="B90" i="27"/>
  <c r="T89" i="27"/>
  <c r="P89" i="27"/>
  <c r="H89" i="27"/>
  <c r="D89" i="27"/>
  <c r="L89" i="27" s="1"/>
  <c r="N89" i="27" s="1"/>
  <c r="B89" i="27"/>
  <c r="X88" i="27"/>
  <c r="Z88" i="27" s="1"/>
  <c r="N88" i="27"/>
  <c r="L88" i="27"/>
  <c r="B88" i="27"/>
  <c r="T87" i="27"/>
  <c r="P87" i="27"/>
  <c r="X87" i="27" s="1"/>
  <c r="Z87" i="27" s="1"/>
  <c r="N87" i="27"/>
  <c r="H87" i="27"/>
  <c r="D87" i="27"/>
  <c r="L87" i="27" s="1"/>
  <c r="B87" i="27"/>
  <c r="Z86" i="27"/>
  <c r="X86" i="27"/>
  <c r="N86" i="27"/>
  <c r="L86" i="27"/>
  <c r="B86" i="27"/>
  <c r="X85" i="27"/>
  <c r="T85" i="27"/>
  <c r="P85" i="27"/>
  <c r="N85" i="27"/>
  <c r="L85" i="27"/>
  <c r="H85" i="27"/>
  <c r="D85" i="27"/>
  <c r="B85" i="27"/>
  <c r="X84" i="27"/>
  <c r="Z84" i="27" s="1"/>
  <c r="N84" i="27"/>
  <c r="L84" i="27"/>
  <c r="B84" i="27"/>
  <c r="Z83" i="27"/>
  <c r="X83" i="27"/>
  <c r="N83" i="27"/>
  <c r="L83" i="27"/>
  <c r="B83" i="27"/>
  <c r="T82" i="27"/>
  <c r="P82" i="27"/>
  <c r="N82" i="27"/>
  <c r="L82" i="27"/>
  <c r="H82" i="27"/>
  <c r="D82" i="27"/>
  <c r="B82" i="27"/>
  <c r="Z81" i="27"/>
  <c r="X81" i="27"/>
  <c r="L81" i="27"/>
  <c r="N81" i="27" s="1"/>
  <c r="B81" i="27"/>
  <c r="X80" i="27"/>
  <c r="T80" i="27"/>
  <c r="P80" i="27"/>
  <c r="H80" i="27"/>
  <c r="D80" i="27"/>
  <c r="B80" i="27"/>
  <c r="Z79" i="27"/>
  <c r="X79" i="27"/>
  <c r="N79" i="27"/>
  <c r="L79" i="27"/>
  <c r="B79" i="27"/>
  <c r="Z78" i="27"/>
  <c r="X78" i="27"/>
  <c r="N78" i="27"/>
  <c r="L78" i="27"/>
  <c r="B78" i="27"/>
  <c r="X77" i="27"/>
  <c r="Z77" i="27" s="1"/>
  <c r="N77" i="27"/>
  <c r="L77" i="27"/>
  <c r="B77" i="27"/>
  <c r="X76" i="27"/>
  <c r="Z76" i="27" s="1"/>
  <c r="L76" i="27"/>
  <c r="N76" i="27" s="1"/>
  <c r="B76" i="27"/>
  <c r="Z75" i="27"/>
  <c r="X75" i="27"/>
  <c r="N75" i="27"/>
  <c r="L75" i="27"/>
  <c r="B75" i="27"/>
  <c r="Z74" i="27"/>
  <c r="X74" i="27"/>
  <c r="N74" i="27"/>
  <c r="L74" i="27"/>
  <c r="B74" i="27"/>
  <c r="X73" i="27"/>
  <c r="T73" i="27"/>
  <c r="P73" i="27"/>
  <c r="H73" i="27"/>
  <c r="D73" i="27"/>
  <c r="B73" i="27"/>
  <c r="X72" i="27"/>
  <c r="Z72" i="27" s="1"/>
  <c r="L72" i="27"/>
  <c r="N72" i="27" s="1"/>
  <c r="B72" i="27"/>
  <c r="Z71" i="27"/>
  <c r="X71" i="27"/>
  <c r="N71" i="27"/>
  <c r="L71" i="27"/>
  <c r="B71" i="27"/>
  <c r="Z70" i="27"/>
  <c r="X70" i="27"/>
  <c r="L70" i="27"/>
  <c r="N70" i="27" s="1"/>
  <c r="B70" i="27"/>
  <c r="X69" i="27"/>
  <c r="Z69" i="27" s="1"/>
  <c r="L69" i="27"/>
  <c r="N69" i="27" s="1"/>
  <c r="B69" i="27"/>
  <c r="X68" i="27"/>
  <c r="Z68" i="27" s="1"/>
  <c r="L68" i="27"/>
  <c r="N68" i="27" s="1"/>
  <c r="B68" i="27"/>
  <c r="Z67" i="27"/>
  <c r="X67" i="27"/>
  <c r="N67" i="27"/>
  <c r="L67" i="27"/>
  <c r="B67" i="27"/>
  <c r="Z66" i="27"/>
  <c r="X66" i="27"/>
  <c r="L66" i="27"/>
  <c r="N66" i="27" s="1"/>
  <c r="B66" i="27"/>
  <c r="X65" i="27"/>
  <c r="Z65" i="27" s="1"/>
  <c r="L65" i="27"/>
  <c r="N65" i="27" s="1"/>
  <c r="B65" i="27"/>
  <c r="X64" i="27"/>
  <c r="Z64" i="27" s="1"/>
  <c r="L64" i="27"/>
  <c r="N64" i="27" s="1"/>
  <c r="B64" i="27"/>
  <c r="T63" i="27"/>
  <c r="P63" i="27"/>
  <c r="X63" i="27" s="1"/>
  <c r="H63" i="27"/>
  <c r="D63" i="27"/>
  <c r="B63" i="27"/>
  <c r="X62" i="27"/>
  <c r="T62" i="27"/>
  <c r="P62" i="27"/>
  <c r="H62" i="27"/>
  <c r="D62" i="27"/>
  <c r="X58" i="27"/>
  <c r="Z58" i="27" s="1"/>
  <c r="N58" i="27"/>
  <c r="L58" i="27"/>
  <c r="B58" i="27"/>
  <c r="X57" i="27"/>
  <c r="Z57" i="27" s="1"/>
  <c r="L57" i="27"/>
  <c r="N57" i="27" s="1"/>
  <c r="B57" i="27"/>
  <c r="X56" i="27"/>
  <c r="Z56" i="27" s="1"/>
  <c r="N56" i="27"/>
  <c r="L56" i="27"/>
  <c r="B56" i="27"/>
  <c r="X55" i="27"/>
  <c r="Z55" i="27" s="1"/>
  <c r="N55" i="27"/>
  <c r="L55" i="27"/>
  <c r="B55" i="27"/>
  <c r="X54" i="27"/>
  <c r="Z54" i="27" s="1"/>
  <c r="N54" i="27"/>
  <c r="L54" i="27"/>
  <c r="B54" i="27"/>
  <c r="Z53" i="27"/>
  <c r="X53" i="27"/>
  <c r="L53" i="27"/>
  <c r="N53" i="27" s="1"/>
  <c r="B53" i="27"/>
  <c r="X52" i="27"/>
  <c r="Z52" i="27" s="1"/>
  <c r="L52" i="27"/>
  <c r="N52" i="27" s="1"/>
  <c r="B52" i="27"/>
  <c r="X51" i="27"/>
  <c r="Z51" i="27" s="1"/>
  <c r="L51" i="27"/>
  <c r="N51" i="27" s="1"/>
  <c r="B51" i="27"/>
  <c r="X50" i="27"/>
  <c r="Z50" i="27" s="1"/>
  <c r="N50" i="27"/>
  <c r="L50" i="27"/>
  <c r="B50" i="27"/>
  <c r="X49" i="27"/>
  <c r="Z49" i="27" s="1"/>
  <c r="L49" i="27"/>
  <c r="N49" i="27" s="1"/>
  <c r="B49" i="27"/>
  <c r="X48" i="27"/>
  <c r="Z48" i="27" s="1"/>
  <c r="N48" i="27"/>
  <c r="L48" i="27"/>
  <c r="B48" i="27"/>
  <c r="X47" i="27"/>
  <c r="Z47" i="27" s="1"/>
  <c r="N47" i="27"/>
  <c r="L47" i="27"/>
  <c r="B47" i="27"/>
  <c r="X46" i="27"/>
  <c r="Z46" i="27" s="1"/>
  <c r="N46" i="27"/>
  <c r="L46" i="27"/>
  <c r="B46" i="27"/>
  <c r="Z45" i="27"/>
  <c r="X45" i="27"/>
  <c r="L45" i="27"/>
  <c r="N45" i="27" s="1"/>
  <c r="B45" i="27"/>
  <c r="X44" i="27"/>
  <c r="Z44" i="27" s="1"/>
  <c r="L44" i="27"/>
  <c r="N44" i="27" s="1"/>
  <c r="B44" i="27"/>
  <c r="T43" i="27"/>
  <c r="P43" i="27"/>
  <c r="X43" i="27" s="1"/>
  <c r="Z43" i="27" s="1"/>
  <c r="L43" i="27"/>
  <c r="N43" i="27" s="1"/>
  <c r="H43" i="27"/>
  <c r="D43" i="27"/>
  <c r="X41" i="27"/>
  <c r="T41" i="27"/>
  <c r="Z41" i="27" s="1"/>
  <c r="P41" i="27"/>
  <c r="N41" i="27"/>
  <c r="H41" i="27"/>
  <c r="D41" i="27"/>
  <c r="L41" i="27" s="1"/>
  <c r="B41" i="27"/>
  <c r="X40" i="27"/>
  <c r="T40" i="27"/>
  <c r="P40" i="27"/>
  <c r="L40" i="27"/>
  <c r="N40" i="27" s="1"/>
  <c r="H40" i="27"/>
  <c r="D40" i="27"/>
  <c r="B40" i="27"/>
  <c r="T39" i="27"/>
  <c r="P39" i="27"/>
  <c r="N39" i="27"/>
  <c r="L39" i="27"/>
  <c r="H39" i="27"/>
  <c r="D39" i="27"/>
  <c r="B39" i="27"/>
  <c r="X38" i="27"/>
  <c r="T38" i="27"/>
  <c r="P38" i="27"/>
  <c r="H38" i="27"/>
  <c r="D38" i="27"/>
  <c r="L38" i="27" s="1"/>
  <c r="N38" i="27" s="1"/>
  <c r="B38" i="27"/>
  <c r="Z37" i="27"/>
  <c r="X37" i="27"/>
  <c r="T37" i="27"/>
  <c r="P37" i="27"/>
  <c r="N37" i="27"/>
  <c r="H37" i="27"/>
  <c r="D37" i="27"/>
  <c r="L37" i="27" s="1"/>
  <c r="B37" i="27"/>
  <c r="T36" i="27"/>
  <c r="P36" i="27"/>
  <c r="X36" i="27" s="1"/>
  <c r="N36" i="27"/>
  <c r="H36" i="27"/>
  <c r="D36" i="27"/>
  <c r="L36" i="27" s="1"/>
  <c r="B36" i="27"/>
  <c r="T35" i="27"/>
  <c r="P35" i="27"/>
  <c r="N35" i="27"/>
  <c r="L35" i="27"/>
  <c r="H35" i="27"/>
  <c r="D35" i="27"/>
  <c r="B35" i="27"/>
  <c r="T34" i="27"/>
  <c r="P34" i="27"/>
  <c r="X34" i="27" s="1"/>
  <c r="N34" i="27"/>
  <c r="L34" i="27"/>
  <c r="H34" i="27"/>
  <c r="D34" i="27"/>
  <c r="B34" i="27"/>
  <c r="Z33" i="27"/>
  <c r="X33" i="27"/>
  <c r="T33" i="27"/>
  <c r="P33" i="27"/>
  <c r="L33" i="27"/>
  <c r="H33" i="27"/>
  <c r="N33" i="27" s="1"/>
  <c r="D33" i="27"/>
  <c r="B33" i="27"/>
  <c r="T32" i="27"/>
  <c r="P32" i="27"/>
  <c r="X32" i="27" s="1"/>
  <c r="N32" i="27"/>
  <c r="L32" i="27"/>
  <c r="H32" i="27"/>
  <c r="D32" i="27"/>
  <c r="B32" i="27"/>
  <c r="Z31" i="27"/>
  <c r="X31" i="27"/>
  <c r="T31" i="27"/>
  <c r="P31" i="27"/>
  <c r="H31" i="27"/>
  <c r="D31" i="27"/>
  <c r="L31" i="27" s="1"/>
  <c r="B31" i="27"/>
  <c r="T30" i="27"/>
  <c r="P30" i="27"/>
  <c r="X30" i="27" s="1"/>
  <c r="Z30" i="27" s="1"/>
  <c r="H30" i="27"/>
  <c r="D30" i="27"/>
  <c r="L30" i="27" s="1"/>
  <c r="N30" i="27" s="1"/>
  <c r="B30" i="27"/>
  <c r="T29" i="27"/>
  <c r="P29" i="27"/>
  <c r="H29" i="27"/>
  <c r="D29" i="27"/>
  <c r="L29" i="27" s="1"/>
  <c r="B29" i="27"/>
  <c r="T28" i="27"/>
  <c r="P28" i="27"/>
  <c r="X28" i="27" s="1"/>
  <c r="Z28" i="27" s="1"/>
  <c r="N28" i="27"/>
  <c r="L28" i="27"/>
  <c r="H28" i="27"/>
  <c r="D28" i="27"/>
  <c r="B28" i="27"/>
  <c r="Z27" i="27"/>
  <c r="X27" i="27"/>
  <c r="T27" i="27"/>
  <c r="P27" i="27"/>
  <c r="H27" i="27"/>
  <c r="D27" i="27"/>
  <c r="L27" i="27" s="1"/>
  <c r="B27" i="27"/>
  <c r="T26" i="27"/>
  <c r="P26" i="27"/>
  <c r="X26" i="27" s="1"/>
  <c r="Z26" i="27" s="1"/>
  <c r="H26" i="27"/>
  <c r="D26" i="27"/>
  <c r="L26" i="27" s="1"/>
  <c r="N26" i="27" s="1"/>
  <c r="B26" i="27"/>
  <c r="T25" i="27"/>
  <c r="X25" i="27" s="1"/>
  <c r="Z25" i="27" s="1"/>
  <c r="P25" i="27"/>
  <c r="H25" i="27"/>
  <c r="N25" i="27" s="1"/>
  <c r="D25" i="27"/>
  <c r="L25" i="27" s="1"/>
  <c r="B25" i="27"/>
  <c r="T24" i="27"/>
  <c r="P24" i="27"/>
  <c r="X24" i="27" s="1"/>
  <c r="Z24" i="27" s="1"/>
  <c r="L24" i="27"/>
  <c r="N24" i="27" s="1"/>
  <c r="H24" i="27"/>
  <c r="D24" i="27"/>
  <c r="B24" i="27"/>
  <c r="Z23" i="27"/>
  <c r="X23" i="27"/>
  <c r="T23" i="27"/>
  <c r="P23" i="27"/>
  <c r="H23" i="27"/>
  <c r="D23" i="27"/>
  <c r="L23" i="27" s="1"/>
  <c r="B23" i="27"/>
  <c r="T22" i="27"/>
  <c r="P22" i="27"/>
  <c r="X22" i="27" s="1"/>
  <c r="Z22" i="27" s="1"/>
  <c r="H22" i="27"/>
  <c r="D22" i="27"/>
  <c r="L22" i="27" s="1"/>
  <c r="N22" i="27" s="1"/>
  <c r="B22" i="27"/>
  <c r="X21" i="27"/>
  <c r="T21" i="27"/>
  <c r="Z21" i="27" s="1"/>
  <c r="P21" i="27"/>
  <c r="H21" i="27"/>
  <c r="D21" i="27"/>
  <c r="L21" i="27" s="1"/>
  <c r="B21" i="27"/>
  <c r="T20" i="27"/>
  <c r="P20" i="27"/>
  <c r="X20" i="27" s="1"/>
  <c r="Z20" i="27" s="1"/>
  <c r="L20" i="27"/>
  <c r="N20" i="27" s="1"/>
  <c r="H20" i="27"/>
  <c r="D20" i="27"/>
  <c r="B20" i="27"/>
  <c r="Z19" i="27"/>
  <c r="X19" i="27"/>
  <c r="T19" i="27"/>
  <c r="P19" i="27"/>
  <c r="H19" i="27"/>
  <c r="D19" i="27"/>
  <c r="B19" i="27"/>
  <c r="T18" i="27"/>
  <c r="P18" i="27"/>
  <c r="X18" i="27" s="1"/>
  <c r="Z18" i="27" s="1"/>
  <c r="H18" i="27"/>
  <c r="D18" i="27"/>
  <c r="L18" i="27" s="1"/>
  <c r="N18" i="27" s="1"/>
  <c r="B18" i="27"/>
  <c r="X17" i="27"/>
  <c r="Z17" i="27" s="1"/>
  <c r="T17" i="27"/>
  <c r="P17" i="27"/>
  <c r="H17" i="27"/>
  <c r="N17" i="27" s="1"/>
  <c r="D17" i="27"/>
  <c r="L17" i="27" s="1"/>
  <c r="B17" i="27"/>
  <c r="T16" i="27"/>
  <c r="P16" i="27"/>
  <c r="X16" i="27" s="1"/>
  <c r="Z16" i="27" s="1"/>
  <c r="L16" i="27"/>
  <c r="N16" i="27" s="1"/>
  <c r="H16" i="27"/>
  <c r="D16" i="27"/>
  <c r="B16" i="27"/>
  <c r="Z15" i="27"/>
  <c r="X15" i="27"/>
  <c r="T15" i="27"/>
  <c r="P15" i="27"/>
  <c r="H15" i="27"/>
  <c r="D15" i="27"/>
  <c r="B15" i="27"/>
  <c r="T14" i="27"/>
  <c r="P14" i="27"/>
  <c r="X14" i="27" s="1"/>
  <c r="Z14" i="27" s="1"/>
  <c r="H14" i="27"/>
  <c r="D14" i="27"/>
  <c r="L14" i="27" s="1"/>
  <c r="N14" i="27" s="1"/>
  <c r="B14" i="27"/>
  <c r="X13" i="27"/>
  <c r="T13" i="27"/>
  <c r="P13" i="27"/>
  <c r="H13" i="27"/>
  <c r="D13" i="27"/>
  <c r="L13" i="27" s="1"/>
  <c r="B13" i="27"/>
  <c r="D4" i="27"/>
  <c r="Z129" i="24"/>
  <c r="X129" i="24"/>
  <c r="L129" i="24"/>
  <c r="N129" i="24" s="1"/>
  <c r="T125" i="24"/>
  <c r="T124" i="24" s="1"/>
  <c r="P125" i="24"/>
  <c r="X125" i="24" s="1"/>
  <c r="H125" i="24"/>
  <c r="D125" i="24"/>
  <c r="L125" i="24" s="1"/>
  <c r="N125" i="24" s="1"/>
  <c r="B125" i="24"/>
  <c r="P124" i="24"/>
  <c r="X124" i="24" s="1"/>
  <c r="H124" i="24"/>
  <c r="D124" i="24"/>
  <c r="X122" i="24"/>
  <c r="Z122" i="24" s="1"/>
  <c r="L122" i="24"/>
  <c r="N122" i="24" s="1"/>
  <c r="B122" i="24"/>
  <c r="Z121" i="24"/>
  <c r="T121" i="24"/>
  <c r="P121" i="24"/>
  <c r="X121" i="24" s="1"/>
  <c r="H121" i="24"/>
  <c r="D121" i="24"/>
  <c r="L121" i="24" s="1"/>
  <c r="N121" i="24" s="1"/>
  <c r="B121" i="24"/>
  <c r="X120" i="24"/>
  <c r="Z120" i="24" s="1"/>
  <c r="N120" i="24"/>
  <c r="L120" i="24"/>
  <c r="B120" i="24"/>
  <c r="Z119" i="24"/>
  <c r="X119" i="24"/>
  <c r="T119" i="24"/>
  <c r="P119" i="24"/>
  <c r="N119" i="24"/>
  <c r="L119" i="24"/>
  <c r="H119" i="24"/>
  <c r="D119" i="24"/>
  <c r="B119" i="24"/>
  <c r="X118" i="24"/>
  <c r="Z118" i="24" s="1"/>
  <c r="L118" i="24"/>
  <c r="N118" i="24" s="1"/>
  <c r="B118" i="24"/>
  <c r="T117" i="24"/>
  <c r="P117" i="24"/>
  <c r="H117" i="24"/>
  <c r="N117" i="24" s="1"/>
  <c r="D117" i="24"/>
  <c r="L117" i="24" s="1"/>
  <c r="B117" i="24"/>
  <c r="X116" i="24"/>
  <c r="Z116" i="24" s="1"/>
  <c r="L116" i="24"/>
  <c r="N116" i="24" s="1"/>
  <c r="B116" i="24"/>
  <c r="Z115" i="24"/>
  <c r="X115" i="24"/>
  <c r="N115" i="24"/>
  <c r="L115" i="24"/>
  <c r="B115" i="24"/>
  <c r="Z114" i="24"/>
  <c r="X114" i="24"/>
  <c r="N114" i="24"/>
  <c r="L114" i="24"/>
  <c r="B114" i="24"/>
  <c r="T113" i="24"/>
  <c r="P113" i="24"/>
  <c r="X113" i="24" s="1"/>
  <c r="Z113" i="24" s="1"/>
  <c r="H113" i="24"/>
  <c r="D113" i="24"/>
  <c r="L113" i="24" s="1"/>
  <c r="N113" i="24" s="1"/>
  <c r="B113" i="24"/>
  <c r="X112" i="24"/>
  <c r="Z112" i="24" s="1"/>
  <c r="N112" i="24"/>
  <c r="L112" i="24"/>
  <c r="B112" i="24"/>
  <c r="X111" i="24"/>
  <c r="Z111" i="24" s="1"/>
  <c r="T111" i="24"/>
  <c r="P111" i="24"/>
  <c r="N111" i="24"/>
  <c r="L111" i="24"/>
  <c r="H111" i="24"/>
  <c r="D111" i="24"/>
  <c r="B111" i="24"/>
  <c r="Z110" i="24"/>
  <c r="X110" i="24"/>
  <c r="L110" i="24"/>
  <c r="N110" i="24" s="1"/>
  <c r="B110" i="24"/>
  <c r="Z109" i="24"/>
  <c r="X109" i="24"/>
  <c r="N109" i="24"/>
  <c r="L109" i="24"/>
  <c r="B109" i="24"/>
  <c r="T108" i="24"/>
  <c r="P108" i="24"/>
  <c r="X108" i="24" s="1"/>
  <c r="L108" i="24"/>
  <c r="N108" i="24" s="1"/>
  <c r="H108" i="24"/>
  <c r="D108" i="24"/>
  <c r="B108" i="24"/>
  <c r="X107" i="24"/>
  <c r="Z107" i="24" s="1"/>
  <c r="N107" i="24"/>
  <c r="L107" i="24"/>
  <c r="B107" i="24"/>
  <c r="X106" i="24"/>
  <c r="Z106" i="24" s="1"/>
  <c r="L106" i="24"/>
  <c r="N106" i="24" s="1"/>
  <c r="B106" i="24"/>
  <c r="T105" i="24"/>
  <c r="P105" i="24"/>
  <c r="X105" i="24" s="1"/>
  <c r="Z105" i="24" s="1"/>
  <c r="H105" i="24"/>
  <c r="D105" i="24"/>
  <c r="L105" i="24" s="1"/>
  <c r="B105" i="24"/>
  <c r="X104" i="24"/>
  <c r="Z104" i="24" s="1"/>
  <c r="N104" i="24"/>
  <c r="L104" i="24"/>
  <c r="B104" i="24"/>
  <c r="X103" i="24"/>
  <c r="Z103" i="24" s="1"/>
  <c r="T103" i="24"/>
  <c r="P103" i="24"/>
  <c r="N103" i="24"/>
  <c r="L103" i="24"/>
  <c r="H103" i="24"/>
  <c r="D103" i="24"/>
  <c r="B103" i="24"/>
  <c r="X102" i="24"/>
  <c r="Z102" i="24" s="1"/>
  <c r="L102" i="24"/>
  <c r="N102" i="24" s="1"/>
  <c r="B102" i="24"/>
  <c r="T101" i="24"/>
  <c r="X101" i="24" s="1"/>
  <c r="P101" i="24"/>
  <c r="H101" i="24"/>
  <c r="D101" i="24"/>
  <c r="L101" i="24" s="1"/>
  <c r="B101" i="24"/>
  <c r="X100" i="24"/>
  <c r="Z100" i="24" s="1"/>
  <c r="N100" i="24"/>
  <c r="L100" i="24"/>
  <c r="B100" i="24"/>
  <c r="T99" i="24"/>
  <c r="Z99" i="24" s="1"/>
  <c r="P99" i="24"/>
  <c r="X99" i="24" s="1"/>
  <c r="N99" i="24"/>
  <c r="H99" i="24"/>
  <c r="D99" i="24"/>
  <c r="L99" i="24" s="1"/>
  <c r="B99" i="24"/>
  <c r="Z98" i="24"/>
  <c r="X98" i="24"/>
  <c r="N98" i="24"/>
  <c r="L98" i="24"/>
  <c r="B98" i="24"/>
  <c r="Z97" i="24"/>
  <c r="X97" i="24"/>
  <c r="N97" i="24"/>
  <c r="L97" i="24"/>
  <c r="B97" i="24"/>
  <c r="T96" i="24"/>
  <c r="P96" i="24"/>
  <c r="H96" i="24"/>
  <c r="D96" i="24"/>
  <c r="L96" i="24" s="1"/>
  <c r="B96" i="24"/>
  <c r="X95" i="24"/>
  <c r="Z95" i="24" s="1"/>
  <c r="L95" i="24"/>
  <c r="N95" i="24" s="1"/>
  <c r="B95" i="24"/>
  <c r="T94" i="24"/>
  <c r="P94" i="24"/>
  <c r="X94" i="24" s="1"/>
  <c r="Z94" i="24" s="1"/>
  <c r="H94" i="24"/>
  <c r="D94" i="24"/>
  <c r="L94" i="24" s="1"/>
  <c r="B94" i="24"/>
  <c r="Z93" i="24"/>
  <c r="X93" i="24"/>
  <c r="N93" i="24"/>
  <c r="L93" i="24"/>
  <c r="B93" i="24"/>
  <c r="X92" i="24"/>
  <c r="T92" i="24"/>
  <c r="P92" i="24"/>
  <c r="L92" i="24"/>
  <c r="H92" i="24"/>
  <c r="N92" i="24" s="1"/>
  <c r="D92" i="24"/>
  <c r="B92" i="24"/>
  <c r="Z91" i="24"/>
  <c r="X91" i="24"/>
  <c r="L91" i="24"/>
  <c r="N91" i="24" s="1"/>
  <c r="B91" i="24"/>
  <c r="X90" i="24"/>
  <c r="Z90" i="24" s="1"/>
  <c r="N90" i="24"/>
  <c r="L90" i="24"/>
  <c r="B90" i="24"/>
  <c r="Z89" i="24"/>
  <c r="X89" i="24"/>
  <c r="N89" i="24"/>
  <c r="L89" i="24"/>
  <c r="B89" i="24"/>
  <c r="Z88" i="24"/>
  <c r="X88" i="24"/>
  <c r="N88" i="24"/>
  <c r="L88" i="24"/>
  <c r="B88" i="24"/>
  <c r="X87" i="24"/>
  <c r="Z87" i="24" s="1"/>
  <c r="L87" i="24"/>
  <c r="N87" i="24" s="1"/>
  <c r="B87" i="24"/>
  <c r="X86" i="24"/>
  <c r="T86" i="24"/>
  <c r="P86" i="24"/>
  <c r="H86" i="24"/>
  <c r="D86" i="24"/>
  <c r="B86" i="24"/>
  <c r="Z85" i="24"/>
  <c r="X85" i="24"/>
  <c r="N85" i="24"/>
  <c r="L85" i="24"/>
  <c r="B85" i="24"/>
  <c r="Z84" i="24"/>
  <c r="X84" i="24"/>
  <c r="L84" i="24"/>
  <c r="N84" i="24" s="1"/>
  <c r="B84" i="24"/>
  <c r="X83" i="24"/>
  <c r="Z83" i="24" s="1"/>
  <c r="L83" i="24"/>
  <c r="N83" i="24" s="1"/>
  <c r="B83" i="24"/>
  <c r="Z82" i="24"/>
  <c r="X82" i="24"/>
  <c r="L82" i="24"/>
  <c r="N82" i="24" s="1"/>
  <c r="B82" i="24"/>
  <c r="Z81" i="24"/>
  <c r="X81" i="24"/>
  <c r="N81" i="24"/>
  <c r="L81" i="24"/>
  <c r="B81" i="24"/>
  <c r="Z80" i="24"/>
  <c r="X80" i="24"/>
  <c r="L80" i="24"/>
  <c r="N80" i="24" s="1"/>
  <c r="B80" i="24"/>
  <c r="X79" i="24"/>
  <c r="Z79" i="24" s="1"/>
  <c r="L79" i="24"/>
  <c r="N79" i="24" s="1"/>
  <c r="B79" i="24"/>
  <c r="X78" i="24"/>
  <c r="Z78" i="24" s="1"/>
  <c r="L78" i="24"/>
  <c r="N78" i="24" s="1"/>
  <c r="B78" i="24"/>
  <c r="T77" i="24"/>
  <c r="P77" i="24"/>
  <c r="X77" i="24" s="1"/>
  <c r="Z77" i="24" s="1"/>
  <c r="H77" i="24"/>
  <c r="D77" i="24"/>
  <c r="L77" i="24" s="1"/>
  <c r="B77" i="24"/>
  <c r="T76" i="24"/>
  <c r="P76" i="24"/>
  <c r="H76" i="24"/>
  <c r="D76" i="24"/>
  <c r="L76" i="24" s="1"/>
  <c r="X72" i="24"/>
  <c r="Z72" i="24" s="1"/>
  <c r="L72" i="24"/>
  <c r="N72" i="24" s="1"/>
  <c r="B72" i="24"/>
  <c r="Z71" i="24"/>
  <c r="X71" i="24"/>
  <c r="L71" i="24"/>
  <c r="N71" i="24" s="1"/>
  <c r="B71" i="24"/>
  <c r="X70" i="24"/>
  <c r="Z70" i="24" s="1"/>
  <c r="L70" i="24"/>
  <c r="N70" i="24" s="1"/>
  <c r="B70" i="24"/>
  <c r="Z69" i="24"/>
  <c r="X69" i="24"/>
  <c r="L69" i="24"/>
  <c r="N69" i="24" s="1"/>
  <c r="B69" i="24"/>
  <c r="X68" i="24"/>
  <c r="Z68" i="24" s="1"/>
  <c r="L68" i="24"/>
  <c r="N68" i="24" s="1"/>
  <c r="B68" i="24"/>
  <c r="Z67" i="24"/>
  <c r="X67" i="24"/>
  <c r="L67" i="24"/>
  <c r="N67" i="24" s="1"/>
  <c r="B67" i="24"/>
  <c r="X66" i="24"/>
  <c r="Z66" i="24" s="1"/>
  <c r="L66" i="24"/>
  <c r="N66" i="24" s="1"/>
  <c r="B66" i="24"/>
  <c r="Z65" i="24"/>
  <c r="X65" i="24"/>
  <c r="N65" i="24"/>
  <c r="L65" i="24"/>
  <c r="B65" i="24"/>
  <c r="X64" i="24"/>
  <c r="Z64" i="24" s="1"/>
  <c r="L64" i="24"/>
  <c r="N64" i="24" s="1"/>
  <c r="B64" i="24"/>
  <c r="Z63" i="24"/>
  <c r="X63" i="24"/>
  <c r="N63" i="24"/>
  <c r="L63" i="24"/>
  <c r="B63" i="24"/>
  <c r="X62" i="24"/>
  <c r="Z62" i="24" s="1"/>
  <c r="L62" i="24"/>
  <c r="N62" i="24" s="1"/>
  <c r="B62" i="24"/>
  <c r="Z61" i="24"/>
  <c r="X61" i="24"/>
  <c r="L61" i="24"/>
  <c r="N61" i="24" s="1"/>
  <c r="B61" i="24"/>
  <c r="X60" i="24"/>
  <c r="Z60" i="24" s="1"/>
  <c r="L60" i="24"/>
  <c r="N60" i="24" s="1"/>
  <c r="B60" i="24"/>
  <c r="Z59" i="24"/>
  <c r="X59" i="24"/>
  <c r="L59" i="24"/>
  <c r="N59" i="24" s="1"/>
  <c r="B59" i="24"/>
  <c r="X58" i="24"/>
  <c r="Z58" i="24" s="1"/>
  <c r="L58" i="24"/>
  <c r="N58" i="24" s="1"/>
  <c r="B58" i="24"/>
  <c r="Z57" i="24"/>
  <c r="X57" i="24"/>
  <c r="L57" i="24"/>
  <c r="N57" i="24" s="1"/>
  <c r="B57" i="24"/>
  <c r="X56" i="24"/>
  <c r="Z56" i="24" s="1"/>
  <c r="L56" i="24"/>
  <c r="N56" i="24" s="1"/>
  <c r="B56" i="24"/>
  <c r="Z55" i="24"/>
  <c r="X55" i="24"/>
  <c r="L55" i="24"/>
  <c r="N55" i="24" s="1"/>
  <c r="B55" i="24"/>
  <c r="X54" i="24"/>
  <c r="Z54" i="24" s="1"/>
  <c r="L54" i="24"/>
  <c r="N54" i="24" s="1"/>
  <c r="B54" i="24"/>
  <c r="Z53" i="24"/>
  <c r="X53" i="24"/>
  <c r="L53" i="24"/>
  <c r="N53" i="24" s="1"/>
  <c r="B53" i="24"/>
  <c r="X52" i="24"/>
  <c r="Z52" i="24" s="1"/>
  <c r="N52" i="24"/>
  <c r="L52" i="24"/>
  <c r="B52" i="24"/>
  <c r="Z51" i="24"/>
  <c r="X51" i="24"/>
  <c r="N51" i="24"/>
  <c r="L51" i="24"/>
  <c r="B51" i="24"/>
  <c r="X50" i="24"/>
  <c r="Z50" i="24" s="1"/>
  <c r="N50" i="24"/>
  <c r="L50" i="24"/>
  <c r="B50" i="24"/>
  <c r="T49" i="24"/>
  <c r="P49" i="24"/>
  <c r="X49" i="24" s="1"/>
  <c r="Z49" i="24" s="1"/>
  <c r="H49" i="24"/>
  <c r="D49" i="24"/>
  <c r="L49" i="24" s="1"/>
  <c r="N49" i="24" s="1"/>
  <c r="T47" i="24"/>
  <c r="X47" i="24" s="1"/>
  <c r="Z47" i="24" s="1"/>
  <c r="P47" i="24"/>
  <c r="N47" i="24"/>
  <c r="L47" i="24"/>
  <c r="H47" i="24"/>
  <c r="D47" i="24"/>
  <c r="B47" i="24"/>
  <c r="X46" i="24"/>
  <c r="T46" i="24"/>
  <c r="P46" i="24"/>
  <c r="H46" i="24"/>
  <c r="D46" i="24"/>
  <c r="L46" i="24" s="1"/>
  <c r="N46" i="24" s="1"/>
  <c r="B46" i="24"/>
  <c r="T45" i="24"/>
  <c r="P45" i="24"/>
  <c r="N45" i="24"/>
  <c r="H45" i="24"/>
  <c r="L45" i="24" s="1"/>
  <c r="D45" i="24"/>
  <c r="B45" i="24"/>
  <c r="T44" i="24"/>
  <c r="P44" i="24"/>
  <c r="L44" i="24"/>
  <c r="N44" i="24" s="1"/>
  <c r="H44" i="24"/>
  <c r="D44" i="24"/>
  <c r="B44" i="24"/>
  <c r="Z43" i="24"/>
  <c r="T43" i="24"/>
  <c r="X43" i="24" s="1"/>
  <c r="P43" i="24"/>
  <c r="L43" i="24"/>
  <c r="N43" i="24" s="1"/>
  <c r="H43" i="24"/>
  <c r="D43" i="24"/>
  <c r="B43" i="24"/>
  <c r="T42" i="24"/>
  <c r="P42" i="24"/>
  <c r="H42" i="24"/>
  <c r="D42" i="24"/>
  <c r="L42" i="24" s="1"/>
  <c r="N42" i="24" s="1"/>
  <c r="B42" i="24"/>
  <c r="T41" i="24"/>
  <c r="P41" i="24"/>
  <c r="H41" i="24"/>
  <c r="L41" i="24" s="1"/>
  <c r="N41" i="24" s="1"/>
  <c r="D41" i="24"/>
  <c r="B41" i="24"/>
  <c r="X40" i="24"/>
  <c r="T40" i="24"/>
  <c r="P40" i="24"/>
  <c r="N40" i="24"/>
  <c r="H40" i="24"/>
  <c r="D40" i="24"/>
  <c r="L40" i="24" s="1"/>
  <c r="B40" i="24"/>
  <c r="T39" i="24"/>
  <c r="X39" i="24" s="1"/>
  <c r="Z39" i="24" s="1"/>
  <c r="P39" i="24"/>
  <c r="N39" i="24"/>
  <c r="L39" i="24"/>
  <c r="H39" i="24"/>
  <c r="D39" i="24"/>
  <c r="B39" i="24"/>
  <c r="T38" i="24"/>
  <c r="P38" i="24"/>
  <c r="X38" i="24" s="1"/>
  <c r="H38" i="24"/>
  <c r="D38" i="24"/>
  <c r="L38" i="24" s="1"/>
  <c r="N38" i="24" s="1"/>
  <c r="B38" i="24"/>
  <c r="T37" i="24"/>
  <c r="P37" i="24"/>
  <c r="N37" i="24"/>
  <c r="H37" i="24"/>
  <c r="L37" i="24" s="1"/>
  <c r="D37" i="24"/>
  <c r="B37" i="24"/>
  <c r="T36" i="24"/>
  <c r="P36" i="24"/>
  <c r="H36" i="24"/>
  <c r="D36" i="24"/>
  <c r="L36" i="24" s="1"/>
  <c r="N36" i="24" s="1"/>
  <c r="B36" i="24"/>
  <c r="Z35" i="24"/>
  <c r="T35" i="24"/>
  <c r="X35" i="24" s="1"/>
  <c r="P35" i="24"/>
  <c r="N35" i="24"/>
  <c r="L35" i="24"/>
  <c r="H35" i="24"/>
  <c r="D35" i="24"/>
  <c r="B35" i="24"/>
  <c r="T34" i="24"/>
  <c r="P34" i="24"/>
  <c r="X34" i="24" s="1"/>
  <c r="H34" i="24"/>
  <c r="D34" i="24"/>
  <c r="L34" i="24" s="1"/>
  <c r="N34" i="24" s="1"/>
  <c r="B34" i="24"/>
  <c r="T33" i="24"/>
  <c r="P33" i="24"/>
  <c r="H33" i="24"/>
  <c r="L33" i="24" s="1"/>
  <c r="D33" i="24"/>
  <c r="B33" i="24"/>
  <c r="T32" i="24"/>
  <c r="P32" i="24"/>
  <c r="N32" i="24"/>
  <c r="H32" i="24"/>
  <c r="D32" i="24"/>
  <c r="L32" i="24" s="1"/>
  <c r="B32" i="24"/>
  <c r="T31" i="24"/>
  <c r="X31" i="24" s="1"/>
  <c r="Z31" i="24" s="1"/>
  <c r="P31" i="24"/>
  <c r="L31" i="24"/>
  <c r="N31" i="24" s="1"/>
  <c r="H31" i="24"/>
  <c r="D31" i="24"/>
  <c r="B31" i="24"/>
  <c r="T30" i="24"/>
  <c r="P30" i="24"/>
  <c r="X30" i="24" s="1"/>
  <c r="N30" i="24"/>
  <c r="H30" i="24"/>
  <c r="D30" i="24"/>
  <c r="L30" i="24" s="1"/>
  <c r="B30" i="24"/>
  <c r="T29" i="24"/>
  <c r="P29" i="24"/>
  <c r="H29" i="24"/>
  <c r="D29" i="24"/>
  <c r="B29" i="24"/>
  <c r="X28" i="24"/>
  <c r="T28" i="24"/>
  <c r="P28" i="24"/>
  <c r="L28" i="24"/>
  <c r="N28" i="24" s="1"/>
  <c r="H28" i="24"/>
  <c r="D28" i="24"/>
  <c r="B28" i="24"/>
  <c r="Z27" i="24"/>
  <c r="T27" i="24"/>
  <c r="X27" i="24" s="1"/>
  <c r="P27" i="24"/>
  <c r="L27" i="24"/>
  <c r="N27" i="24" s="1"/>
  <c r="H27" i="24"/>
  <c r="D27" i="24"/>
  <c r="B27" i="24"/>
  <c r="T26" i="24"/>
  <c r="P26" i="24"/>
  <c r="H26" i="24"/>
  <c r="D26" i="24"/>
  <c r="L26" i="24" s="1"/>
  <c r="N26" i="24" s="1"/>
  <c r="B26" i="24"/>
  <c r="T25" i="24"/>
  <c r="P25" i="24"/>
  <c r="N25" i="24"/>
  <c r="L25" i="24"/>
  <c r="H25" i="24"/>
  <c r="D25" i="24"/>
  <c r="B25" i="24"/>
  <c r="X24" i="24"/>
  <c r="T24" i="24"/>
  <c r="P24" i="24"/>
  <c r="H24" i="24"/>
  <c r="D24" i="24"/>
  <c r="L24" i="24" s="1"/>
  <c r="N24" i="24" s="1"/>
  <c r="B24" i="24"/>
  <c r="Z23" i="24"/>
  <c r="T23" i="24"/>
  <c r="X23" i="24" s="1"/>
  <c r="P23" i="24"/>
  <c r="L23" i="24"/>
  <c r="N23" i="24" s="1"/>
  <c r="H23" i="24"/>
  <c r="D23" i="24"/>
  <c r="B23" i="24"/>
  <c r="T22" i="24"/>
  <c r="P22" i="24"/>
  <c r="X22" i="24" s="1"/>
  <c r="H22" i="24"/>
  <c r="D22" i="24"/>
  <c r="B22" i="24"/>
  <c r="T21" i="24"/>
  <c r="P21" i="24"/>
  <c r="L21" i="24"/>
  <c r="N21" i="24" s="1"/>
  <c r="H21" i="24"/>
  <c r="D21" i="24"/>
  <c r="B21" i="24"/>
  <c r="T20" i="24"/>
  <c r="P20" i="24"/>
  <c r="L20" i="24"/>
  <c r="N20" i="24" s="1"/>
  <c r="H20" i="24"/>
  <c r="D20" i="24"/>
  <c r="B20" i="24"/>
  <c r="T19" i="24"/>
  <c r="X19" i="24" s="1"/>
  <c r="Z19" i="24" s="1"/>
  <c r="P19" i="24"/>
  <c r="L19" i="24"/>
  <c r="N19" i="24" s="1"/>
  <c r="H19" i="24"/>
  <c r="D19" i="24"/>
  <c r="B19" i="24"/>
  <c r="X18" i="24"/>
  <c r="T18" i="24"/>
  <c r="P18" i="24"/>
  <c r="H18" i="24"/>
  <c r="D18" i="24"/>
  <c r="L18" i="24" s="1"/>
  <c r="N18" i="24" s="1"/>
  <c r="B18" i="24"/>
  <c r="T17" i="24"/>
  <c r="P17" i="24"/>
  <c r="H17" i="24"/>
  <c r="D17" i="24"/>
  <c r="B17" i="24"/>
  <c r="X16" i="24"/>
  <c r="T16" i="24"/>
  <c r="P16" i="24"/>
  <c r="L16" i="24"/>
  <c r="N16" i="24" s="1"/>
  <c r="H16" i="24"/>
  <c r="D16" i="24"/>
  <c r="B16" i="24"/>
  <c r="Z15" i="24"/>
  <c r="T15" i="24"/>
  <c r="X15" i="24" s="1"/>
  <c r="P15" i="24"/>
  <c r="N15" i="24"/>
  <c r="L15" i="24"/>
  <c r="H15" i="24"/>
  <c r="D15" i="24"/>
  <c r="B15" i="24"/>
  <c r="T14" i="24"/>
  <c r="P14" i="24"/>
  <c r="H14" i="24"/>
  <c r="D14" i="24"/>
  <c r="L14" i="24" s="1"/>
  <c r="N14" i="24" s="1"/>
  <c r="B14" i="24"/>
  <c r="T13" i="24"/>
  <c r="P13" i="24"/>
  <c r="N13" i="24"/>
  <c r="L13" i="24"/>
  <c r="H13" i="24"/>
  <c r="D13" i="24"/>
  <c r="B13" i="24"/>
  <c r="D4" i="24"/>
  <c r="X102" i="21"/>
  <c r="Z102" i="21" s="1"/>
  <c r="L102" i="21"/>
  <c r="N102" i="21" s="1"/>
  <c r="T98" i="21"/>
  <c r="Z98" i="21" s="1"/>
  <c r="P98" i="21"/>
  <c r="X98" i="21" s="1"/>
  <c r="H98" i="21"/>
  <c r="N98" i="21" s="1"/>
  <c r="D98" i="21"/>
  <c r="L98" i="21" s="1"/>
  <c r="X96" i="21"/>
  <c r="Z96" i="21" s="1"/>
  <c r="R96" i="21"/>
  <c r="L96" i="21"/>
  <c r="N96" i="21" s="1"/>
  <c r="B96" i="21"/>
  <c r="X95" i="21"/>
  <c r="Z95" i="21" s="1"/>
  <c r="T95" i="21"/>
  <c r="P95" i="21"/>
  <c r="N95" i="21"/>
  <c r="H95" i="21"/>
  <c r="D95" i="21"/>
  <c r="L95" i="21" s="1"/>
  <c r="B95" i="21"/>
  <c r="Z94" i="21"/>
  <c r="X94" i="21"/>
  <c r="N94" i="21"/>
  <c r="L94" i="21"/>
  <c r="B94" i="21"/>
  <c r="T93" i="21"/>
  <c r="Z93" i="21" s="1"/>
  <c r="P93" i="21"/>
  <c r="X93" i="21" s="1"/>
  <c r="N93" i="21"/>
  <c r="L93" i="21"/>
  <c r="H93" i="21"/>
  <c r="D93" i="21"/>
  <c r="B93" i="21"/>
  <c r="X92" i="21"/>
  <c r="Z92" i="21" s="1"/>
  <c r="L92" i="21"/>
  <c r="N92" i="21" s="1"/>
  <c r="B92" i="21"/>
  <c r="T91" i="21"/>
  <c r="P91" i="21"/>
  <c r="X91" i="21" s="1"/>
  <c r="Z91" i="21" s="1"/>
  <c r="H91" i="21"/>
  <c r="D91" i="21"/>
  <c r="B91" i="21"/>
  <c r="Z90" i="21"/>
  <c r="X90" i="21"/>
  <c r="N90" i="21"/>
  <c r="L90" i="21"/>
  <c r="B90" i="21"/>
  <c r="Z89" i="21"/>
  <c r="X89" i="21"/>
  <c r="N89" i="21"/>
  <c r="L89" i="21"/>
  <c r="B89" i="21"/>
  <c r="X88" i="21"/>
  <c r="Z88" i="21" s="1"/>
  <c r="R88" i="21"/>
  <c r="L88" i="21"/>
  <c r="N88" i="21" s="1"/>
  <c r="B88" i="21"/>
  <c r="X87" i="21"/>
  <c r="Z87" i="21" s="1"/>
  <c r="N87" i="21"/>
  <c r="L87" i="21"/>
  <c r="B87" i="21"/>
  <c r="Z86" i="21"/>
  <c r="X86" i="21"/>
  <c r="N86" i="21"/>
  <c r="L86" i="21"/>
  <c r="B86" i="21"/>
  <c r="Z85" i="21"/>
  <c r="X85" i="21"/>
  <c r="N85" i="21"/>
  <c r="L85" i="21"/>
  <c r="B85" i="21"/>
  <c r="X84" i="21"/>
  <c r="Z84" i="21" s="1"/>
  <c r="R84" i="21"/>
  <c r="N84" i="21"/>
  <c r="L84" i="21"/>
  <c r="B84" i="21"/>
  <c r="X83" i="21"/>
  <c r="Z83" i="21" s="1"/>
  <c r="T83" i="21"/>
  <c r="P83" i="21"/>
  <c r="N83" i="21"/>
  <c r="H83" i="21"/>
  <c r="D83" i="21"/>
  <c r="L83" i="21" s="1"/>
  <c r="B83" i="21"/>
  <c r="Z82" i="21"/>
  <c r="X82" i="21"/>
  <c r="L82" i="21"/>
  <c r="N82" i="21" s="1"/>
  <c r="B82" i="21"/>
  <c r="T81" i="21"/>
  <c r="P81" i="21"/>
  <c r="X81" i="21" s="1"/>
  <c r="N81" i="21"/>
  <c r="L81" i="21"/>
  <c r="H81" i="21"/>
  <c r="F81" i="21"/>
  <c r="D81" i="21"/>
  <c r="B81" i="21"/>
  <c r="X80" i="21"/>
  <c r="Z80" i="21" s="1"/>
  <c r="L80" i="21"/>
  <c r="N80" i="21" s="1"/>
  <c r="B80" i="21"/>
  <c r="Z79" i="21"/>
  <c r="X79" i="21"/>
  <c r="L79" i="21"/>
  <c r="N79" i="21" s="1"/>
  <c r="B79" i="21"/>
  <c r="X78" i="21"/>
  <c r="Z78" i="21" s="1"/>
  <c r="R78" i="21"/>
  <c r="N78" i="21"/>
  <c r="L78" i="21"/>
  <c r="B78" i="21"/>
  <c r="X77" i="21"/>
  <c r="Z77" i="21" s="1"/>
  <c r="N77" i="21"/>
  <c r="L77" i="21"/>
  <c r="B77" i="21"/>
  <c r="T76" i="21"/>
  <c r="P76" i="21"/>
  <c r="X76" i="21" s="1"/>
  <c r="Z76" i="21" s="1"/>
  <c r="H76" i="21"/>
  <c r="D76" i="21"/>
  <c r="B76" i="21"/>
  <c r="X75" i="21"/>
  <c r="Z75" i="21" s="1"/>
  <c r="N75" i="21"/>
  <c r="L75" i="21"/>
  <c r="B75" i="21"/>
  <c r="T74" i="21"/>
  <c r="P74" i="21"/>
  <c r="X74" i="21" s="1"/>
  <c r="H74" i="21"/>
  <c r="D74" i="21"/>
  <c r="L74" i="21" s="1"/>
  <c r="B74" i="21"/>
  <c r="X73" i="21"/>
  <c r="Z73" i="21" s="1"/>
  <c r="L73" i="21"/>
  <c r="N73" i="21" s="1"/>
  <c r="B73" i="21"/>
  <c r="X72" i="21"/>
  <c r="Z72" i="21" s="1"/>
  <c r="L72" i="21"/>
  <c r="N72" i="21" s="1"/>
  <c r="B72" i="21"/>
  <c r="Z71" i="21"/>
  <c r="X71" i="21"/>
  <c r="N71" i="21"/>
  <c r="L71" i="21"/>
  <c r="B71" i="21"/>
  <c r="T70" i="21"/>
  <c r="P70" i="21"/>
  <c r="X70" i="21" s="1"/>
  <c r="L70" i="21"/>
  <c r="N70" i="21" s="1"/>
  <c r="H70" i="21"/>
  <c r="D70" i="21"/>
  <c r="B70" i="21"/>
  <c r="X69" i="21"/>
  <c r="Z69" i="21" s="1"/>
  <c r="N69" i="21"/>
  <c r="L69" i="21"/>
  <c r="B69" i="21"/>
  <c r="T68" i="21"/>
  <c r="P68" i="21"/>
  <c r="X68" i="21" s="1"/>
  <c r="Z68" i="21" s="1"/>
  <c r="H68" i="21"/>
  <c r="L68" i="21" s="1"/>
  <c r="D68" i="21"/>
  <c r="B68" i="21"/>
  <c r="X67" i="21"/>
  <c r="Z67" i="21" s="1"/>
  <c r="N67" i="21"/>
  <c r="L67" i="21"/>
  <c r="B67" i="21"/>
  <c r="T66" i="21"/>
  <c r="P66" i="21"/>
  <c r="H66" i="21"/>
  <c r="D66" i="21"/>
  <c r="L66" i="21" s="1"/>
  <c r="B66" i="21"/>
  <c r="X65" i="21"/>
  <c r="Z65" i="21" s="1"/>
  <c r="L65" i="21"/>
  <c r="N65" i="21" s="1"/>
  <c r="B65" i="21"/>
  <c r="X64" i="21"/>
  <c r="Z64" i="21" s="1"/>
  <c r="T64" i="21"/>
  <c r="P64" i="21"/>
  <c r="H64" i="21"/>
  <c r="N64" i="21" s="1"/>
  <c r="D64" i="21"/>
  <c r="L64" i="21" s="1"/>
  <c r="B64" i="21"/>
  <c r="Z63" i="21"/>
  <c r="X63" i="21"/>
  <c r="L63" i="21"/>
  <c r="N63" i="21" s="1"/>
  <c r="B63" i="21"/>
  <c r="X62" i="21"/>
  <c r="T62" i="21"/>
  <c r="P62" i="21"/>
  <c r="H62" i="21"/>
  <c r="D62" i="21"/>
  <c r="L62" i="21" s="1"/>
  <c r="N62" i="21" s="1"/>
  <c r="B62" i="21"/>
  <c r="Z61" i="21"/>
  <c r="X61" i="21"/>
  <c r="L61" i="21"/>
  <c r="N61" i="21" s="1"/>
  <c r="B61" i="21"/>
  <c r="T60" i="21"/>
  <c r="P60" i="21"/>
  <c r="X60" i="21" s="1"/>
  <c r="H60" i="21"/>
  <c r="N60" i="21" s="1"/>
  <c r="D60" i="21"/>
  <c r="L60" i="21" s="1"/>
  <c r="B60" i="21"/>
  <c r="Z59" i="21"/>
  <c r="X59" i="21"/>
  <c r="N59" i="21"/>
  <c r="L59" i="21"/>
  <c r="B59" i="21"/>
  <c r="T58" i="21"/>
  <c r="Z58" i="21" s="1"/>
  <c r="P58" i="21"/>
  <c r="X58" i="21" s="1"/>
  <c r="L58" i="21"/>
  <c r="N58" i="21" s="1"/>
  <c r="H58" i="21"/>
  <c r="D58" i="21"/>
  <c r="B58" i="21"/>
  <c r="X57" i="21"/>
  <c r="Z57" i="21" s="1"/>
  <c r="N57" i="21"/>
  <c r="L57" i="21"/>
  <c r="B57" i="21"/>
  <c r="T56" i="21"/>
  <c r="P56" i="21"/>
  <c r="X56" i="21" s="1"/>
  <c r="Z56" i="21" s="1"/>
  <c r="H56" i="21"/>
  <c r="D56" i="21"/>
  <c r="B56" i="21"/>
  <c r="X55" i="21"/>
  <c r="Z55" i="21" s="1"/>
  <c r="N55" i="21"/>
  <c r="L55" i="21"/>
  <c r="B55" i="21"/>
  <c r="T54" i="21"/>
  <c r="P54" i="21"/>
  <c r="X54" i="21" s="1"/>
  <c r="H54" i="21"/>
  <c r="D54" i="21"/>
  <c r="B54" i="21"/>
  <c r="X53" i="21"/>
  <c r="Z53" i="21" s="1"/>
  <c r="L53" i="21"/>
  <c r="N53" i="21" s="1"/>
  <c r="B53" i="21"/>
  <c r="X52" i="21"/>
  <c r="Z52" i="21" s="1"/>
  <c r="L52" i="21"/>
  <c r="N52" i="21" s="1"/>
  <c r="B52" i="21"/>
  <c r="Z51" i="21"/>
  <c r="X51" i="21"/>
  <c r="T51" i="21"/>
  <c r="R51" i="21"/>
  <c r="P51" i="21"/>
  <c r="H51" i="21"/>
  <c r="N51" i="21" s="1"/>
  <c r="D51" i="21"/>
  <c r="L51" i="21" s="1"/>
  <c r="B51" i="21"/>
  <c r="X50" i="21"/>
  <c r="Z50" i="21" s="1"/>
  <c r="R50" i="21"/>
  <c r="N50" i="21"/>
  <c r="L50" i="21"/>
  <c r="B50" i="21"/>
  <c r="T49" i="21"/>
  <c r="R49" i="21"/>
  <c r="P49" i="21"/>
  <c r="N49" i="21"/>
  <c r="H49" i="21"/>
  <c r="D49" i="21"/>
  <c r="L49" i="21" s="1"/>
  <c r="B49" i="21"/>
  <c r="X48" i="21"/>
  <c r="Z48" i="21" s="1"/>
  <c r="R48" i="21"/>
  <c r="L48" i="21"/>
  <c r="N48" i="21" s="1"/>
  <c r="B48" i="21"/>
  <c r="X47" i="21"/>
  <c r="T47" i="21"/>
  <c r="Z47" i="21" s="1"/>
  <c r="P47" i="21"/>
  <c r="H47" i="21"/>
  <c r="D47" i="21"/>
  <c r="L47" i="21" s="1"/>
  <c r="N47" i="21" s="1"/>
  <c r="B47" i="21"/>
  <c r="Z46" i="21"/>
  <c r="X46" i="21"/>
  <c r="L46" i="21"/>
  <c r="N46" i="21" s="1"/>
  <c r="F46" i="21"/>
  <c r="B46" i="21"/>
  <c r="T45" i="21"/>
  <c r="P45" i="21"/>
  <c r="X45" i="21" s="1"/>
  <c r="N45" i="21"/>
  <c r="L45" i="21"/>
  <c r="H45" i="21"/>
  <c r="D45" i="21"/>
  <c r="B45" i="21"/>
  <c r="X44" i="21"/>
  <c r="Z44" i="21" s="1"/>
  <c r="L44" i="21"/>
  <c r="N44" i="21" s="1"/>
  <c r="B44" i="21"/>
  <c r="Z43" i="21"/>
  <c r="X43" i="21"/>
  <c r="L43" i="21"/>
  <c r="N43" i="21" s="1"/>
  <c r="B43" i="21"/>
  <c r="X42" i="21"/>
  <c r="Z42" i="21" s="1"/>
  <c r="R42" i="21"/>
  <c r="N42" i="21"/>
  <c r="L42" i="21"/>
  <c r="B42" i="21"/>
  <c r="X41" i="21"/>
  <c r="Z41" i="21" s="1"/>
  <c r="N41" i="21"/>
  <c r="L41" i="21"/>
  <c r="B41" i="21"/>
  <c r="X40" i="21"/>
  <c r="Z40" i="21" s="1"/>
  <c r="N40" i="21"/>
  <c r="L40" i="21"/>
  <c r="B40" i="21"/>
  <c r="Z39" i="21"/>
  <c r="X39" i="21"/>
  <c r="L39" i="21"/>
  <c r="N39" i="21" s="1"/>
  <c r="B39" i="21"/>
  <c r="T38" i="21"/>
  <c r="X38" i="21" s="1"/>
  <c r="P38" i="21"/>
  <c r="H38" i="21"/>
  <c r="D38" i="21"/>
  <c r="L38" i="21" s="1"/>
  <c r="N38" i="21" s="1"/>
  <c r="B38" i="21"/>
  <c r="Z37" i="21"/>
  <c r="X37" i="21"/>
  <c r="L37" i="21"/>
  <c r="N37" i="21" s="1"/>
  <c r="B37" i="21"/>
  <c r="X36" i="21"/>
  <c r="Z36" i="21" s="1"/>
  <c r="R36" i="21"/>
  <c r="L36" i="21"/>
  <c r="N36" i="21" s="1"/>
  <c r="B36" i="21"/>
  <c r="X35" i="21"/>
  <c r="Z35" i="21" s="1"/>
  <c r="N35" i="21"/>
  <c r="L35" i="21"/>
  <c r="B35" i="21"/>
  <c r="Z34" i="21"/>
  <c r="X34" i="21"/>
  <c r="N34" i="21"/>
  <c r="L34" i="21"/>
  <c r="B34" i="21"/>
  <c r="Z33" i="21"/>
  <c r="X33" i="21"/>
  <c r="L33" i="21"/>
  <c r="N33" i="21" s="1"/>
  <c r="B33" i="21"/>
  <c r="X32" i="21"/>
  <c r="Z32" i="21" s="1"/>
  <c r="R32" i="21"/>
  <c r="L32" i="21"/>
  <c r="N32" i="21" s="1"/>
  <c r="B32" i="21"/>
  <c r="X31" i="21"/>
  <c r="Z31" i="21" s="1"/>
  <c r="N31" i="21"/>
  <c r="L31" i="21"/>
  <c r="B31" i="21"/>
  <c r="Z30" i="21"/>
  <c r="X30" i="21"/>
  <c r="N30" i="21"/>
  <c r="L30" i="21"/>
  <c r="B30" i="21"/>
  <c r="Z29" i="21"/>
  <c r="T29" i="21"/>
  <c r="P29" i="21"/>
  <c r="X29" i="21" s="1"/>
  <c r="L29" i="21"/>
  <c r="H29" i="21"/>
  <c r="N29" i="21" s="1"/>
  <c r="D29" i="21"/>
  <c r="B29" i="21"/>
  <c r="X28" i="21"/>
  <c r="T28" i="21"/>
  <c r="P28" i="21"/>
  <c r="H28" i="21"/>
  <c r="D28" i="21"/>
  <c r="L28" i="21" s="1"/>
  <c r="D26" i="21"/>
  <c r="X24" i="21"/>
  <c r="Z24" i="21" s="1"/>
  <c r="L24" i="21"/>
  <c r="N24" i="21" s="1"/>
  <c r="B24" i="21"/>
  <c r="Z23" i="21"/>
  <c r="X23" i="21"/>
  <c r="N23" i="21"/>
  <c r="L23" i="21"/>
  <c r="B23" i="21"/>
  <c r="T22" i="21"/>
  <c r="Z22" i="21" s="1"/>
  <c r="P22" i="21"/>
  <c r="X22" i="21" s="1"/>
  <c r="L22" i="21"/>
  <c r="H22" i="21"/>
  <c r="D22" i="21"/>
  <c r="T20" i="21"/>
  <c r="P20" i="21"/>
  <c r="X20" i="21" s="1"/>
  <c r="Z20" i="21" s="1"/>
  <c r="L20" i="21"/>
  <c r="N20" i="21" s="1"/>
  <c r="H20" i="21"/>
  <c r="D20" i="21"/>
  <c r="B20" i="21"/>
  <c r="T19" i="21"/>
  <c r="P19" i="21"/>
  <c r="X19" i="21" s="1"/>
  <c r="H19" i="21"/>
  <c r="D19" i="21"/>
  <c r="L19" i="21" s="1"/>
  <c r="B19" i="21"/>
  <c r="X18" i="21"/>
  <c r="T18" i="21"/>
  <c r="Z18" i="21" s="1"/>
  <c r="P18" i="21"/>
  <c r="H18" i="21"/>
  <c r="D18" i="21"/>
  <c r="B18" i="21"/>
  <c r="T17" i="21"/>
  <c r="P17" i="21"/>
  <c r="N17" i="21"/>
  <c r="L17" i="21"/>
  <c r="H17" i="21"/>
  <c r="D17" i="21"/>
  <c r="B17" i="21"/>
  <c r="T16" i="21"/>
  <c r="P16" i="21"/>
  <c r="X16" i="21" s="1"/>
  <c r="Z16" i="21" s="1"/>
  <c r="L16" i="21"/>
  <c r="N16" i="21" s="1"/>
  <c r="H16" i="21"/>
  <c r="D16" i="21"/>
  <c r="B16" i="21"/>
  <c r="T15" i="21"/>
  <c r="P15" i="21"/>
  <c r="X15" i="21" s="1"/>
  <c r="H15" i="21"/>
  <c r="D15" i="21"/>
  <c r="L15" i="21" s="1"/>
  <c r="B15" i="21"/>
  <c r="X14" i="21"/>
  <c r="T14" i="21"/>
  <c r="Z14" i="21" s="1"/>
  <c r="P14" i="21"/>
  <c r="H14" i="21"/>
  <c r="D14" i="21"/>
  <c r="B14" i="21"/>
  <c r="T13" i="21"/>
  <c r="P13" i="21"/>
  <c r="N13" i="21"/>
  <c r="L13" i="21"/>
  <c r="H13" i="21"/>
  <c r="H12" i="21" s="1"/>
  <c r="D13" i="21"/>
  <c r="B13" i="21"/>
  <c r="P12" i="21"/>
  <c r="D12" i="21"/>
  <c r="F94" i="21" s="1"/>
  <c r="D4" i="21"/>
  <c r="X291" i="18"/>
  <c r="Z291" i="18" s="1"/>
  <c r="N291" i="18"/>
  <c r="L291" i="18"/>
  <c r="T287" i="18"/>
  <c r="P287" i="18"/>
  <c r="X287" i="18" s="1"/>
  <c r="Z287" i="18" s="1"/>
  <c r="H287" i="18"/>
  <c r="N287" i="18" s="1"/>
  <c r="D287" i="18"/>
  <c r="B287" i="18"/>
  <c r="T286" i="18"/>
  <c r="P286" i="18"/>
  <c r="H286" i="18"/>
  <c r="N286" i="18" s="1"/>
  <c r="D286" i="18"/>
  <c r="L286" i="18" s="1"/>
  <c r="B286" i="18"/>
  <c r="T285" i="18"/>
  <c r="P285" i="18"/>
  <c r="X285" i="18" s="1"/>
  <c r="N285" i="18"/>
  <c r="L285" i="18"/>
  <c r="H285" i="18"/>
  <c r="D285" i="18"/>
  <c r="B285" i="18"/>
  <c r="T284" i="18"/>
  <c r="P284" i="18"/>
  <c r="X284" i="18" s="1"/>
  <c r="H284" i="18"/>
  <c r="D284" i="18"/>
  <c r="B284" i="18"/>
  <c r="X283" i="18"/>
  <c r="Z283" i="18" s="1"/>
  <c r="T283" i="18"/>
  <c r="P283" i="18"/>
  <c r="N283" i="18"/>
  <c r="H283" i="18"/>
  <c r="D283" i="18"/>
  <c r="L283" i="18" s="1"/>
  <c r="B283" i="18"/>
  <c r="T282" i="18"/>
  <c r="P282" i="18"/>
  <c r="X282" i="18" s="1"/>
  <c r="L282" i="18"/>
  <c r="H282" i="18"/>
  <c r="D282" i="18"/>
  <c r="B282" i="18"/>
  <c r="T281" i="18"/>
  <c r="P281" i="18"/>
  <c r="N281" i="18"/>
  <c r="H281" i="18"/>
  <c r="D281" i="18"/>
  <c r="L281" i="18" s="1"/>
  <c r="B281" i="18"/>
  <c r="T280" i="18"/>
  <c r="P280" i="18"/>
  <c r="H280" i="18"/>
  <c r="N280" i="18" s="1"/>
  <c r="D280" i="18"/>
  <c r="B280" i="18"/>
  <c r="Z279" i="18"/>
  <c r="X279" i="18"/>
  <c r="T279" i="18"/>
  <c r="P279" i="18"/>
  <c r="H279" i="18"/>
  <c r="N279" i="18" s="1"/>
  <c r="D279" i="18"/>
  <c r="L279" i="18" s="1"/>
  <c r="B279" i="18"/>
  <c r="T278" i="18"/>
  <c r="P278" i="18"/>
  <c r="H278" i="18"/>
  <c r="N278" i="18" s="1"/>
  <c r="D278" i="18"/>
  <c r="L278" i="18" s="1"/>
  <c r="B278" i="18"/>
  <c r="Z277" i="18"/>
  <c r="T277" i="18"/>
  <c r="P277" i="18"/>
  <c r="X277" i="18" s="1"/>
  <c r="L277" i="18"/>
  <c r="N277" i="18" s="1"/>
  <c r="H277" i="18"/>
  <c r="D277" i="18"/>
  <c r="B277" i="18"/>
  <c r="X276" i="18"/>
  <c r="T276" i="18"/>
  <c r="P276" i="18"/>
  <c r="H276" i="18"/>
  <c r="N276" i="18" s="1"/>
  <c r="D276" i="18"/>
  <c r="B276" i="18"/>
  <c r="Z273" i="18"/>
  <c r="X273" i="18"/>
  <c r="L273" i="18"/>
  <c r="N273" i="18" s="1"/>
  <c r="B273" i="18"/>
  <c r="X272" i="18"/>
  <c r="T272" i="18"/>
  <c r="P272" i="18"/>
  <c r="H272" i="18"/>
  <c r="D272" i="18"/>
  <c r="L272" i="18" s="1"/>
  <c r="B272" i="18"/>
  <c r="Z271" i="18"/>
  <c r="X271" i="18"/>
  <c r="N271" i="18"/>
  <c r="L271" i="18"/>
  <c r="B271" i="18"/>
  <c r="X270" i="18"/>
  <c r="Z270" i="18" s="1"/>
  <c r="L270" i="18"/>
  <c r="N270" i="18" s="1"/>
  <c r="B270" i="18"/>
  <c r="X269" i="18"/>
  <c r="Z269" i="18" s="1"/>
  <c r="N269" i="18"/>
  <c r="L269" i="18"/>
  <c r="B269" i="18"/>
  <c r="T268" i="18"/>
  <c r="Z268" i="18" s="1"/>
  <c r="P268" i="18"/>
  <c r="X268" i="18" s="1"/>
  <c r="H268" i="18"/>
  <c r="D268" i="18"/>
  <c r="B268" i="18"/>
  <c r="X267" i="18"/>
  <c r="Z267" i="18" s="1"/>
  <c r="N267" i="18"/>
  <c r="L267" i="18"/>
  <c r="B267" i="18"/>
  <c r="X266" i="18"/>
  <c r="T266" i="18"/>
  <c r="P266" i="18"/>
  <c r="H266" i="18"/>
  <c r="N266" i="18" s="1"/>
  <c r="D266" i="18"/>
  <c r="L266" i="18" s="1"/>
  <c r="B266" i="18"/>
  <c r="Z265" i="18"/>
  <c r="X265" i="18"/>
  <c r="L265" i="18"/>
  <c r="N265" i="18" s="1"/>
  <c r="B265" i="18"/>
  <c r="X264" i="18"/>
  <c r="Z264" i="18" s="1"/>
  <c r="N264" i="18"/>
  <c r="L264" i="18"/>
  <c r="B264" i="18"/>
  <c r="T263" i="18"/>
  <c r="P263" i="18"/>
  <c r="H263" i="18"/>
  <c r="D263" i="18"/>
  <c r="L263" i="18" s="1"/>
  <c r="N263" i="18" s="1"/>
  <c r="B263" i="18"/>
  <c r="X262" i="18"/>
  <c r="Z262" i="18" s="1"/>
  <c r="L262" i="18"/>
  <c r="N262" i="18" s="1"/>
  <c r="B262" i="18"/>
  <c r="X261" i="18"/>
  <c r="Z261" i="18" s="1"/>
  <c r="N261" i="18"/>
  <c r="L261" i="18"/>
  <c r="B261" i="18"/>
  <c r="Z260" i="18"/>
  <c r="X260" i="18"/>
  <c r="N260" i="18"/>
  <c r="L260" i="18"/>
  <c r="B260" i="18"/>
  <c r="Z259" i="18"/>
  <c r="X259" i="18"/>
  <c r="L259" i="18"/>
  <c r="N259" i="18" s="1"/>
  <c r="B259" i="18"/>
  <c r="X258" i="18"/>
  <c r="Z258" i="18" s="1"/>
  <c r="L258" i="18"/>
  <c r="N258" i="18" s="1"/>
  <c r="B258" i="18"/>
  <c r="Z257" i="18"/>
  <c r="X257" i="18"/>
  <c r="N257" i="18"/>
  <c r="L257" i="18"/>
  <c r="B257" i="18"/>
  <c r="Z256" i="18"/>
  <c r="X256" i="18"/>
  <c r="N256" i="18"/>
  <c r="L256" i="18"/>
  <c r="B256" i="18"/>
  <c r="Z255" i="18"/>
  <c r="T255" i="18"/>
  <c r="P255" i="18"/>
  <c r="X255" i="18" s="1"/>
  <c r="L255" i="18"/>
  <c r="N255" i="18" s="1"/>
  <c r="H255" i="18"/>
  <c r="D255" i="18"/>
  <c r="B255" i="18"/>
  <c r="X254" i="18"/>
  <c r="Z254" i="18" s="1"/>
  <c r="N254" i="18"/>
  <c r="L254" i="18"/>
  <c r="B254" i="18"/>
  <c r="Z253" i="18"/>
  <c r="X253" i="18"/>
  <c r="N253" i="18"/>
  <c r="L253" i="18"/>
  <c r="B253" i="18"/>
  <c r="T252" i="18"/>
  <c r="P252" i="18"/>
  <c r="X252" i="18" s="1"/>
  <c r="L252" i="18"/>
  <c r="H252" i="18"/>
  <c r="N252" i="18" s="1"/>
  <c r="D252" i="18"/>
  <c r="B252" i="18"/>
  <c r="X251" i="18"/>
  <c r="Z251" i="18" s="1"/>
  <c r="N251" i="18"/>
  <c r="L251" i="18"/>
  <c r="B251" i="18"/>
  <c r="X250" i="18"/>
  <c r="Z250" i="18" s="1"/>
  <c r="L250" i="18"/>
  <c r="N250" i="18" s="1"/>
  <c r="B250" i="18"/>
  <c r="Z249" i="18"/>
  <c r="X249" i="18"/>
  <c r="N249" i="18"/>
  <c r="L249" i="18"/>
  <c r="B249" i="18"/>
  <c r="X248" i="18"/>
  <c r="Z248" i="18" s="1"/>
  <c r="N248" i="18"/>
  <c r="L248" i="18"/>
  <c r="B248" i="18"/>
  <c r="T247" i="18"/>
  <c r="P247" i="18"/>
  <c r="H247" i="18"/>
  <c r="D247" i="18"/>
  <c r="L247" i="18" s="1"/>
  <c r="N247" i="18" s="1"/>
  <c r="B247" i="18"/>
  <c r="X246" i="18"/>
  <c r="Z246" i="18" s="1"/>
  <c r="L246" i="18"/>
  <c r="N246" i="18" s="1"/>
  <c r="B246" i="18"/>
  <c r="X245" i="18"/>
  <c r="Z245" i="18" s="1"/>
  <c r="N245" i="18"/>
  <c r="L245" i="18"/>
  <c r="B245" i="18"/>
  <c r="Z244" i="18"/>
  <c r="X244" i="18"/>
  <c r="N244" i="18"/>
  <c r="L244" i="18"/>
  <c r="B244" i="18"/>
  <c r="T243" i="18"/>
  <c r="P243" i="18"/>
  <c r="X243" i="18" s="1"/>
  <c r="Z243" i="18" s="1"/>
  <c r="L243" i="18"/>
  <c r="N243" i="18" s="1"/>
  <c r="H243" i="18"/>
  <c r="D243" i="18"/>
  <c r="B243" i="18"/>
  <c r="X242" i="18"/>
  <c r="Z242" i="18" s="1"/>
  <c r="L242" i="18"/>
  <c r="N242" i="18" s="1"/>
  <c r="B242" i="18"/>
  <c r="Z241" i="18"/>
  <c r="X241" i="18"/>
  <c r="N241" i="18"/>
  <c r="L241" i="18"/>
  <c r="B241" i="18"/>
  <c r="Z240" i="18"/>
  <c r="X240" i="18"/>
  <c r="N240" i="18"/>
  <c r="L240" i="18"/>
  <c r="B240" i="18"/>
  <c r="X239" i="18"/>
  <c r="Z239" i="18" s="1"/>
  <c r="L239" i="18"/>
  <c r="N239" i="18" s="1"/>
  <c r="B239" i="18"/>
  <c r="X238" i="18"/>
  <c r="T238" i="18"/>
  <c r="Z238" i="18" s="1"/>
  <c r="P238" i="18"/>
  <c r="H238" i="18"/>
  <c r="N238" i="18" s="1"/>
  <c r="D238" i="18"/>
  <c r="L238" i="18" s="1"/>
  <c r="B238" i="18"/>
  <c r="Z237" i="18"/>
  <c r="X237" i="18"/>
  <c r="L237" i="18"/>
  <c r="N237" i="18" s="1"/>
  <c r="B237" i="18"/>
  <c r="X236" i="18"/>
  <c r="T236" i="18"/>
  <c r="P236" i="18"/>
  <c r="H236" i="18"/>
  <c r="N236" i="18" s="1"/>
  <c r="D236" i="18"/>
  <c r="L236" i="18" s="1"/>
  <c r="B236" i="18"/>
  <c r="Z235" i="18"/>
  <c r="X235" i="18"/>
  <c r="N235" i="18"/>
  <c r="L235" i="18"/>
  <c r="B235" i="18"/>
  <c r="T234" i="18"/>
  <c r="P234" i="18"/>
  <c r="H234" i="18"/>
  <c r="D234" i="18"/>
  <c r="L234" i="18" s="1"/>
  <c r="B234" i="18"/>
  <c r="Z233" i="18"/>
  <c r="X233" i="18"/>
  <c r="N233" i="18"/>
  <c r="L233" i="18"/>
  <c r="B233" i="18"/>
  <c r="T232" i="18"/>
  <c r="P232" i="18"/>
  <c r="X232" i="18" s="1"/>
  <c r="L232" i="18"/>
  <c r="H232" i="18"/>
  <c r="N232" i="18" s="1"/>
  <c r="D232" i="18"/>
  <c r="B232" i="18"/>
  <c r="X231" i="18"/>
  <c r="Z231" i="18" s="1"/>
  <c r="N231" i="18"/>
  <c r="L231" i="18"/>
  <c r="B231" i="18"/>
  <c r="T230" i="18"/>
  <c r="Z230" i="18" s="1"/>
  <c r="P230" i="18"/>
  <c r="X230" i="18" s="1"/>
  <c r="L230" i="18"/>
  <c r="H230" i="18"/>
  <c r="D230" i="18"/>
  <c r="B230" i="18"/>
  <c r="X229" i="18"/>
  <c r="Z229" i="18" s="1"/>
  <c r="N229" i="18"/>
  <c r="L229" i="18"/>
  <c r="B229" i="18"/>
  <c r="T228" i="18"/>
  <c r="P228" i="18"/>
  <c r="X228" i="18" s="1"/>
  <c r="H228" i="18"/>
  <c r="D228" i="18"/>
  <c r="L228" i="18" s="1"/>
  <c r="B228" i="18"/>
  <c r="X227" i="18"/>
  <c r="Z227" i="18" s="1"/>
  <c r="L227" i="18"/>
  <c r="N227" i="18" s="1"/>
  <c r="B227" i="18"/>
  <c r="X226" i="18"/>
  <c r="Z226" i="18" s="1"/>
  <c r="L226" i="18"/>
  <c r="N226" i="18" s="1"/>
  <c r="B226" i="18"/>
  <c r="Z225" i="18"/>
  <c r="X225" i="18"/>
  <c r="T225" i="18"/>
  <c r="P225" i="18"/>
  <c r="H225" i="18"/>
  <c r="D225" i="18"/>
  <c r="L225" i="18" s="1"/>
  <c r="B225" i="18"/>
  <c r="X224" i="18"/>
  <c r="Z224" i="18" s="1"/>
  <c r="N224" i="18"/>
  <c r="L224" i="18"/>
  <c r="B224" i="18"/>
  <c r="T223" i="18"/>
  <c r="P223" i="18"/>
  <c r="N223" i="18"/>
  <c r="H223" i="18"/>
  <c r="D223" i="18"/>
  <c r="L223" i="18" s="1"/>
  <c r="B223" i="18"/>
  <c r="X222" i="18"/>
  <c r="Z222" i="18" s="1"/>
  <c r="L222" i="18"/>
  <c r="N222" i="18" s="1"/>
  <c r="B222" i="18"/>
  <c r="X221" i="18"/>
  <c r="Z221" i="18" s="1"/>
  <c r="T221" i="18"/>
  <c r="P221" i="18"/>
  <c r="H221" i="18"/>
  <c r="D221" i="18"/>
  <c r="L221" i="18" s="1"/>
  <c r="N221" i="18" s="1"/>
  <c r="B221" i="18"/>
  <c r="Z220" i="18"/>
  <c r="X220" i="18"/>
  <c r="L220" i="18"/>
  <c r="N220" i="18" s="1"/>
  <c r="B220" i="18"/>
  <c r="T219" i="18"/>
  <c r="Z219" i="18" s="1"/>
  <c r="P219" i="18"/>
  <c r="X219" i="18" s="1"/>
  <c r="N219" i="18"/>
  <c r="L219" i="18"/>
  <c r="H219" i="18"/>
  <c r="D219" i="18"/>
  <c r="B219" i="18"/>
  <c r="X218" i="18"/>
  <c r="Z218" i="18" s="1"/>
  <c r="L218" i="18"/>
  <c r="N218" i="18" s="1"/>
  <c r="B218" i="18"/>
  <c r="Z217" i="18"/>
  <c r="X217" i="18"/>
  <c r="L217" i="18"/>
  <c r="N217" i="18" s="1"/>
  <c r="B217" i="18"/>
  <c r="X216" i="18"/>
  <c r="T216" i="18"/>
  <c r="P216" i="18"/>
  <c r="H216" i="18"/>
  <c r="D216" i="18"/>
  <c r="L216" i="18" s="1"/>
  <c r="N216" i="18" s="1"/>
  <c r="B216" i="18"/>
  <c r="Z215" i="18"/>
  <c r="X215" i="18"/>
  <c r="L215" i="18"/>
  <c r="N215" i="18" s="1"/>
  <c r="B215" i="18"/>
  <c r="X214" i="18"/>
  <c r="Z214" i="18" s="1"/>
  <c r="L214" i="18"/>
  <c r="N214" i="18" s="1"/>
  <c r="B214" i="18"/>
  <c r="X213" i="18"/>
  <c r="Z213" i="18" s="1"/>
  <c r="T213" i="18"/>
  <c r="P213" i="18"/>
  <c r="H213" i="18"/>
  <c r="D213" i="18"/>
  <c r="L213" i="18" s="1"/>
  <c r="N213" i="18" s="1"/>
  <c r="B213" i="18"/>
  <c r="Z212" i="18"/>
  <c r="X212" i="18"/>
  <c r="L212" i="18"/>
  <c r="N212" i="18" s="1"/>
  <c r="B212" i="18"/>
  <c r="T211" i="18"/>
  <c r="P211" i="18"/>
  <c r="X211" i="18" s="1"/>
  <c r="N211" i="18"/>
  <c r="L211" i="18"/>
  <c r="H211" i="18"/>
  <c r="D211" i="18"/>
  <c r="B211" i="18"/>
  <c r="X210" i="18"/>
  <c r="Z210" i="18" s="1"/>
  <c r="N210" i="18"/>
  <c r="L210" i="18"/>
  <c r="B210" i="18"/>
  <c r="Z209" i="18"/>
  <c r="X209" i="18"/>
  <c r="L209" i="18"/>
  <c r="N209" i="18" s="1"/>
  <c r="B209" i="18"/>
  <c r="T208" i="18"/>
  <c r="P208" i="18"/>
  <c r="H208" i="18"/>
  <c r="D208" i="18"/>
  <c r="L208" i="18" s="1"/>
  <c r="N208" i="18" s="1"/>
  <c r="B208" i="18"/>
  <c r="Z207" i="18"/>
  <c r="X207" i="18"/>
  <c r="N207" i="18"/>
  <c r="L207" i="18"/>
  <c r="B207" i="18"/>
  <c r="T206" i="18"/>
  <c r="P206" i="18"/>
  <c r="X206" i="18" s="1"/>
  <c r="H206" i="18"/>
  <c r="D206" i="18"/>
  <c r="B206" i="18"/>
  <c r="Z205" i="18"/>
  <c r="X205" i="18"/>
  <c r="N205" i="18"/>
  <c r="L205" i="18"/>
  <c r="B205" i="18"/>
  <c r="Z204" i="18"/>
  <c r="X204" i="18"/>
  <c r="L204" i="18"/>
  <c r="N204" i="18" s="1"/>
  <c r="B204" i="18"/>
  <c r="Z203" i="18"/>
  <c r="X203" i="18"/>
  <c r="L203" i="18"/>
  <c r="N203" i="18" s="1"/>
  <c r="B203" i="18"/>
  <c r="X202" i="18"/>
  <c r="Z202" i="18" s="1"/>
  <c r="L202" i="18"/>
  <c r="N202" i="18" s="1"/>
  <c r="B202" i="18"/>
  <c r="Z201" i="18"/>
  <c r="X201" i="18"/>
  <c r="N201" i="18"/>
  <c r="L201" i="18"/>
  <c r="B201" i="18"/>
  <c r="Z200" i="18"/>
  <c r="X200" i="18"/>
  <c r="L200" i="18"/>
  <c r="N200" i="18" s="1"/>
  <c r="B200" i="18"/>
  <c r="Z199" i="18"/>
  <c r="X199" i="18"/>
  <c r="L199" i="18"/>
  <c r="N199" i="18" s="1"/>
  <c r="B199" i="18"/>
  <c r="X198" i="18"/>
  <c r="T198" i="18"/>
  <c r="P198" i="18"/>
  <c r="H198" i="18"/>
  <c r="N198" i="18" s="1"/>
  <c r="D198" i="18"/>
  <c r="L198" i="18" s="1"/>
  <c r="B198" i="18"/>
  <c r="Z197" i="18"/>
  <c r="X197" i="18"/>
  <c r="L197" i="18"/>
  <c r="N197" i="18" s="1"/>
  <c r="B197" i="18"/>
  <c r="X196" i="18"/>
  <c r="Z196" i="18" s="1"/>
  <c r="N196" i="18"/>
  <c r="L196" i="18"/>
  <c r="B196" i="18"/>
  <c r="X195" i="18"/>
  <c r="Z195" i="18" s="1"/>
  <c r="N195" i="18"/>
  <c r="L195" i="18"/>
  <c r="B195" i="18"/>
  <c r="X194" i="18"/>
  <c r="Z194" i="18" s="1"/>
  <c r="L194" i="18"/>
  <c r="N194" i="18" s="1"/>
  <c r="B194" i="18"/>
  <c r="Z193" i="18"/>
  <c r="X193" i="18"/>
  <c r="N193" i="18"/>
  <c r="L193" i="18"/>
  <c r="B193" i="18"/>
  <c r="X192" i="18"/>
  <c r="Z192" i="18" s="1"/>
  <c r="N192" i="18"/>
  <c r="L192" i="18"/>
  <c r="B192" i="18"/>
  <c r="X191" i="18"/>
  <c r="Z191" i="18" s="1"/>
  <c r="N191" i="18"/>
  <c r="L191" i="18"/>
  <c r="B191" i="18"/>
  <c r="X190" i="18"/>
  <c r="Z190" i="18" s="1"/>
  <c r="L190" i="18"/>
  <c r="N190" i="18" s="1"/>
  <c r="B190" i="18"/>
  <c r="Z189" i="18"/>
  <c r="X189" i="18"/>
  <c r="L189" i="18"/>
  <c r="N189" i="18" s="1"/>
  <c r="B189" i="18"/>
  <c r="X188" i="18"/>
  <c r="Z188" i="18" s="1"/>
  <c r="N188" i="18"/>
  <c r="L188" i="18"/>
  <c r="B188" i="18"/>
  <c r="X187" i="18"/>
  <c r="T187" i="18"/>
  <c r="Z187" i="18" s="1"/>
  <c r="P187" i="18"/>
  <c r="N187" i="18"/>
  <c r="H187" i="18"/>
  <c r="D187" i="18"/>
  <c r="L187" i="18" s="1"/>
  <c r="B187" i="18"/>
  <c r="T186" i="18"/>
  <c r="P186" i="18"/>
  <c r="H186" i="18"/>
  <c r="N186" i="18" s="1"/>
  <c r="D186" i="18"/>
  <c r="L186" i="18" s="1"/>
  <c r="X182" i="18"/>
  <c r="Z182" i="18" s="1"/>
  <c r="N182" i="18"/>
  <c r="L182" i="18"/>
  <c r="B182" i="18"/>
  <c r="X181" i="18"/>
  <c r="Z181" i="18" s="1"/>
  <c r="N181" i="18"/>
  <c r="L181" i="18"/>
  <c r="B181" i="18"/>
  <c r="Z180" i="18"/>
  <c r="X180" i="18"/>
  <c r="N180" i="18"/>
  <c r="L180" i="18"/>
  <c r="B180" i="18"/>
  <c r="Z179" i="18"/>
  <c r="X179" i="18"/>
  <c r="N179" i="18"/>
  <c r="L179" i="18"/>
  <c r="B179" i="18"/>
  <c r="X178" i="18"/>
  <c r="Z178" i="18" s="1"/>
  <c r="N178" i="18"/>
  <c r="L178" i="18"/>
  <c r="B178" i="18"/>
  <c r="X177" i="18"/>
  <c r="Z177" i="18" s="1"/>
  <c r="N177" i="18"/>
  <c r="L177" i="18"/>
  <c r="B177" i="18"/>
  <c r="Z176" i="18"/>
  <c r="X176" i="18"/>
  <c r="N176" i="18"/>
  <c r="L176" i="18"/>
  <c r="B176" i="18"/>
  <c r="Z175" i="18"/>
  <c r="X175" i="18"/>
  <c r="N175" i="18"/>
  <c r="L175" i="18"/>
  <c r="B175" i="18"/>
  <c r="X174" i="18"/>
  <c r="Z174" i="18" s="1"/>
  <c r="L174" i="18"/>
  <c r="N174" i="18" s="1"/>
  <c r="B174" i="18"/>
  <c r="X173" i="18"/>
  <c r="Z173" i="18" s="1"/>
  <c r="N173" i="18"/>
  <c r="L173" i="18"/>
  <c r="B173" i="18"/>
  <c r="Z172" i="18"/>
  <c r="X172" i="18"/>
  <c r="N172" i="18"/>
  <c r="L172" i="18"/>
  <c r="B172" i="18"/>
  <c r="Z171" i="18"/>
  <c r="X171" i="18"/>
  <c r="N171" i="18"/>
  <c r="L171" i="18"/>
  <c r="B171" i="18"/>
  <c r="X170" i="18"/>
  <c r="Z170" i="18" s="1"/>
  <c r="L170" i="18"/>
  <c r="N170" i="18" s="1"/>
  <c r="B170" i="18"/>
  <c r="X169" i="18"/>
  <c r="Z169" i="18" s="1"/>
  <c r="N169" i="18"/>
  <c r="L169" i="18"/>
  <c r="B169" i="18"/>
  <c r="Z168" i="18"/>
  <c r="X168" i="18"/>
  <c r="N168" i="18"/>
  <c r="L168" i="18"/>
  <c r="B168" i="18"/>
  <c r="Z167" i="18"/>
  <c r="X167" i="18"/>
  <c r="N167" i="18"/>
  <c r="L167" i="18"/>
  <c r="B167" i="18"/>
  <c r="X166" i="18"/>
  <c r="Z166" i="18" s="1"/>
  <c r="L166" i="18"/>
  <c r="N166" i="18" s="1"/>
  <c r="B166" i="18"/>
  <c r="X165" i="18"/>
  <c r="Z165" i="18" s="1"/>
  <c r="N165" i="18"/>
  <c r="L165" i="18"/>
  <c r="B165" i="18"/>
  <c r="Z164" i="18"/>
  <c r="X164" i="18"/>
  <c r="N164" i="18"/>
  <c r="L164" i="18"/>
  <c r="B164" i="18"/>
  <c r="Z163" i="18"/>
  <c r="X163" i="18"/>
  <c r="N163" i="18"/>
  <c r="L163" i="18"/>
  <c r="B163" i="18"/>
  <c r="X162" i="18"/>
  <c r="Z162" i="18" s="1"/>
  <c r="L162" i="18"/>
  <c r="N162" i="18" s="1"/>
  <c r="B162" i="18"/>
  <c r="X161" i="18"/>
  <c r="Z161" i="18" s="1"/>
  <c r="N161" i="18"/>
  <c r="L161" i="18"/>
  <c r="B161" i="18"/>
  <c r="Z160" i="18"/>
  <c r="X160" i="18"/>
  <c r="N160" i="18"/>
  <c r="L160" i="18"/>
  <c r="B160" i="18"/>
  <c r="Z159" i="18"/>
  <c r="X159" i="18"/>
  <c r="N159" i="18"/>
  <c r="L159" i="18"/>
  <c r="B159" i="18"/>
  <c r="X158" i="18"/>
  <c r="Z158" i="18" s="1"/>
  <c r="N158" i="18"/>
  <c r="L158" i="18"/>
  <c r="B158" i="18"/>
  <c r="X157" i="18"/>
  <c r="Z157" i="18" s="1"/>
  <c r="N157" i="18"/>
  <c r="L157" i="18"/>
  <c r="B157" i="18"/>
  <c r="X156" i="18"/>
  <c r="Z156" i="18" s="1"/>
  <c r="N156" i="18"/>
  <c r="L156" i="18"/>
  <c r="B156" i="18"/>
  <c r="Z155" i="18"/>
  <c r="X155" i="18"/>
  <c r="L155" i="18"/>
  <c r="N155" i="18" s="1"/>
  <c r="B155" i="18"/>
  <c r="X154" i="18"/>
  <c r="Z154" i="18" s="1"/>
  <c r="N154" i="18"/>
  <c r="L154" i="18"/>
  <c r="B154" i="18"/>
  <c r="X153" i="18"/>
  <c r="Z153" i="18" s="1"/>
  <c r="N153" i="18"/>
  <c r="L153" i="18"/>
  <c r="B153" i="18"/>
  <c r="X152" i="18"/>
  <c r="Z152" i="18" s="1"/>
  <c r="N152" i="18"/>
  <c r="L152" i="18"/>
  <c r="B152" i="18"/>
  <c r="Z151" i="18"/>
  <c r="X151" i="18"/>
  <c r="L151" i="18"/>
  <c r="N151" i="18" s="1"/>
  <c r="B151" i="18"/>
  <c r="X150" i="18"/>
  <c r="Z150" i="18" s="1"/>
  <c r="L150" i="18"/>
  <c r="N150" i="18" s="1"/>
  <c r="B150" i="18"/>
  <c r="X149" i="18"/>
  <c r="Z149" i="18" s="1"/>
  <c r="N149" i="18"/>
  <c r="L149" i="18"/>
  <c r="B149" i="18"/>
  <c r="X148" i="18"/>
  <c r="Z148" i="18" s="1"/>
  <c r="N148" i="18"/>
  <c r="L148" i="18"/>
  <c r="B148" i="18"/>
  <c r="Z147" i="18"/>
  <c r="X147" i="18"/>
  <c r="L147" i="18"/>
  <c r="N147" i="18" s="1"/>
  <c r="B147" i="18"/>
  <c r="X146" i="18"/>
  <c r="Z146" i="18" s="1"/>
  <c r="L146" i="18"/>
  <c r="N146" i="18" s="1"/>
  <c r="B146" i="18"/>
  <c r="X145" i="18"/>
  <c r="Z145" i="18" s="1"/>
  <c r="N145" i="18"/>
  <c r="L145" i="18"/>
  <c r="B145" i="18"/>
  <c r="X144" i="18"/>
  <c r="Z144" i="18" s="1"/>
  <c r="N144" i="18"/>
  <c r="L144" i="18"/>
  <c r="B144" i="18"/>
  <c r="Z143" i="18"/>
  <c r="X143" i="18"/>
  <c r="L143" i="18"/>
  <c r="N143" i="18" s="1"/>
  <c r="B143" i="18"/>
  <c r="X142" i="18"/>
  <c r="Z142" i="18" s="1"/>
  <c r="L142" i="18"/>
  <c r="N142" i="18" s="1"/>
  <c r="B142" i="18"/>
  <c r="X141" i="18"/>
  <c r="Z141" i="18" s="1"/>
  <c r="N141" i="18"/>
  <c r="L141" i="18"/>
  <c r="B141" i="18"/>
  <c r="X140" i="18"/>
  <c r="Z140" i="18" s="1"/>
  <c r="N140" i="18"/>
  <c r="L140" i="18"/>
  <c r="B140" i="18"/>
  <c r="Z139" i="18"/>
  <c r="X139" i="18"/>
  <c r="L139" i="18"/>
  <c r="N139" i="18" s="1"/>
  <c r="B139" i="18"/>
  <c r="X138" i="18"/>
  <c r="Z138" i="18" s="1"/>
  <c r="L138" i="18"/>
  <c r="N138" i="18" s="1"/>
  <c r="B138" i="18"/>
  <c r="X137" i="18"/>
  <c r="Z137" i="18" s="1"/>
  <c r="N137" i="18"/>
  <c r="L137" i="18"/>
  <c r="B137" i="18"/>
  <c r="X136" i="18"/>
  <c r="Z136" i="18" s="1"/>
  <c r="N136" i="18"/>
  <c r="L136" i="18"/>
  <c r="B136" i="18"/>
  <c r="Z135" i="18"/>
  <c r="X135" i="18"/>
  <c r="N135" i="18"/>
  <c r="L135" i="18"/>
  <c r="B135" i="18"/>
  <c r="X134" i="18"/>
  <c r="Z134" i="18" s="1"/>
  <c r="L134" i="18"/>
  <c r="N134" i="18" s="1"/>
  <c r="B134" i="18"/>
  <c r="Z133" i="18"/>
  <c r="X133" i="18"/>
  <c r="N133" i="18"/>
  <c r="L133" i="18"/>
  <c r="B133" i="18"/>
  <c r="X132" i="18"/>
  <c r="Z132" i="18" s="1"/>
  <c r="N132" i="18"/>
  <c r="L132" i="18"/>
  <c r="B132" i="18"/>
  <c r="Z131" i="18"/>
  <c r="X131" i="18"/>
  <c r="L131" i="18"/>
  <c r="N131" i="18" s="1"/>
  <c r="B131" i="18"/>
  <c r="X130" i="18"/>
  <c r="Z130" i="18" s="1"/>
  <c r="L130" i="18"/>
  <c r="N130" i="18" s="1"/>
  <c r="B130" i="18"/>
  <c r="X129" i="18"/>
  <c r="Z129" i="18" s="1"/>
  <c r="N129" i="18"/>
  <c r="L129" i="18"/>
  <c r="B129" i="18"/>
  <c r="X128" i="18"/>
  <c r="Z128" i="18" s="1"/>
  <c r="N128" i="18"/>
  <c r="L128" i="18"/>
  <c r="B128" i="18"/>
  <c r="Z127" i="18"/>
  <c r="X127" i="18"/>
  <c r="L127" i="18"/>
  <c r="N127" i="18" s="1"/>
  <c r="B127" i="18"/>
  <c r="X126" i="18"/>
  <c r="Z126" i="18" s="1"/>
  <c r="L126" i="18"/>
  <c r="N126" i="18" s="1"/>
  <c r="B126" i="18"/>
  <c r="X125" i="18"/>
  <c r="Z125" i="18" s="1"/>
  <c r="T125" i="18"/>
  <c r="P125" i="18"/>
  <c r="N125" i="18"/>
  <c r="H125" i="18"/>
  <c r="D125" i="18"/>
  <c r="L125" i="18" s="1"/>
  <c r="X123" i="18"/>
  <c r="T123" i="18"/>
  <c r="Z123" i="18" s="1"/>
  <c r="P123" i="18"/>
  <c r="N123" i="18"/>
  <c r="H123" i="18"/>
  <c r="L123" i="18" s="1"/>
  <c r="D123" i="18"/>
  <c r="B123" i="18"/>
  <c r="T122" i="18"/>
  <c r="P122" i="18"/>
  <c r="X122" i="18" s="1"/>
  <c r="N122" i="18"/>
  <c r="H122" i="18"/>
  <c r="D122" i="18"/>
  <c r="L122" i="18" s="1"/>
  <c r="B122" i="18"/>
  <c r="T121" i="18"/>
  <c r="P121" i="18"/>
  <c r="X121" i="18" s="1"/>
  <c r="Z121" i="18" s="1"/>
  <c r="H121" i="18"/>
  <c r="N121" i="18" s="1"/>
  <c r="D121" i="18"/>
  <c r="L121" i="18" s="1"/>
  <c r="B121" i="18"/>
  <c r="T120" i="18"/>
  <c r="P120" i="18"/>
  <c r="X120" i="18" s="1"/>
  <c r="L120" i="18"/>
  <c r="H120" i="18"/>
  <c r="N120" i="18" s="1"/>
  <c r="D120" i="18"/>
  <c r="B120" i="18"/>
  <c r="X119" i="18"/>
  <c r="T119" i="18"/>
  <c r="Z119" i="18" s="1"/>
  <c r="P119" i="18"/>
  <c r="N119" i="18"/>
  <c r="H119" i="18"/>
  <c r="L119" i="18" s="1"/>
  <c r="D119" i="18"/>
  <c r="B119" i="18"/>
  <c r="T118" i="18"/>
  <c r="P118" i="18"/>
  <c r="X118" i="18" s="1"/>
  <c r="H118" i="18"/>
  <c r="D118" i="18"/>
  <c r="L118" i="18" s="1"/>
  <c r="N118" i="18" s="1"/>
  <c r="B118" i="18"/>
  <c r="T117" i="18"/>
  <c r="P117" i="18"/>
  <c r="H117" i="18"/>
  <c r="N117" i="18" s="1"/>
  <c r="D117" i="18"/>
  <c r="L117" i="18" s="1"/>
  <c r="B117" i="18"/>
  <c r="T116" i="18"/>
  <c r="P116" i="18"/>
  <c r="X116" i="18" s="1"/>
  <c r="L116" i="18"/>
  <c r="H116" i="18"/>
  <c r="N116" i="18" s="1"/>
  <c r="D116" i="18"/>
  <c r="B116" i="18"/>
  <c r="X115" i="18"/>
  <c r="T115" i="18"/>
  <c r="Z115" i="18" s="1"/>
  <c r="P115" i="18"/>
  <c r="H115" i="18"/>
  <c r="L115" i="18" s="1"/>
  <c r="D115" i="18"/>
  <c r="B115" i="18"/>
  <c r="T114" i="18"/>
  <c r="Z114" i="18" s="1"/>
  <c r="P114" i="18"/>
  <c r="X114" i="18" s="1"/>
  <c r="H114" i="18"/>
  <c r="D114" i="18"/>
  <c r="L114" i="18" s="1"/>
  <c r="N114" i="18" s="1"/>
  <c r="B114" i="18"/>
  <c r="T113" i="18"/>
  <c r="P113" i="18"/>
  <c r="H113" i="18"/>
  <c r="N113" i="18" s="1"/>
  <c r="D113" i="18"/>
  <c r="L113" i="18" s="1"/>
  <c r="B113" i="18"/>
  <c r="X112" i="18"/>
  <c r="T112" i="18"/>
  <c r="Z112" i="18" s="1"/>
  <c r="P112" i="18"/>
  <c r="L112" i="18"/>
  <c r="H112" i="18"/>
  <c r="N112" i="18" s="1"/>
  <c r="D112" i="18"/>
  <c r="B112" i="18"/>
  <c r="X111" i="18"/>
  <c r="T111" i="18"/>
  <c r="Z111" i="18" s="1"/>
  <c r="P111" i="18"/>
  <c r="H111" i="18"/>
  <c r="L111" i="18" s="1"/>
  <c r="D111" i="18"/>
  <c r="B111" i="18"/>
  <c r="T110" i="18"/>
  <c r="Z110" i="18" s="1"/>
  <c r="P110" i="18"/>
  <c r="X110" i="18" s="1"/>
  <c r="N110" i="18"/>
  <c r="H110" i="18"/>
  <c r="D110" i="18"/>
  <c r="L110" i="18" s="1"/>
  <c r="B110" i="18"/>
  <c r="Z109" i="18"/>
  <c r="T109" i="18"/>
  <c r="P109" i="18"/>
  <c r="X109" i="18" s="1"/>
  <c r="H109" i="18"/>
  <c r="N109" i="18" s="1"/>
  <c r="D109" i="18"/>
  <c r="L109" i="18" s="1"/>
  <c r="B109" i="18"/>
  <c r="T108" i="18"/>
  <c r="P108" i="18"/>
  <c r="X108" i="18" s="1"/>
  <c r="L108" i="18"/>
  <c r="H108" i="18"/>
  <c r="N108" i="18" s="1"/>
  <c r="D108" i="18"/>
  <c r="B108" i="18"/>
  <c r="X107" i="18"/>
  <c r="T107" i="18"/>
  <c r="Z107" i="18" s="1"/>
  <c r="P107" i="18"/>
  <c r="H107" i="18"/>
  <c r="D107" i="18"/>
  <c r="B107" i="18"/>
  <c r="T106" i="18"/>
  <c r="Z106" i="18" s="1"/>
  <c r="P106" i="18"/>
  <c r="X106" i="18" s="1"/>
  <c r="N106" i="18"/>
  <c r="H106" i="18"/>
  <c r="D106" i="18"/>
  <c r="L106" i="18" s="1"/>
  <c r="B106" i="18"/>
  <c r="T105" i="18"/>
  <c r="P105" i="18"/>
  <c r="H105" i="18"/>
  <c r="N105" i="18" s="1"/>
  <c r="D105" i="18"/>
  <c r="L105" i="18" s="1"/>
  <c r="B105" i="18"/>
  <c r="T104" i="18"/>
  <c r="P104" i="18"/>
  <c r="X104" i="18" s="1"/>
  <c r="L104" i="18"/>
  <c r="H104" i="18"/>
  <c r="N104" i="18" s="1"/>
  <c r="D104" i="18"/>
  <c r="B104" i="18"/>
  <c r="X103" i="18"/>
  <c r="T103" i="18"/>
  <c r="Z103" i="18" s="1"/>
  <c r="P103" i="18"/>
  <c r="N103" i="18"/>
  <c r="H103" i="18"/>
  <c r="L103" i="18" s="1"/>
  <c r="D103" i="18"/>
  <c r="B103" i="18"/>
  <c r="T102" i="18"/>
  <c r="Z102" i="18" s="1"/>
  <c r="P102" i="18"/>
  <c r="X102" i="18" s="1"/>
  <c r="H102" i="18"/>
  <c r="D102" i="18"/>
  <c r="L102" i="18" s="1"/>
  <c r="N102" i="18" s="1"/>
  <c r="B102" i="18"/>
  <c r="T101" i="18"/>
  <c r="P101" i="18"/>
  <c r="X101" i="18" s="1"/>
  <c r="Z101" i="18" s="1"/>
  <c r="H101" i="18"/>
  <c r="N101" i="18" s="1"/>
  <c r="D101" i="18"/>
  <c r="L101" i="18" s="1"/>
  <c r="B101" i="18"/>
  <c r="T100" i="18"/>
  <c r="P100" i="18"/>
  <c r="X100" i="18" s="1"/>
  <c r="L100" i="18"/>
  <c r="H100" i="18"/>
  <c r="D100" i="18"/>
  <c r="B100" i="18"/>
  <c r="X99" i="18"/>
  <c r="T99" i="18"/>
  <c r="Z99" i="18" s="1"/>
  <c r="P99" i="18"/>
  <c r="H99" i="18"/>
  <c r="L99" i="18" s="1"/>
  <c r="D99" i="18"/>
  <c r="B99" i="18"/>
  <c r="T98" i="18"/>
  <c r="P98" i="18"/>
  <c r="X98" i="18" s="1"/>
  <c r="H98" i="18"/>
  <c r="D98" i="18"/>
  <c r="L98" i="18" s="1"/>
  <c r="N98" i="18" s="1"/>
  <c r="B98" i="18"/>
  <c r="T97" i="18"/>
  <c r="P97" i="18"/>
  <c r="H97" i="18"/>
  <c r="D97" i="18"/>
  <c r="L97" i="18" s="1"/>
  <c r="B97" i="18"/>
  <c r="X96" i="18"/>
  <c r="T96" i="18"/>
  <c r="P96" i="18"/>
  <c r="L96" i="18"/>
  <c r="H96" i="18"/>
  <c r="N96" i="18" s="1"/>
  <c r="D96" i="18"/>
  <c r="B96" i="18"/>
  <c r="X95" i="18"/>
  <c r="T95" i="18"/>
  <c r="Z95" i="18" s="1"/>
  <c r="P95" i="18"/>
  <c r="N95" i="18"/>
  <c r="H95" i="18"/>
  <c r="L95" i="18" s="1"/>
  <c r="D95" i="18"/>
  <c r="B95" i="18"/>
  <c r="T94" i="18"/>
  <c r="Z94" i="18" s="1"/>
  <c r="P94" i="18"/>
  <c r="X94" i="18" s="1"/>
  <c r="H94" i="18"/>
  <c r="D94" i="18"/>
  <c r="L94" i="18" s="1"/>
  <c r="N94" i="18" s="1"/>
  <c r="B94" i="18"/>
  <c r="T93" i="18"/>
  <c r="P93" i="18"/>
  <c r="H93" i="18"/>
  <c r="N93" i="18" s="1"/>
  <c r="D93" i="18"/>
  <c r="L93" i="18" s="1"/>
  <c r="B93" i="18"/>
  <c r="X92" i="18"/>
  <c r="T92" i="18"/>
  <c r="P92" i="18"/>
  <c r="L92" i="18"/>
  <c r="N92" i="18" s="1"/>
  <c r="H92" i="18"/>
  <c r="D92" i="18"/>
  <c r="B92" i="18"/>
  <c r="X91" i="18"/>
  <c r="T91" i="18"/>
  <c r="Z91" i="18" s="1"/>
  <c r="P91" i="18"/>
  <c r="H91" i="18"/>
  <c r="L91" i="18" s="1"/>
  <c r="D91" i="18"/>
  <c r="B91" i="18"/>
  <c r="T90" i="18"/>
  <c r="P90" i="18"/>
  <c r="X90" i="18" s="1"/>
  <c r="N90" i="18"/>
  <c r="H90" i="18"/>
  <c r="D90" i="18"/>
  <c r="L90" i="18" s="1"/>
  <c r="B90" i="18"/>
  <c r="T89" i="18"/>
  <c r="P89" i="18"/>
  <c r="H89" i="18"/>
  <c r="N89" i="18" s="1"/>
  <c r="D89" i="18"/>
  <c r="L89" i="18" s="1"/>
  <c r="B89" i="18"/>
  <c r="T88" i="18"/>
  <c r="P88" i="18"/>
  <c r="X88" i="18" s="1"/>
  <c r="L88" i="18"/>
  <c r="H88" i="18"/>
  <c r="N88" i="18" s="1"/>
  <c r="D88" i="18"/>
  <c r="B88" i="18"/>
  <c r="X87" i="18"/>
  <c r="T87" i="18"/>
  <c r="Z87" i="18" s="1"/>
  <c r="P87" i="18"/>
  <c r="H87" i="18"/>
  <c r="L87" i="18" s="1"/>
  <c r="D87" i="18"/>
  <c r="B87" i="18"/>
  <c r="T86" i="18"/>
  <c r="Z86" i="18" s="1"/>
  <c r="P86" i="18"/>
  <c r="X86" i="18" s="1"/>
  <c r="N86" i="18"/>
  <c r="H86" i="18"/>
  <c r="D86" i="18"/>
  <c r="L86" i="18" s="1"/>
  <c r="B86" i="18"/>
  <c r="T85" i="18"/>
  <c r="P85" i="18"/>
  <c r="H85" i="18"/>
  <c r="N85" i="18" s="1"/>
  <c r="D85" i="18"/>
  <c r="L85" i="18" s="1"/>
  <c r="B85" i="18"/>
  <c r="T84" i="18"/>
  <c r="P84" i="18"/>
  <c r="X84" i="18" s="1"/>
  <c r="L84" i="18"/>
  <c r="N84" i="18" s="1"/>
  <c r="H84" i="18"/>
  <c r="D84" i="18"/>
  <c r="B84" i="18"/>
  <c r="X83" i="18"/>
  <c r="T83" i="18"/>
  <c r="Z83" i="18" s="1"/>
  <c r="P83" i="18"/>
  <c r="H83" i="18"/>
  <c r="L83" i="18" s="1"/>
  <c r="D83" i="18"/>
  <c r="B83" i="18"/>
  <c r="T82" i="18"/>
  <c r="Z82" i="18" s="1"/>
  <c r="P82" i="18"/>
  <c r="X82" i="18" s="1"/>
  <c r="N82" i="18"/>
  <c r="H82" i="18"/>
  <c r="D82" i="18"/>
  <c r="L82" i="18" s="1"/>
  <c r="B82" i="18"/>
  <c r="T81" i="18"/>
  <c r="X81" i="18" s="1"/>
  <c r="P81" i="18"/>
  <c r="H81" i="18"/>
  <c r="D81" i="18"/>
  <c r="L81" i="18" s="1"/>
  <c r="B81" i="18"/>
  <c r="X80" i="18"/>
  <c r="T80" i="18"/>
  <c r="P80" i="18"/>
  <c r="L80" i="18"/>
  <c r="N80" i="18" s="1"/>
  <c r="H80" i="18"/>
  <c r="D80" i="18"/>
  <c r="B80" i="18"/>
  <c r="X79" i="18"/>
  <c r="T79" i="18"/>
  <c r="Z79" i="18" s="1"/>
  <c r="P79" i="18"/>
  <c r="N79" i="18"/>
  <c r="H79" i="18"/>
  <c r="L79" i="18" s="1"/>
  <c r="D79" i="18"/>
  <c r="B79" i="18"/>
  <c r="T78" i="18"/>
  <c r="P78" i="18"/>
  <c r="X78" i="18" s="1"/>
  <c r="H78" i="18"/>
  <c r="D78" i="18"/>
  <c r="L78" i="18" s="1"/>
  <c r="N78" i="18" s="1"/>
  <c r="B78" i="18"/>
  <c r="Z77" i="18"/>
  <c r="T77" i="18"/>
  <c r="X77" i="18" s="1"/>
  <c r="P77" i="18"/>
  <c r="H77" i="18"/>
  <c r="N77" i="18" s="1"/>
  <c r="D77" i="18"/>
  <c r="L77" i="18" s="1"/>
  <c r="B77" i="18"/>
  <c r="T76" i="18"/>
  <c r="P76" i="18"/>
  <c r="X76" i="18" s="1"/>
  <c r="N76" i="18"/>
  <c r="L76" i="18"/>
  <c r="H76" i="18"/>
  <c r="D76" i="18"/>
  <c r="B76" i="18"/>
  <c r="X75" i="18"/>
  <c r="T75" i="18"/>
  <c r="Z75" i="18" s="1"/>
  <c r="P75" i="18"/>
  <c r="N75" i="18"/>
  <c r="H75" i="18"/>
  <c r="L75" i="18" s="1"/>
  <c r="D75" i="18"/>
  <c r="B75" i="18"/>
  <c r="T74" i="18"/>
  <c r="P74" i="18"/>
  <c r="X74" i="18" s="1"/>
  <c r="H74" i="18"/>
  <c r="D74" i="18"/>
  <c r="L74" i="18" s="1"/>
  <c r="N74" i="18" s="1"/>
  <c r="B74" i="18"/>
  <c r="T73" i="18"/>
  <c r="X73" i="18" s="1"/>
  <c r="P73" i="18"/>
  <c r="H73" i="18"/>
  <c r="N73" i="18" s="1"/>
  <c r="D73" i="18"/>
  <c r="L73" i="18" s="1"/>
  <c r="B73" i="18"/>
  <c r="T72" i="18"/>
  <c r="P72" i="18"/>
  <c r="X72" i="18" s="1"/>
  <c r="L72" i="18"/>
  <c r="N72" i="18" s="1"/>
  <c r="H72" i="18"/>
  <c r="D72" i="18"/>
  <c r="B72" i="18"/>
  <c r="X71" i="18"/>
  <c r="T71" i="18"/>
  <c r="Z71" i="18" s="1"/>
  <c r="P71" i="18"/>
  <c r="N71" i="18"/>
  <c r="H71" i="18"/>
  <c r="L71" i="18" s="1"/>
  <c r="D71" i="18"/>
  <c r="B71" i="18"/>
  <c r="T70" i="18"/>
  <c r="Z70" i="18" s="1"/>
  <c r="P70" i="18"/>
  <c r="X70" i="18" s="1"/>
  <c r="H70" i="18"/>
  <c r="D70" i="18"/>
  <c r="L70" i="18" s="1"/>
  <c r="N70" i="18" s="1"/>
  <c r="B70" i="18"/>
  <c r="Z69" i="18"/>
  <c r="T69" i="18"/>
  <c r="X69" i="18" s="1"/>
  <c r="P69" i="18"/>
  <c r="H69" i="18"/>
  <c r="N69" i="18" s="1"/>
  <c r="D69" i="18"/>
  <c r="L69" i="18" s="1"/>
  <c r="B69" i="18"/>
  <c r="T68" i="18"/>
  <c r="P68" i="18"/>
  <c r="X68" i="18" s="1"/>
  <c r="L68" i="18"/>
  <c r="N68" i="18" s="1"/>
  <c r="H68" i="18"/>
  <c r="D68" i="18"/>
  <c r="B68" i="18"/>
  <c r="X67" i="18"/>
  <c r="T67" i="18"/>
  <c r="Z67" i="18" s="1"/>
  <c r="P67" i="18"/>
  <c r="H67" i="18"/>
  <c r="L67" i="18" s="1"/>
  <c r="D67" i="18"/>
  <c r="B67" i="18"/>
  <c r="T66" i="18"/>
  <c r="P66" i="18"/>
  <c r="X66" i="18" s="1"/>
  <c r="H66" i="18"/>
  <c r="D66" i="18"/>
  <c r="L66" i="18" s="1"/>
  <c r="N66" i="18" s="1"/>
  <c r="B66" i="18"/>
  <c r="T65" i="18"/>
  <c r="P65" i="18"/>
  <c r="H65" i="18"/>
  <c r="N65" i="18" s="1"/>
  <c r="D65" i="18"/>
  <c r="L65" i="18" s="1"/>
  <c r="B65" i="18"/>
  <c r="X64" i="18"/>
  <c r="T64" i="18"/>
  <c r="P64" i="18"/>
  <c r="L64" i="18"/>
  <c r="N64" i="18" s="1"/>
  <c r="H64" i="18"/>
  <c r="D64" i="18"/>
  <c r="B64" i="18"/>
  <c r="X63" i="18"/>
  <c r="T63" i="18"/>
  <c r="Z63" i="18" s="1"/>
  <c r="P63" i="18"/>
  <c r="N63" i="18"/>
  <c r="H63" i="18"/>
  <c r="L63" i="18" s="1"/>
  <c r="D63" i="18"/>
  <c r="B63" i="18"/>
  <c r="T62" i="18"/>
  <c r="Z62" i="18" s="1"/>
  <c r="P62" i="18"/>
  <c r="X62" i="18" s="1"/>
  <c r="H62" i="18"/>
  <c r="D62" i="18"/>
  <c r="L62" i="18" s="1"/>
  <c r="N62" i="18" s="1"/>
  <c r="B62" i="18"/>
  <c r="Z61" i="18"/>
  <c r="T61" i="18"/>
  <c r="X61" i="18" s="1"/>
  <c r="P61" i="18"/>
  <c r="H61" i="18"/>
  <c r="N61" i="18" s="1"/>
  <c r="D61" i="18"/>
  <c r="L61" i="18" s="1"/>
  <c r="B61" i="18"/>
  <c r="X60" i="18"/>
  <c r="T60" i="18"/>
  <c r="Z60" i="18" s="1"/>
  <c r="P60" i="18"/>
  <c r="N60" i="18"/>
  <c r="L60" i="18"/>
  <c r="H60" i="18"/>
  <c r="D60" i="18"/>
  <c r="B60" i="18"/>
  <c r="X59" i="18"/>
  <c r="T59" i="18"/>
  <c r="Z59" i="18" s="1"/>
  <c r="P59" i="18"/>
  <c r="N59" i="18"/>
  <c r="H59" i="18"/>
  <c r="L59" i="18" s="1"/>
  <c r="D59" i="18"/>
  <c r="B59" i="18"/>
  <c r="T58" i="18"/>
  <c r="P58" i="18"/>
  <c r="X58" i="18" s="1"/>
  <c r="N58" i="18"/>
  <c r="H58" i="18"/>
  <c r="D58" i="18"/>
  <c r="L58" i="18" s="1"/>
  <c r="B58" i="18"/>
  <c r="Z57" i="18"/>
  <c r="T57" i="18"/>
  <c r="X57" i="18" s="1"/>
  <c r="P57" i="18"/>
  <c r="H57" i="18"/>
  <c r="D57" i="18"/>
  <c r="L57" i="18" s="1"/>
  <c r="B57" i="18"/>
  <c r="T56" i="18"/>
  <c r="P56" i="18"/>
  <c r="X56" i="18" s="1"/>
  <c r="N56" i="18"/>
  <c r="L56" i="18"/>
  <c r="H56" i="18"/>
  <c r="D56" i="18"/>
  <c r="B56" i="18"/>
  <c r="X55" i="18"/>
  <c r="T55" i="18"/>
  <c r="Z55" i="18" s="1"/>
  <c r="P55" i="18"/>
  <c r="H55" i="18"/>
  <c r="L55" i="18" s="1"/>
  <c r="D55" i="18"/>
  <c r="B55" i="18"/>
  <c r="T54" i="18"/>
  <c r="Z54" i="18" s="1"/>
  <c r="P54" i="18"/>
  <c r="X54" i="18" s="1"/>
  <c r="H54" i="18"/>
  <c r="D54" i="18"/>
  <c r="L54" i="18" s="1"/>
  <c r="N54" i="18" s="1"/>
  <c r="B54" i="18"/>
  <c r="Z53" i="18"/>
  <c r="T53" i="18"/>
  <c r="X53" i="18" s="1"/>
  <c r="P53" i="18"/>
  <c r="H53" i="18"/>
  <c r="N53" i="18" s="1"/>
  <c r="D53" i="18"/>
  <c r="L53" i="18" s="1"/>
  <c r="B53" i="18"/>
  <c r="X52" i="18"/>
  <c r="T52" i="18"/>
  <c r="Z52" i="18" s="1"/>
  <c r="P52" i="18"/>
  <c r="L52" i="18"/>
  <c r="N52" i="18" s="1"/>
  <c r="H52" i="18"/>
  <c r="D52" i="18"/>
  <c r="B52" i="18"/>
  <c r="X51" i="18"/>
  <c r="T51" i="18"/>
  <c r="Z51" i="18" s="1"/>
  <c r="P51" i="18"/>
  <c r="H51" i="18"/>
  <c r="L51" i="18" s="1"/>
  <c r="D51" i="18"/>
  <c r="B51" i="18"/>
  <c r="T50" i="18"/>
  <c r="Z50" i="18" s="1"/>
  <c r="P50" i="18"/>
  <c r="X50" i="18" s="1"/>
  <c r="H50" i="18"/>
  <c r="D50" i="18"/>
  <c r="L50" i="18" s="1"/>
  <c r="N50" i="18" s="1"/>
  <c r="B50" i="18"/>
  <c r="T49" i="18"/>
  <c r="X49" i="18" s="1"/>
  <c r="P49" i="18"/>
  <c r="H49" i="18"/>
  <c r="D49" i="18"/>
  <c r="L49" i="18" s="1"/>
  <c r="B49" i="18"/>
  <c r="X48" i="18"/>
  <c r="T48" i="18"/>
  <c r="P48" i="18"/>
  <c r="L48" i="18"/>
  <c r="N48" i="18" s="1"/>
  <c r="H48" i="18"/>
  <c r="D48" i="18"/>
  <c r="B48" i="18"/>
  <c r="X47" i="18"/>
  <c r="T47" i="18"/>
  <c r="Z47" i="18" s="1"/>
  <c r="P47" i="18"/>
  <c r="N47" i="18"/>
  <c r="H47" i="18"/>
  <c r="L47" i="18" s="1"/>
  <c r="D47" i="18"/>
  <c r="B47" i="18"/>
  <c r="T46" i="18"/>
  <c r="P46" i="18"/>
  <c r="X46" i="18" s="1"/>
  <c r="H46" i="18"/>
  <c r="D46" i="18"/>
  <c r="L46" i="18" s="1"/>
  <c r="N46" i="18" s="1"/>
  <c r="B46" i="18"/>
  <c r="Z45" i="18"/>
  <c r="T45" i="18"/>
  <c r="X45" i="18" s="1"/>
  <c r="P45" i="18"/>
  <c r="H45" i="18"/>
  <c r="N45" i="18" s="1"/>
  <c r="D45" i="18"/>
  <c r="L45" i="18" s="1"/>
  <c r="B45" i="18"/>
  <c r="T44" i="18"/>
  <c r="P44" i="18"/>
  <c r="X44" i="18" s="1"/>
  <c r="N44" i="18"/>
  <c r="L44" i="18"/>
  <c r="H44" i="18"/>
  <c r="D44" i="18"/>
  <c r="B44" i="18"/>
  <c r="X43" i="18"/>
  <c r="T43" i="18"/>
  <c r="Z43" i="18" s="1"/>
  <c r="P43" i="18"/>
  <c r="N43" i="18"/>
  <c r="H43" i="18"/>
  <c r="L43" i="18" s="1"/>
  <c r="D43" i="18"/>
  <c r="B43" i="18"/>
  <c r="T42" i="18"/>
  <c r="P42" i="18"/>
  <c r="X42" i="18" s="1"/>
  <c r="H42" i="18"/>
  <c r="D42" i="18"/>
  <c r="L42" i="18" s="1"/>
  <c r="N42" i="18" s="1"/>
  <c r="B42" i="18"/>
  <c r="T41" i="18"/>
  <c r="X41" i="18" s="1"/>
  <c r="P41" i="18"/>
  <c r="H41" i="18"/>
  <c r="N41" i="18" s="1"/>
  <c r="D41" i="18"/>
  <c r="L41" i="18" s="1"/>
  <c r="B41" i="18"/>
  <c r="T40" i="18"/>
  <c r="P40" i="18"/>
  <c r="X40" i="18" s="1"/>
  <c r="L40" i="18"/>
  <c r="N40" i="18" s="1"/>
  <c r="H40" i="18"/>
  <c r="D40" i="18"/>
  <c r="B40" i="18"/>
  <c r="X39" i="18"/>
  <c r="T39" i="18"/>
  <c r="Z39" i="18" s="1"/>
  <c r="P39" i="18"/>
  <c r="N39" i="18"/>
  <c r="H39" i="18"/>
  <c r="L39" i="18" s="1"/>
  <c r="D39" i="18"/>
  <c r="B39" i="18"/>
  <c r="T38" i="18"/>
  <c r="Z38" i="18" s="1"/>
  <c r="P38" i="18"/>
  <c r="X38" i="18" s="1"/>
  <c r="H38" i="18"/>
  <c r="D38" i="18"/>
  <c r="L38" i="18" s="1"/>
  <c r="N38" i="18" s="1"/>
  <c r="B38" i="18"/>
  <c r="Z37" i="18"/>
  <c r="T37" i="18"/>
  <c r="X37" i="18" s="1"/>
  <c r="P37" i="18"/>
  <c r="H37" i="18"/>
  <c r="N37" i="18" s="1"/>
  <c r="D37" i="18"/>
  <c r="L37" i="18" s="1"/>
  <c r="B37" i="18"/>
  <c r="T36" i="18"/>
  <c r="P36" i="18"/>
  <c r="X36" i="18" s="1"/>
  <c r="L36" i="18"/>
  <c r="N36" i="18" s="1"/>
  <c r="H36" i="18"/>
  <c r="D36" i="18"/>
  <c r="B36" i="18"/>
  <c r="X35" i="18"/>
  <c r="T35" i="18"/>
  <c r="Z35" i="18" s="1"/>
  <c r="P35" i="18"/>
  <c r="H35" i="18"/>
  <c r="L35" i="18" s="1"/>
  <c r="D35" i="18"/>
  <c r="B35" i="18"/>
  <c r="T34" i="18"/>
  <c r="P34" i="18"/>
  <c r="X34" i="18" s="1"/>
  <c r="H34" i="18"/>
  <c r="D34" i="18"/>
  <c r="L34" i="18" s="1"/>
  <c r="N34" i="18" s="1"/>
  <c r="B34" i="18"/>
  <c r="Z33" i="18"/>
  <c r="T33" i="18"/>
  <c r="X33" i="18" s="1"/>
  <c r="P33" i="18"/>
  <c r="H33" i="18"/>
  <c r="D33" i="18"/>
  <c r="L33" i="18" s="1"/>
  <c r="B33" i="18"/>
  <c r="X32" i="18"/>
  <c r="T32" i="18"/>
  <c r="P32" i="18"/>
  <c r="L32" i="18"/>
  <c r="N32" i="18" s="1"/>
  <c r="H32" i="18"/>
  <c r="D32" i="18"/>
  <c r="B32" i="18"/>
  <c r="T31" i="18"/>
  <c r="X31" i="18" s="1"/>
  <c r="P31" i="18"/>
  <c r="N31" i="18"/>
  <c r="H31" i="18"/>
  <c r="L31" i="18" s="1"/>
  <c r="D31" i="18"/>
  <c r="B31" i="18"/>
  <c r="T30" i="18"/>
  <c r="P30" i="18"/>
  <c r="X30" i="18" s="1"/>
  <c r="L30" i="18"/>
  <c r="N30" i="18" s="1"/>
  <c r="H30" i="18"/>
  <c r="D30" i="18"/>
  <c r="B30" i="18"/>
  <c r="T29" i="18"/>
  <c r="X29" i="18" s="1"/>
  <c r="P29" i="18"/>
  <c r="H29" i="18"/>
  <c r="N29" i="18" s="1"/>
  <c r="D29" i="18"/>
  <c r="L29" i="18" s="1"/>
  <c r="B29" i="18"/>
  <c r="T28" i="18"/>
  <c r="P28" i="18"/>
  <c r="L28" i="18"/>
  <c r="N28" i="18" s="1"/>
  <c r="H28" i="18"/>
  <c r="D28" i="18"/>
  <c r="B28" i="18"/>
  <c r="X27" i="18"/>
  <c r="T27" i="18"/>
  <c r="P27" i="18"/>
  <c r="N27" i="18"/>
  <c r="H27" i="18"/>
  <c r="L27" i="18" s="1"/>
  <c r="D27" i="18"/>
  <c r="B27" i="18"/>
  <c r="T26" i="18"/>
  <c r="Z26" i="18" s="1"/>
  <c r="P26" i="18"/>
  <c r="X26" i="18" s="1"/>
  <c r="H26" i="18"/>
  <c r="D26" i="18"/>
  <c r="L26" i="18" s="1"/>
  <c r="N26" i="18" s="1"/>
  <c r="B26" i="18"/>
  <c r="Z25" i="18"/>
  <c r="T25" i="18"/>
  <c r="X25" i="18" s="1"/>
  <c r="P25" i="18"/>
  <c r="H25" i="18"/>
  <c r="N25" i="18" s="1"/>
  <c r="D25" i="18"/>
  <c r="L25" i="18" s="1"/>
  <c r="B25" i="18"/>
  <c r="T24" i="18"/>
  <c r="P24" i="18"/>
  <c r="X24" i="18" s="1"/>
  <c r="L24" i="18"/>
  <c r="N24" i="18" s="1"/>
  <c r="H24" i="18"/>
  <c r="D24" i="18"/>
  <c r="B24" i="18"/>
  <c r="X23" i="18"/>
  <c r="T23" i="18"/>
  <c r="P23" i="18"/>
  <c r="H23" i="18"/>
  <c r="D23" i="18"/>
  <c r="B23" i="18"/>
  <c r="T22" i="18"/>
  <c r="Z22" i="18" s="1"/>
  <c r="P22" i="18"/>
  <c r="X22" i="18" s="1"/>
  <c r="N22" i="18"/>
  <c r="L22" i="18"/>
  <c r="H22" i="18"/>
  <c r="D22" i="18"/>
  <c r="B22" i="18"/>
  <c r="Z21" i="18"/>
  <c r="T21" i="18"/>
  <c r="X21" i="18" s="1"/>
  <c r="P21" i="18"/>
  <c r="H21" i="18"/>
  <c r="N21" i="18" s="1"/>
  <c r="D21" i="18"/>
  <c r="L21" i="18" s="1"/>
  <c r="B21" i="18"/>
  <c r="T20" i="18"/>
  <c r="P20" i="18"/>
  <c r="X20" i="18" s="1"/>
  <c r="L20" i="18"/>
  <c r="N20" i="18" s="1"/>
  <c r="H20" i="18"/>
  <c r="D20" i="18"/>
  <c r="B20" i="18"/>
  <c r="T19" i="18"/>
  <c r="P19" i="18"/>
  <c r="H19" i="18"/>
  <c r="L19" i="18" s="1"/>
  <c r="D19" i="18"/>
  <c r="B19" i="18"/>
  <c r="T18" i="18"/>
  <c r="Z18" i="18" s="1"/>
  <c r="P18" i="18"/>
  <c r="X18" i="18" s="1"/>
  <c r="H18" i="18"/>
  <c r="D18" i="18"/>
  <c r="L18" i="18" s="1"/>
  <c r="N18" i="18" s="1"/>
  <c r="B18" i="18"/>
  <c r="Z17" i="18"/>
  <c r="T17" i="18"/>
  <c r="X17" i="18" s="1"/>
  <c r="P17" i="18"/>
  <c r="H17" i="18"/>
  <c r="N17" i="18" s="1"/>
  <c r="D17" i="18"/>
  <c r="L17" i="18" s="1"/>
  <c r="B17" i="18"/>
  <c r="X16" i="18"/>
  <c r="T16" i="18"/>
  <c r="P16" i="18"/>
  <c r="L16" i="18"/>
  <c r="N16" i="18" s="1"/>
  <c r="H16" i="18"/>
  <c r="D16" i="18"/>
  <c r="B16" i="18"/>
  <c r="T15" i="18"/>
  <c r="X15" i="18" s="1"/>
  <c r="P15" i="18"/>
  <c r="N15" i="18"/>
  <c r="H15" i="18"/>
  <c r="L15" i="18" s="1"/>
  <c r="D15" i="18"/>
  <c r="B15" i="18"/>
  <c r="T14" i="18"/>
  <c r="P14" i="18"/>
  <c r="X14" i="18" s="1"/>
  <c r="L14" i="18"/>
  <c r="N14" i="18" s="1"/>
  <c r="H14" i="18"/>
  <c r="D14" i="18"/>
  <c r="B14" i="18"/>
  <c r="T13" i="18"/>
  <c r="P13" i="18"/>
  <c r="H13" i="18"/>
  <c r="D13" i="18"/>
  <c r="B13" i="18"/>
  <c r="D4" i="18"/>
  <c r="Z263" i="15"/>
  <c r="X263" i="15"/>
  <c r="N263" i="15"/>
  <c r="L263" i="15"/>
  <c r="T259" i="15"/>
  <c r="X259" i="15" s="1"/>
  <c r="P259" i="15"/>
  <c r="N259" i="15"/>
  <c r="L259" i="15"/>
  <c r="H259" i="15"/>
  <c r="D259" i="15"/>
  <c r="B259" i="15"/>
  <c r="T258" i="15"/>
  <c r="P258" i="15"/>
  <c r="N258" i="15"/>
  <c r="L258" i="15"/>
  <c r="H258" i="15"/>
  <c r="D258" i="15"/>
  <c r="B258" i="15"/>
  <c r="X257" i="15"/>
  <c r="Z257" i="15" s="1"/>
  <c r="T257" i="15"/>
  <c r="P257" i="15"/>
  <c r="N257" i="15"/>
  <c r="H257" i="15"/>
  <c r="D257" i="15"/>
  <c r="L257" i="15" s="1"/>
  <c r="B257" i="15"/>
  <c r="T256" i="15"/>
  <c r="P256" i="15"/>
  <c r="X256" i="15" s="1"/>
  <c r="L256" i="15"/>
  <c r="H256" i="15"/>
  <c r="D256" i="15"/>
  <c r="B256" i="15"/>
  <c r="T255" i="15"/>
  <c r="P255" i="15"/>
  <c r="X255" i="15" s="1"/>
  <c r="Z255" i="15" s="1"/>
  <c r="H255" i="15"/>
  <c r="D255" i="15"/>
  <c r="B255" i="15"/>
  <c r="T254" i="15"/>
  <c r="P254" i="15"/>
  <c r="X254" i="15" s="1"/>
  <c r="H254" i="15"/>
  <c r="D254" i="15"/>
  <c r="L254" i="15" s="1"/>
  <c r="B254" i="15"/>
  <c r="Z253" i="15"/>
  <c r="X253" i="15"/>
  <c r="T253" i="15"/>
  <c r="P253" i="15"/>
  <c r="L253" i="15"/>
  <c r="H253" i="15"/>
  <c r="N253" i="15" s="1"/>
  <c r="D253" i="15"/>
  <c r="B253" i="15"/>
  <c r="X252" i="15"/>
  <c r="Z252" i="15" s="1"/>
  <c r="T252" i="15"/>
  <c r="P252" i="15"/>
  <c r="H252" i="15"/>
  <c r="N252" i="15" s="1"/>
  <c r="D252" i="15"/>
  <c r="B252" i="15"/>
  <c r="T251" i="15"/>
  <c r="P251" i="15"/>
  <c r="N251" i="15"/>
  <c r="H251" i="15"/>
  <c r="D251" i="15"/>
  <c r="L251" i="15" s="1"/>
  <c r="B251" i="15"/>
  <c r="X248" i="15"/>
  <c r="Z248" i="15" s="1"/>
  <c r="N248" i="15"/>
  <c r="L248" i="15"/>
  <c r="B248" i="15"/>
  <c r="Z247" i="15"/>
  <c r="X247" i="15"/>
  <c r="T247" i="15"/>
  <c r="P247" i="15"/>
  <c r="H247" i="15"/>
  <c r="L247" i="15" s="1"/>
  <c r="D247" i="15"/>
  <c r="B247" i="15"/>
  <c r="Z246" i="15"/>
  <c r="X246" i="15"/>
  <c r="L246" i="15"/>
  <c r="N246" i="15" s="1"/>
  <c r="B246" i="15"/>
  <c r="Z245" i="15"/>
  <c r="X245" i="15"/>
  <c r="N245" i="15"/>
  <c r="L245" i="15"/>
  <c r="B245" i="15"/>
  <c r="Z244" i="15"/>
  <c r="X244" i="15"/>
  <c r="L244" i="15"/>
  <c r="N244" i="15" s="1"/>
  <c r="B244" i="15"/>
  <c r="T243" i="15"/>
  <c r="P243" i="15"/>
  <c r="H243" i="15"/>
  <c r="L243" i="15" s="1"/>
  <c r="D243" i="15"/>
  <c r="B243" i="15"/>
  <c r="X242" i="15"/>
  <c r="Z242" i="15" s="1"/>
  <c r="N242" i="15"/>
  <c r="L242" i="15"/>
  <c r="B242" i="15"/>
  <c r="T241" i="15"/>
  <c r="P241" i="15"/>
  <c r="X241" i="15" s="1"/>
  <c r="Z241" i="15" s="1"/>
  <c r="L241" i="15"/>
  <c r="H241" i="15"/>
  <c r="N241" i="15" s="1"/>
  <c r="D241" i="15"/>
  <c r="B241" i="15"/>
  <c r="X240" i="15"/>
  <c r="Z240" i="15" s="1"/>
  <c r="N240" i="15"/>
  <c r="L240" i="15"/>
  <c r="B240" i="15"/>
  <c r="Z239" i="15"/>
  <c r="X239" i="15"/>
  <c r="N239" i="15"/>
  <c r="L239" i="15"/>
  <c r="B239" i="15"/>
  <c r="T238" i="15"/>
  <c r="P238" i="15"/>
  <c r="X238" i="15" s="1"/>
  <c r="Z238" i="15" s="1"/>
  <c r="L238" i="15"/>
  <c r="N238" i="15" s="1"/>
  <c r="H238" i="15"/>
  <c r="D238" i="15"/>
  <c r="B238" i="15"/>
  <c r="Z237" i="15"/>
  <c r="X237" i="15"/>
  <c r="N237" i="15"/>
  <c r="L237" i="15"/>
  <c r="B237" i="15"/>
  <c r="Z236" i="15"/>
  <c r="X236" i="15"/>
  <c r="L236" i="15"/>
  <c r="N236" i="15" s="1"/>
  <c r="B236" i="15"/>
  <c r="Z235" i="15"/>
  <c r="X235" i="15"/>
  <c r="L235" i="15"/>
  <c r="N235" i="15" s="1"/>
  <c r="B235" i="15"/>
  <c r="Z234" i="15"/>
  <c r="X234" i="15"/>
  <c r="L234" i="15"/>
  <c r="N234" i="15" s="1"/>
  <c r="B234" i="15"/>
  <c r="Z233" i="15"/>
  <c r="X233" i="15"/>
  <c r="N233" i="15"/>
  <c r="L233" i="15"/>
  <c r="B233" i="15"/>
  <c r="Z232" i="15"/>
  <c r="X232" i="15"/>
  <c r="N232" i="15"/>
  <c r="L232" i="15"/>
  <c r="B232" i="15"/>
  <c r="Z231" i="15"/>
  <c r="X231" i="15"/>
  <c r="N231" i="15"/>
  <c r="L231" i="15"/>
  <c r="B231" i="15"/>
  <c r="X230" i="15"/>
  <c r="T230" i="15"/>
  <c r="Z230" i="15" s="1"/>
  <c r="P230" i="15"/>
  <c r="H230" i="15"/>
  <c r="D230" i="15"/>
  <c r="B230" i="15"/>
  <c r="Z229" i="15"/>
  <c r="X229" i="15"/>
  <c r="N229" i="15"/>
  <c r="L229" i="15"/>
  <c r="B229" i="15"/>
  <c r="X228" i="15"/>
  <c r="Z228" i="15" s="1"/>
  <c r="L228" i="15"/>
  <c r="N228" i="15" s="1"/>
  <c r="B228" i="15"/>
  <c r="T227" i="15"/>
  <c r="P227" i="15"/>
  <c r="X227" i="15" s="1"/>
  <c r="N227" i="15"/>
  <c r="H227" i="15"/>
  <c r="D227" i="15"/>
  <c r="L227" i="15" s="1"/>
  <c r="B227" i="15"/>
  <c r="X226" i="15"/>
  <c r="Z226" i="15" s="1"/>
  <c r="N226" i="15"/>
  <c r="L226" i="15"/>
  <c r="B226" i="15"/>
  <c r="X225" i="15"/>
  <c r="Z225" i="15" s="1"/>
  <c r="N225" i="15"/>
  <c r="L225" i="15"/>
  <c r="B225" i="15"/>
  <c r="X224" i="15"/>
  <c r="Z224" i="15" s="1"/>
  <c r="N224" i="15"/>
  <c r="L224" i="15"/>
  <c r="B224" i="15"/>
  <c r="Z223" i="15"/>
  <c r="X223" i="15"/>
  <c r="N223" i="15"/>
  <c r="L223" i="15"/>
  <c r="B223" i="15"/>
  <c r="T222" i="15"/>
  <c r="P222" i="15"/>
  <c r="X222" i="15" s="1"/>
  <c r="Z222" i="15" s="1"/>
  <c r="L222" i="15"/>
  <c r="N222" i="15" s="1"/>
  <c r="H222" i="15"/>
  <c r="D222" i="15"/>
  <c r="B222" i="15"/>
  <c r="Z221" i="15"/>
  <c r="X221" i="15"/>
  <c r="N221" i="15"/>
  <c r="L221" i="15"/>
  <c r="B221" i="15"/>
  <c r="Z220" i="15"/>
  <c r="X220" i="15"/>
  <c r="L220" i="15"/>
  <c r="N220" i="15" s="1"/>
  <c r="B220" i="15"/>
  <c r="Z219" i="15"/>
  <c r="X219" i="15"/>
  <c r="N219" i="15"/>
  <c r="L219" i="15"/>
  <c r="B219" i="15"/>
  <c r="X218" i="15"/>
  <c r="T218" i="15"/>
  <c r="Z218" i="15" s="1"/>
  <c r="P218" i="15"/>
  <c r="H218" i="15"/>
  <c r="D218" i="15"/>
  <c r="B218" i="15"/>
  <c r="Z217" i="15"/>
  <c r="X217" i="15"/>
  <c r="L217" i="15"/>
  <c r="N217" i="15" s="1"/>
  <c r="B217" i="15"/>
  <c r="X216" i="15"/>
  <c r="Z216" i="15" s="1"/>
  <c r="L216" i="15"/>
  <c r="N216" i="15" s="1"/>
  <c r="B216" i="15"/>
  <c r="Z215" i="15"/>
  <c r="X215" i="15"/>
  <c r="N215" i="15"/>
  <c r="L215" i="15"/>
  <c r="B215" i="15"/>
  <c r="X214" i="15"/>
  <c r="Z214" i="15" s="1"/>
  <c r="L214" i="15"/>
  <c r="N214" i="15" s="1"/>
  <c r="B214" i="15"/>
  <c r="Z213" i="15"/>
  <c r="T213" i="15"/>
  <c r="P213" i="15"/>
  <c r="X213" i="15" s="1"/>
  <c r="L213" i="15"/>
  <c r="H213" i="15"/>
  <c r="D213" i="15"/>
  <c r="B213" i="15"/>
  <c r="X212" i="15"/>
  <c r="Z212" i="15" s="1"/>
  <c r="N212" i="15"/>
  <c r="L212" i="15"/>
  <c r="B212" i="15"/>
  <c r="Z211" i="15"/>
  <c r="X211" i="15"/>
  <c r="T211" i="15"/>
  <c r="P211" i="15"/>
  <c r="H211" i="15"/>
  <c r="D211" i="15"/>
  <c r="B211" i="15"/>
  <c r="X210" i="15"/>
  <c r="Z210" i="15" s="1"/>
  <c r="L210" i="15"/>
  <c r="N210" i="15" s="1"/>
  <c r="B210" i="15"/>
  <c r="T209" i="15"/>
  <c r="P209" i="15"/>
  <c r="X209" i="15" s="1"/>
  <c r="Z209" i="15" s="1"/>
  <c r="H209" i="15"/>
  <c r="D209" i="15"/>
  <c r="B209" i="15"/>
  <c r="X208" i="15"/>
  <c r="Z208" i="15" s="1"/>
  <c r="N208" i="15"/>
  <c r="L208" i="15"/>
  <c r="B208" i="15"/>
  <c r="T207" i="15"/>
  <c r="P207" i="15"/>
  <c r="X207" i="15" s="1"/>
  <c r="Z207" i="15" s="1"/>
  <c r="N207" i="15"/>
  <c r="L207" i="15"/>
  <c r="H207" i="15"/>
  <c r="D207" i="15"/>
  <c r="B207" i="15"/>
  <c r="Z206" i="15"/>
  <c r="X206" i="15"/>
  <c r="N206" i="15"/>
  <c r="L206" i="15"/>
  <c r="B206" i="15"/>
  <c r="T205" i="15"/>
  <c r="Z205" i="15" s="1"/>
  <c r="P205" i="15"/>
  <c r="X205" i="15" s="1"/>
  <c r="H205" i="15"/>
  <c r="D205" i="15"/>
  <c r="B205" i="15"/>
  <c r="X204" i="15"/>
  <c r="Z204" i="15" s="1"/>
  <c r="N204" i="15"/>
  <c r="L204" i="15"/>
  <c r="B204" i="15"/>
  <c r="T203" i="15"/>
  <c r="Z203" i="15" s="1"/>
  <c r="P203" i="15"/>
  <c r="X203" i="15" s="1"/>
  <c r="H203" i="15"/>
  <c r="D203" i="15"/>
  <c r="L203" i="15" s="1"/>
  <c r="N203" i="15" s="1"/>
  <c r="B203" i="15"/>
  <c r="X202" i="15"/>
  <c r="Z202" i="15" s="1"/>
  <c r="L202" i="15"/>
  <c r="N202" i="15" s="1"/>
  <c r="B202" i="15"/>
  <c r="X201" i="15"/>
  <c r="Z201" i="15" s="1"/>
  <c r="N201" i="15"/>
  <c r="L201" i="15"/>
  <c r="B201" i="15"/>
  <c r="T200" i="15"/>
  <c r="P200" i="15"/>
  <c r="X200" i="15" s="1"/>
  <c r="Z200" i="15" s="1"/>
  <c r="H200" i="15"/>
  <c r="D200" i="15"/>
  <c r="L200" i="15" s="1"/>
  <c r="N200" i="15" s="1"/>
  <c r="B200" i="15"/>
  <c r="Z199" i="15"/>
  <c r="X199" i="15"/>
  <c r="N199" i="15"/>
  <c r="L199" i="15"/>
  <c r="B199" i="15"/>
  <c r="X198" i="15"/>
  <c r="T198" i="15"/>
  <c r="Z198" i="15" s="1"/>
  <c r="P198" i="15"/>
  <c r="N198" i="15"/>
  <c r="H198" i="15"/>
  <c r="D198" i="15"/>
  <c r="L198" i="15" s="1"/>
  <c r="B198" i="15"/>
  <c r="Z197" i="15"/>
  <c r="X197" i="15"/>
  <c r="L197" i="15"/>
  <c r="N197" i="15" s="1"/>
  <c r="B197" i="15"/>
  <c r="T196" i="15"/>
  <c r="X196" i="15" s="1"/>
  <c r="P196" i="15"/>
  <c r="H196" i="15"/>
  <c r="D196" i="15"/>
  <c r="L196" i="15" s="1"/>
  <c r="B196" i="15"/>
  <c r="Z195" i="15"/>
  <c r="X195" i="15"/>
  <c r="N195" i="15"/>
  <c r="L195" i="15"/>
  <c r="B195" i="15"/>
  <c r="Z194" i="15"/>
  <c r="T194" i="15"/>
  <c r="P194" i="15"/>
  <c r="X194" i="15" s="1"/>
  <c r="H194" i="15"/>
  <c r="D194" i="15"/>
  <c r="L194" i="15" s="1"/>
  <c r="N194" i="15" s="1"/>
  <c r="B194" i="15"/>
  <c r="Z193" i="15"/>
  <c r="X193" i="15"/>
  <c r="N193" i="15"/>
  <c r="L193" i="15"/>
  <c r="B193" i="15"/>
  <c r="Z192" i="15"/>
  <c r="X192" i="15"/>
  <c r="V192" i="15"/>
  <c r="L192" i="15"/>
  <c r="N192" i="15" s="1"/>
  <c r="B192" i="15"/>
  <c r="T191" i="15"/>
  <c r="P191" i="15"/>
  <c r="X191" i="15" s="1"/>
  <c r="H191" i="15"/>
  <c r="D191" i="15"/>
  <c r="L191" i="15" s="1"/>
  <c r="N191" i="15" s="1"/>
  <c r="B191" i="15"/>
  <c r="Z190" i="15"/>
  <c r="X190" i="15"/>
  <c r="N190" i="15"/>
  <c r="L190" i="15"/>
  <c r="B190" i="15"/>
  <c r="Z189" i="15"/>
  <c r="X189" i="15"/>
  <c r="L189" i="15"/>
  <c r="N189" i="15" s="1"/>
  <c r="B189" i="15"/>
  <c r="T188" i="15"/>
  <c r="X188" i="15" s="1"/>
  <c r="P188" i="15"/>
  <c r="H188" i="15"/>
  <c r="N188" i="15" s="1"/>
  <c r="D188" i="15"/>
  <c r="L188" i="15" s="1"/>
  <c r="B188" i="15"/>
  <c r="Z187" i="15"/>
  <c r="X187" i="15"/>
  <c r="N187" i="15"/>
  <c r="L187" i="15"/>
  <c r="B187" i="15"/>
  <c r="Z186" i="15"/>
  <c r="T186" i="15"/>
  <c r="P186" i="15"/>
  <c r="X186" i="15" s="1"/>
  <c r="H186" i="15"/>
  <c r="D186" i="15"/>
  <c r="L186" i="15" s="1"/>
  <c r="N186" i="15" s="1"/>
  <c r="B186" i="15"/>
  <c r="Z185" i="15"/>
  <c r="X185" i="15"/>
  <c r="N185" i="15"/>
  <c r="L185" i="15"/>
  <c r="B185" i="15"/>
  <c r="Z184" i="15"/>
  <c r="X184" i="15"/>
  <c r="V184" i="15"/>
  <c r="L184" i="15"/>
  <c r="N184" i="15" s="1"/>
  <c r="B184" i="15"/>
  <c r="T183" i="15"/>
  <c r="Z183" i="15" s="1"/>
  <c r="P183" i="15"/>
  <c r="X183" i="15" s="1"/>
  <c r="H183" i="15"/>
  <c r="D183" i="15"/>
  <c r="L183" i="15" s="1"/>
  <c r="N183" i="15" s="1"/>
  <c r="B183" i="15"/>
  <c r="X182" i="15"/>
  <c r="Z182" i="15" s="1"/>
  <c r="N182" i="15"/>
  <c r="L182" i="15"/>
  <c r="B182" i="15"/>
  <c r="T181" i="15"/>
  <c r="P181" i="15"/>
  <c r="X181" i="15" s="1"/>
  <c r="Z181" i="15" s="1"/>
  <c r="L181" i="15"/>
  <c r="N181" i="15" s="1"/>
  <c r="H181" i="15"/>
  <c r="D181" i="15"/>
  <c r="B181" i="15"/>
  <c r="Z180" i="15"/>
  <c r="X180" i="15"/>
  <c r="N180" i="15"/>
  <c r="L180" i="15"/>
  <c r="B180" i="15"/>
  <c r="Z179" i="15"/>
  <c r="X179" i="15"/>
  <c r="N179" i="15"/>
  <c r="L179" i="15"/>
  <c r="B179" i="15"/>
  <c r="Z178" i="15"/>
  <c r="X178" i="15"/>
  <c r="L178" i="15"/>
  <c r="N178" i="15" s="1"/>
  <c r="B178" i="15"/>
  <c r="X177" i="15"/>
  <c r="Z177" i="15" s="1"/>
  <c r="N177" i="15"/>
  <c r="L177" i="15"/>
  <c r="B177" i="15"/>
  <c r="Z176" i="15"/>
  <c r="X176" i="15"/>
  <c r="N176" i="15"/>
  <c r="L176" i="15"/>
  <c r="B176" i="15"/>
  <c r="Z175" i="15"/>
  <c r="X175" i="15"/>
  <c r="N175" i="15"/>
  <c r="L175" i="15"/>
  <c r="B175" i="15"/>
  <c r="Z174" i="15"/>
  <c r="X174" i="15"/>
  <c r="L174" i="15"/>
  <c r="N174" i="15" s="1"/>
  <c r="B174" i="15"/>
  <c r="T173" i="15"/>
  <c r="P173" i="15"/>
  <c r="H173" i="15"/>
  <c r="D173" i="15"/>
  <c r="L173" i="15" s="1"/>
  <c r="B173" i="15"/>
  <c r="Z172" i="15"/>
  <c r="X172" i="15"/>
  <c r="V172" i="15"/>
  <c r="L172" i="15"/>
  <c r="N172" i="15" s="1"/>
  <c r="B172" i="15"/>
  <c r="Z171" i="15"/>
  <c r="X171" i="15"/>
  <c r="L171" i="15"/>
  <c r="N171" i="15" s="1"/>
  <c r="B171" i="15"/>
  <c r="X170" i="15"/>
  <c r="Z170" i="15" s="1"/>
  <c r="N170" i="15"/>
  <c r="L170" i="15"/>
  <c r="B170" i="15"/>
  <c r="Z169" i="15"/>
  <c r="X169" i="15"/>
  <c r="N169" i="15"/>
  <c r="L169" i="15"/>
  <c r="B169" i="15"/>
  <c r="Z168" i="15"/>
  <c r="X168" i="15"/>
  <c r="V168" i="15"/>
  <c r="N168" i="15"/>
  <c r="L168" i="15"/>
  <c r="B168" i="15"/>
  <c r="Z167" i="15"/>
  <c r="X167" i="15"/>
  <c r="L167" i="15"/>
  <c r="N167" i="15" s="1"/>
  <c r="B167" i="15"/>
  <c r="X166" i="15"/>
  <c r="Z166" i="15" s="1"/>
  <c r="N166" i="15"/>
  <c r="L166" i="15"/>
  <c r="B166" i="15"/>
  <c r="Z165" i="15"/>
  <c r="X165" i="15"/>
  <c r="N165" i="15"/>
  <c r="L165" i="15"/>
  <c r="B165" i="15"/>
  <c r="Z164" i="15"/>
  <c r="X164" i="15"/>
  <c r="V164" i="15"/>
  <c r="L164" i="15"/>
  <c r="N164" i="15" s="1"/>
  <c r="B164" i="15"/>
  <c r="Z163" i="15"/>
  <c r="X163" i="15"/>
  <c r="L163" i="15"/>
  <c r="N163" i="15" s="1"/>
  <c r="B163" i="15"/>
  <c r="X162" i="15"/>
  <c r="T162" i="15"/>
  <c r="Z162" i="15" s="1"/>
  <c r="P162" i="15"/>
  <c r="H162" i="15"/>
  <c r="D162" i="15"/>
  <c r="L162" i="15" s="1"/>
  <c r="N162" i="15" s="1"/>
  <c r="B162" i="15"/>
  <c r="T161" i="15"/>
  <c r="P161" i="15"/>
  <c r="X161" i="15" s="1"/>
  <c r="Z161" i="15" s="1"/>
  <c r="L161" i="15"/>
  <c r="N161" i="15" s="1"/>
  <c r="H161" i="15"/>
  <c r="D161" i="15"/>
  <c r="Z157" i="15"/>
  <c r="X157" i="15"/>
  <c r="N157" i="15"/>
  <c r="L157" i="15"/>
  <c r="B157" i="15"/>
  <c r="X156" i="15"/>
  <c r="Z156" i="15" s="1"/>
  <c r="N156" i="15"/>
  <c r="L156" i="15"/>
  <c r="B156" i="15"/>
  <c r="X155" i="15"/>
  <c r="Z155" i="15" s="1"/>
  <c r="N155" i="15"/>
  <c r="L155" i="15"/>
  <c r="B155" i="15"/>
  <c r="Z154" i="15"/>
  <c r="X154" i="15"/>
  <c r="N154" i="15"/>
  <c r="L154" i="15"/>
  <c r="B154" i="15"/>
  <c r="Z153" i="15"/>
  <c r="X153" i="15"/>
  <c r="L153" i="15"/>
  <c r="N153" i="15" s="1"/>
  <c r="B153" i="15"/>
  <c r="X152" i="15"/>
  <c r="Z152" i="15" s="1"/>
  <c r="N152" i="15"/>
  <c r="L152" i="15"/>
  <c r="B152" i="15"/>
  <c r="X151" i="15"/>
  <c r="Z151" i="15" s="1"/>
  <c r="N151" i="15"/>
  <c r="L151" i="15"/>
  <c r="B151" i="15"/>
  <c r="Z150" i="15"/>
  <c r="X150" i="15"/>
  <c r="N150" i="15"/>
  <c r="L150" i="15"/>
  <c r="B150" i="15"/>
  <c r="Z149" i="15"/>
  <c r="X149" i="15"/>
  <c r="L149" i="15"/>
  <c r="N149" i="15" s="1"/>
  <c r="B149" i="15"/>
  <c r="X148" i="15"/>
  <c r="Z148" i="15" s="1"/>
  <c r="N148" i="15"/>
  <c r="L148" i="15"/>
  <c r="B148" i="15"/>
  <c r="X147" i="15"/>
  <c r="Z147" i="15" s="1"/>
  <c r="N147" i="15"/>
  <c r="L147" i="15"/>
  <c r="B147" i="15"/>
  <c r="Z146" i="15"/>
  <c r="X146" i="15"/>
  <c r="N146" i="15"/>
  <c r="L146" i="15"/>
  <c r="B146" i="15"/>
  <c r="Z145" i="15"/>
  <c r="X145" i="15"/>
  <c r="L145" i="15"/>
  <c r="N145" i="15" s="1"/>
  <c r="B145" i="15"/>
  <c r="X144" i="15"/>
  <c r="Z144" i="15" s="1"/>
  <c r="N144" i="15"/>
  <c r="L144" i="15"/>
  <c r="B144" i="15"/>
  <c r="X143" i="15"/>
  <c r="Z143" i="15" s="1"/>
  <c r="N143" i="15"/>
  <c r="L143" i="15"/>
  <c r="B143" i="15"/>
  <c r="Z142" i="15"/>
  <c r="X142" i="15"/>
  <c r="N142" i="15"/>
  <c r="L142" i="15"/>
  <c r="B142" i="15"/>
  <c r="Z141" i="15"/>
  <c r="X141" i="15"/>
  <c r="L141" i="15"/>
  <c r="N141" i="15" s="1"/>
  <c r="B141" i="15"/>
  <c r="X140" i="15"/>
  <c r="Z140" i="15" s="1"/>
  <c r="N140" i="15"/>
  <c r="L140" i="15"/>
  <c r="B140" i="15"/>
  <c r="X139" i="15"/>
  <c r="Z139" i="15" s="1"/>
  <c r="N139" i="15"/>
  <c r="L139" i="15"/>
  <c r="B139" i="15"/>
  <c r="Z138" i="15"/>
  <c r="X138" i="15"/>
  <c r="N138" i="15"/>
  <c r="L138" i="15"/>
  <c r="B138" i="15"/>
  <c r="Z137" i="15"/>
  <c r="X137" i="15"/>
  <c r="N137" i="15"/>
  <c r="L137" i="15"/>
  <c r="B137" i="15"/>
  <c r="X136" i="15"/>
  <c r="Z136" i="15" s="1"/>
  <c r="N136" i="15"/>
  <c r="L136" i="15"/>
  <c r="B136" i="15"/>
  <c r="X135" i="15"/>
  <c r="Z135" i="15" s="1"/>
  <c r="N135" i="15"/>
  <c r="L135" i="15"/>
  <c r="B135" i="15"/>
  <c r="Z134" i="15"/>
  <c r="X134" i="15"/>
  <c r="N134" i="15"/>
  <c r="L134" i="15"/>
  <c r="B134" i="15"/>
  <c r="Z133" i="15"/>
  <c r="X133" i="15"/>
  <c r="L133" i="15"/>
  <c r="N133" i="15" s="1"/>
  <c r="B133" i="15"/>
  <c r="X132" i="15"/>
  <c r="Z132" i="15" s="1"/>
  <c r="N132" i="15"/>
  <c r="L132" i="15"/>
  <c r="B132" i="15"/>
  <c r="X131" i="15"/>
  <c r="Z131" i="15" s="1"/>
  <c r="N131" i="15"/>
  <c r="L131" i="15"/>
  <c r="B131" i="15"/>
  <c r="Z130" i="15"/>
  <c r="X130" i="15"/>
  <c r="N130" i="15"/>
  <c r="L130" i="15"/>
  <c r="B130" i="15"/>
  <c r="Z129" i="15"/>
  <c r="X129" i="15"/>
  <c r="L129" i="15"/>
  <c r="N129" i="15" s="1"/>
  <c r="B129" i="15"/>
  <c r="X128" i="15"/>
  <c r="Z128" i="15" s="1"/>
  <c r="N128" i="15"/>
  <c r="L128" i="15"/>
  <c r="B128" i="15"/>
  <c r="X127" i="15"/>
  <c r="Z127" i="15" s="1"/>
  <c r="N127" i="15"/>
  <c r="L127" i="15"/>
  <c r="B127" i="15"/>
  <c r="Z126" i="15"/>
  <c r="X126" i="15"/>
  <c r="N126" i="15"/>
  <c r="L126" i="15"/>
  <c r="B126" i="15"/>
  <c r="Z125" i="15"/>
  <c r="X125" i="15"/>
  <c r="L125" i="15"/>
  <c r="N125" i="15" s="1"/>
  <c r="B125" i="15"/>
  <c r="X124" i="15"/>
  <c r="Z124" i="15" s="1"/>
  <c r="L124" i="15"/>
  <c r="N124" i="15" s="1"/>
  <c r="B124" i="15"/>
  <c r="X123" i="15"/>
  <c r="Z123" i="15" s="1"/>
  <c r="N123" i="15"/>
  <c r="L123" i="15"/>
  <c r="B123" i="15"/>
  <c r="Z122" i="15"/>
  <c r="X122" i="15"/>
  <c r="N122" i="15"/>
  <c r="L122" i="15"/>
  <c r="B122" i="15"/>
  <c r="Z121" i="15"/>
  <c r="X121" i="15"/>
  <c r="L121" i="15"/>
  <c r="N121" i="15" s="1"/>
  <c r="B121" i="15"/>
  <c r="X120" i="15"/>
  <c r="Z120" i="15" s="1"/>
  <c r="L120" i="15"/>
  <c r="N120" i="15" s="1"/>
  <c r="B120" i="15"/>
  <c r="X119" i="15"/>
  <c r="Z119" i="15" s="1"/>
  <c r="N119" i="15"/>
  <c r="L119" i="15"/>
  <c r="B119" i="15"/>
  <c r="Z118" i="15"/>
  <c r="X118" i="15"/>
  <c r="N118" i="15"/>
  <c r="L118" i="15"/>
  <c r="B118" i="15"/>
  <c r="Z117" i="15"/>
  <c r="X117" i="15"/>
  <c r="N117" i="15"/>
  <c r="L117" i="15"/>
  <c r="B117" i="15"/>
  <c r="X116" i="15"/>
  <c r="Z116" i="15" s="1"/>
  <c r="L116" i="15"/>
  <c r="N116" i="15" s="1"/>
  <c r="B116" i="15"/>
  <c r="Z115" i="15"/>
  <c r="X115" i="15"/>
  <c r="N115" i="15"/>
  <c r="L115" i="15"/>
  <c r="B115" i="15"/>
  <c r="Z114" i="15"/>
  <c r="X114" i="15"/>
  <c r="N114" i="15"/>
  <c r="L114" i="15"/>
  <c r="B114" i="15"/>
  <c r="Z113" i="15"/>
  <c r="X113" i="15"/>
  <c r="L113" i="15"/>
  <c r="N113" i="15" s="1"/>
  <c r="B113" i="15"/>
  <c r="X112" i="15"/>
  <c r="Z112" i="15" s="1"/>
  <c r="L112" i="15"/>
  <c r="N112" i="15" s="1"/>
  <c r="B112" i="15"/>
  <c r="X111" i="15"/>
  <c r="Z111" i="15" s="1"/>
  <c r="N111" i="15"/>
  <c r="L111" i="15"/>
  <c r="B111" i="15"/>
  <c r="Z110" i="15"/>
  <c r="X110" i="15"/>
  <c r="N110" i="15"/>
  <c r="L110" i="15"/>
  <c r="B110" i="15"/>
  <c r="Z109" i="15"/>
  <c r="X109" i="15"/>
  <c r="L109" i="15"/>
  <c r="N109" i="15" s="1"/>
  <c r="B109" i="15"/>
  <c r="X108" i="15"/>
  <c r="Z108" i="15" s="1"/>
  <c r="L108" i="15"/>
  <c r="N108" i="15" s="1"/>
  <c r="B108" i="15"/>
  <c r="X107" i="15"/>
  <c r="Z107" i="15" s="1"/>
  <c r="T107" i="15"/>
  <c r="P107" i="15"/>
  <c r="H107" i="15"/>
  <c r="D107" i="15"/>
  <c r="L107" i="15" s="1"/>
  <c r="N107" i="15" s="1"/>
  <c r="X105" i="15"/>
  <c r="T105" i="15"/>
  <c r="P105" i="15"/>
  <c r="H105" i="15"/>
  <c r="N105" i="15" s="1"/>
  <c r="D105" i="15"/>
  <c r="L105" i="15" s="1"/>
  <c r="B105" i="15"/>
  <c r="T104" i="15"/>
  <c r="P104" i="15"/>
  <c r="X104" i="15" s="1"/>
  <c r="N104" i="15"/>
  <c r="L104" i="15"/>
  <c r="H104" i="15"/>
  <c r="D104" i="15"/>
  <c r="B104" i="15"/>
  <c r="T103" i="15"/>
  <c r="X103" i="15" s="1"/>
  <c r="Z103" i="15" s="1"/>
  <c r="P103" i="15"/>
  <c r="H103" i="15"/>
  <c r="N103" i="15" s="1"/>
  <c r="D103" i="15"/>
  <c r="L103" i="15" s="1"/>
  <c r="B103" i="15"/>
  <c r="T102" i="15"/>
  <c r="P102" i="15"/>
  <c r="X102" i="15" s="1"/>
  <c r="L102" i="15"/>
  <c r="N102" i="15" s="1"/>
  <c r="H102" i="15"/>
  <c r="D102" i="15"/>
  <c r="B102" i="15"/>
  <c r="X101" i="15"/>
  <c r="T101" i="15"/>
  <c r="P101" i="15"/>
  <c r="H101" i="15"/>
  <c r="N101" i="15" s="1"/>
  <c r="D101" i="15"/>
  <c r="L101" i="15" s="1"/>
  <c r="B101" i="15"/>
  <c r="T100" i="15"/>
  <c r="P100" i="15"/>
  <c r="X100" i="15" s="1"/>
  <c r="N100" i="15"/>
  <c r="L100" i="15"/>
  <c r="H100" i="15"/>
  <c r="D100" i="15"/>
  <c r="B100" i="15"/>
  <c r="T99" i="15"/>
  <c r="X99" i="15" s="1"/>
  <c r="Z99" i="15" s="1"/>
  <c r="P99" i="15"/>
  <c r="H99" i="15"/>
  <c r="N99" i="15" s="1"/>
  <c r="D99" i="15"/>
  <c r="L99" i="15" s="1"/>
  <c r="B99" i="15"/>
  <c r="T98" i="15"/>
  <c r="P98" i="15"/>
  <c r="X98" i="15" s="1"/>
  <c r="N98" i="15"/>
  <c r="L98" i="15"/>
  <c r="H98" i="15"/>
  <c r="D98" i="15"/>
  <c r="B98" i="15"/>
  <c r="X97" i="15"/>
  <c r="T97" i="15"/>
  <c r="P97" i="15"/>
  <c r="H97" i="15"/>
  <c r="N97" i="15" s="1"/>
  <c r="D97" i="15"/>
  <c r="L97" i="15" s="1"/>
  <c r="B97" i="15"/>
  <c r="T96" i="15"/>
  <c r="Z96" i="15" s="1"/>
  <c r="P96" i="15"/>
  <c r="X96" i="15" s="1"/>
  <c r="N96" i="15"/>
  <c r="L96" i="15"/>
  <c r="H96" i="15"/>
  <c r="D96" i="15"/>
  <c r="B96" i="15"/>
  <c r="T95" i="15"/>
  <c r="X95" i="15" s="1"/>
  <c r="Z95" i="15" s="1"/>
  <c r="P95" i="15"/>
  <c r="H95" i="15"/>
  <c r="N95" i="15" s="1"/>
  <c r="D95" i="15"/>
  <c r="L95" i="15" s="1"/>
  <c r="B95" i="15"/>
  <c r="T94" i="15"/>
  <c r="Z94" i="15" s="1"/>
  <c r="P94" i="15"/>
  <c r="X94" i="15" s="1"/>
  <c r="N94" i="15"/>
  <c r="L94" i="15"/>
  <c r="H94" i="15"/>
  <c r="D94" i="15"/>
  <c r="B94" i="15"/>
  <c r="X93" i="15"/>
  <c r="T93" i="15"/>
  <c r="Z93" i="15" s="1"/>
  <c r="P93" i="15"/>
  <c r="H93" i="15"/>
  <c r="D93" i="15"/>
  <c r="B93" i="15"/>
  <c r="T92" i="15"/>
  <c r="Z92" i="15" s="1"/>
  <c r="P92" i="15"/>
  <c r="X92" i="15" s="1"/>
  <c r="N92" i="15"/>
  <c r="L92" i="15"/>
  <c r="H92" i="15"/>
  <c r="D92" i="15"/>
  <c r="B92" i="15"/>
  <c r="T91" i="15"/>
  <c r="X91" i="15" s="1"/>
  <c r="Z91" i="15" s="1"/>
  <c r="P91" i="15"/>
  <c r="H91" i="15"/>
  <c r="N91" i="15" s="1"/>
  <c r="D91" i="15"/>
  <c r="L91" i="15" s="1"/>
  <c r="B91" i="15"/>
  <c r="T90" i="15"/>
  <c r="Z90" i="15" s="1"/>
  <c r="P90" i="15"/>
  <c r="X90" i="15" s="1"/>
  <c r="L90" i="15"/>
  <c r="N90" i="15" s="1"/>
  <c r="H90" i="15"/>
  <c r="D90" i="15"/>
  <c r="B90" i="15"/>
  <c r="X89" i="15"/>
  <c r="T89" i="15"/>
  <c r="Z89" i="15" s="1"/>
  <c r="P89" i="15"/>
  <c r="H89" i="15"/>
  <c r="D89" i="15"/>
  <c r="B89" i="15"/>
  <c r="T88" i="15"/>
  <c r="P88" i="15"/>
  <c r="N88" i="15"/>
  <c r="L88" i="15"/>
  <c r="H88" i="15"/>
  <c r="D88" i="15"/>
  <c r="B88" i="15"/>
  <c r="T87" i="15"/>
  <c r="X87" i="15" s="1"/>
  <c r="Z87" i="15" s="1"/>
  <c r="P87" i="15"/>
  <c r="H87" i="15"/>
  <c r="D87" i="15"/>
  <c r="L87" i="15" s="1"/>
  <c r="N87" i="15" s="1"/>
  <c r="B87" i="15"/>
  <c r="T86" i="15"/>
  <c r="Z86" i="15" s="1"/>
  <c r="P86" i="15"/>
  <c r="X86" i="15" s="1"/>
  <c r="N86" i="15"/>
  <c r="L86" i="15"/>
  <c r="H86" i="15"/>
  <c r="D86" i="15"/>
  <c r="B86" i="15"/>
  <c r="X85" i="15"/>
  <c r="T85" i="15"/>
  <c r="P85" i="15"/>
  <c r="H85" i="15"/>
  <c r="D85" i="15"/>
  <c r="B85" i="15"/>
  <c r="T84" i="15"/>
  <c r="P84" i="15"/>
  <c r="N84" i="15"/>
  <c r="L84" i="15"/>
  <c r="H84" i="15"/>
  <c r="D84" i="15"/>
  <c r="B84" i="15"/>
  <c r="T83" i="15"/>
  <c r="X83" i="15" s="1"/>
  <c r="Z83" i="15" s="1"/>
  <c r="P83" i="15"/>
  <c r="H83" i="15"/>
  <c r="D83" i="15"/>
  <c r="L83" i="15" s="1"/>
  <c r="N83" i="15" s="1"/>
  <c r="B83" i="15"/>
  <c r="T82" i="15"/>
  <c r="P82" i="15"/>
  <c r="X82" i="15" s="1"/>
  <c r="L82" i="15"/>
  <c r="N82" i="15" s="1"/>
  <c r="H82" i="15"/>
  <c r="D82" i="15"/>
  <c r="B82" i="15"/>
  <c r="X81" i="15"/>
  <c r="T81" i="15"/>
  <c r="P81" i="15"/>
  <c r="H81" i="15"/>
  <c r="N81" i="15" s="1"/>
  <c r="D81" i="15"/>
  <c r="B81" i="15"/>
  <c r="T80" i="15"/>
  <c r="P80" i="15"/>
  <c r="N80" i="15"/>
  <c r="L80" i="15"/>
  <c r="H80" i="15"/>
  <c r="D80" i="15"/>
  <c r="B80" i="15"/>
  <c r="T79" i="15"/>
  <c r="X79" i="15" s="1"/>
  <c r="Z79" i="15" s="1"/>
  <c r="P79" i="15"/>
  <c r="H79" i="15"/>
  <c r="D79" i="15"/>
  <c r="L79" i="15" s="1"/>
  <c r="N79" i="15" s="1"/>
  <c r="B79" i="15"/>
  <c r="T78" i="15"/>
  <c r="P78" i="15"/>
  <c r="X78" i="15" s="1"/>
  <c r="N78" i="15"/>
  <c r="L78" i="15"/>
  <c r="H78" i="15"/>
  <c r="D78" i="15"/>
  <c r="B78" i="15"/>
  <c r="X77" i="15"/>
  <c r="T77" i="15"/>
  <c r="P77" i="15"/>
  <c r="H77" i="15"/>
  <c r="N77" i="15" s="1"/>
  <c r="D77" i="15"/>
  <c r="B77" i="15"/>
  <c r="T76" i="15"/>
  <c r="P76" i="15"/>
  <c r="N76" i="15"/>
  <c r="L76" i="15"/>
  <c r="H76" i="15"/>
  <c r="D76" i="15"/>
  <c r="B76" i="15"/>
  <c r="T75" i="15"/>
  <c r="X75" i="15" s="1"/>
  <c r="Z75" i="15" s="1"/>
  <c r="P75" i="15"/>
  <c r="H75" i="15"/>
  <c r="D75" i="15"/>
  <c r="L75" i="15" s="1"/>
  <c r="N75" i="15" s="1"/>
  <c r="B75" i="15"/>
  <c r="T74" i="15"/>
  <c r="Z74" i="15" s="1"/>
  <c r="P74" i="15"/>
  <c r="X74" i="15" s="1"/>
  <c r="L74" i="15"/>
  <c r="N74" i="15" s="1"/>
  <c r="H74" i="15"/>
  <c r="D74" i="15"/>
  <c r="B74" i="15"/>
  <c r="X73" i="15"/>
  <c r="T73" i="15"/>
  <c r="P73" i="15"/>
  <c r="H73" i="15"/>
  <c r="N73" i="15" s="1"/>
  <c r="D73" i="15"/>
  <c r="B73" i="15"/>
  <c r="T72" i="15"/>
  <c r="P72" i="15"/>
  <c r="N72" i="15"/>
  <c r="L72" i="15"/>
  <c r="H72" i="15"/>
  <c r="D72" i="15"/>
  <c r="B72" i="15"/>
  <c r="T71" i="15"/>
  <c r="X71" i="15" s="1"/>
  <c r="Z71" i="15" s="1"/>
  <c r="P71" i="15"/>
  <c r="H71" i="15"/>
  <c r="D71" i="15"/>
  <c r="L71" i="15" s="1"/>
  <c r="N71" i="15" s="1"/>
  <c r="B71" i="15"/>
  <c r="T70" i="15"/>
  <c r="Z70" i="15" s="1"/>
  <c r="P70" i="15"/>
  <c r="X70" i="15" s="1"/>
  <c r="N70" i="15"/>
  <c r="L70" i="15"/>
  <c r="H70" i="15"/>
  <c r="D70" i="15"/>
  <c r="B70" i="15"/>
  <c r="X69" i="15"/>
  <c r="T69" i="15"/>
  <c r="P69" i="15"/>
  <c r="H69" i="15"/>
  <c r="D69" i="15"/>
  <c r="B69" i="15"/>
  <c r="T68" i="15"/>
  <c r="Z68" i="15" s="1"/>
  <c r="P68" i="15"/>
  <c r="N68" i="15"/>
  <c r="L68" i="15"/>
  <c r="H68" i="15"/>
  <c r="D68" i="15"/>
  <c r="B68" i="15"/>
  <c r="T67" i="15"/>
  <c r="X67" i="15" s="1"/>
  <c r="Z67" i="15" s="1"/>
  <c r="P67" i="15"/>
  <c r="H67" i="15"/>
  <c r="D67" i="15"/>
  <c r="L67" i="15" s="1"/>
  <c r="N67" i="15" s="1"/>
  <c r="B67" i="15"/>
  <c r="T66" i="15"/>
  <c r="P66" i="15"/>
  <c r="X66" i="15" s="1"/>
  <c r="L66" i="15"/>
  <c r="N66" i="15" s="1"/>
  <c r="H66" i="15"/>
  <c r="D66" i="15"/>
  <c r="B66" i="15"/>
  <c r="X65" i="15"/>
  <c r="T65" i="15"/>
  <c r="P65" i="15"/>
  <c r="H65" i="15"/>
  <c r="D65" i="15"/>
  <c r="B65" i="15"/>
  <c r="T64" i="15"/>
  <c r="P64" i="15"/>
  <c r="N64" i="15"/>
  <c r="L64" i="15"/>
  <c r="H64" i="15"/>
  <c r="D64" i="15"/>
  <c r="B64" i="15"/>
  <c r="T63" i="15"/>
  <c r="X63" i="15" s="1"/>
  <c r="Z63" i="15" s="1"/>
  <c r="P63" i="15"/>
  <c r="H63" i="15"/>
  <c r="D63" i="15"/>
  <c r="L63" i="15" s="1"/>
  <c r="N63" i="15" s="1"/>
  <c r="B63" i="15"/>
  <c r="T62" i="15"/>
  <c r="Z62" i="15" s="1"/>
  <c r="P62" i="15"/>
  <c r="X62" i="15" s="1"/>
  <c r="N62" i="15"/>
  <c r="L62" i="15"/>
  <c r="H62" i="15"/>
  <c r="D62" i="15"/>
  <c r="B62" i="15"/>
  <c r="X61" i="15"/>
  <c r="T61" i="15"/>
  <c r="Z61" i="15" s="1"/>
  <c r="P61" i="15"/>
  <c r="H61" i="15"/>
  <c r="D61" i="15"/>
  <c r="B61" i="15"/>
  <c r="T60" i="15"/>
  <c r="P60" i="15"/>
  <c r="N60" i="15"/>
  <c r="L60" i="15"/>
  <c r="H60" i="15"/>
  <c r="D60" i="15"/>
  <c r="B60" i="15"/>
  <c r="T59" i="15"/>
  <c r="X59" i="15" s="1"/>
  <c r="Z59" i="15" s="1"/>
  <c r="P59" i="15"/>
  <c r="H59" i="15"/>
  <c r="D59" i="15"/>
  <c r="L59" i="15" s="1"/>
  <c r="N59" i="15" s="1"/>
  <c r="B59" i="15"/>
  <c r="T58" i="15"/>
  <c r="Z58" i="15" s="1"/>
  <c r="P58" i="15"/>
  <c r="X58" i="15" s="1"/>
  <c r="N58" i="15"/>
  <c r="L58" i="15"/>
  <c r="H58" i="15"/>
  <c r="D58" i="15"/>
  <c r="B58" i="15"/>
  <c r="X57" i="15"/>
  <c r="T57" i="15"/>
  <c r="P57" i="15"/>
  <c r="H57" i="15"/>
  <c r="N57" i="15" s="1"/>
  <c r="D57" i="15"/>
  <c r="B57" i="15"/>
  <c r="T56" i="15"/>
  <c r="P56" i="15"/>
  <c r="N56" i="15"/>
  <c r="L56" i="15"/>
  <c r="H56" i="15"/>
  <c r="D56" i="15"/>
  <c r="B56" i="15"/>
  <c r="T55" i="15"/>
  <c r="X55" i="15" s="1"/>
  <c r="Z55" i="15" s="1"/>
  <c r="P55" i="15"/>
  <c r="N55" i="15"/>
  <c r="H55" i="15"/>
  <c r="D55" i="15"/>
  <c r="L55" i="15" s="1"/>
  <c r="B55" i="15"/>
  <c r="T54" i="15"/>
  <c r="P54" i="15"/>
  <c r="X54" i="15" s="1"/>
  <c r="L54" i="15"/>
  <c r="N54" i="15" s="1"/>
  <c r="H54" i="15"/>
  <c r="D54" i="15"/>
  <c r="B54" i="15"/>
  <c r="X53" i="15"/>
  <c r="T53" i="15"/>
  <c r="P53" i="15"/>
  <c r="H53" i="15"/>
  <c r="N53" i="15" s="1"/>
  <c r="D53" i="15"/>
  <c r="B53" i="15"/>
  <c r="T52" i="15"/>
  <c r="P52" i="15"/>
  <c r="N52" i="15"/>
  <c r="L52" i="15"/>
  <c r="H52" i="15"/>
  <c r="D52" i="15"/>
  <c r="B52" i="15"/>
  <c r="T51" i="15"/>
  <c r="X51" i="15" s="1"/>
  <c r="Z51" i="15" s="1"/>
  <c r="P51" i="15"/>
  <c r="H51" i="15"/>
  <c r="D51" i="15"/>
  <c r="L51" i="15" s="1"/>
  <c r="N51" i="15" s="1"/>
  <c r="B51" i="15"/>
  <c r="T50" i="15"/>
  <c r="P50" i="15"/>
  <c r="X50" i="15" s="1"/>
  <c r="N50" i="15"/>
  <c r="L50" i="15"/>
  <c r="H50" i="15"/>
  <c r="D50" i="15"/>
  <c r="B50" i="15"/>
  <c r="X49" i="15"/>
  <c r="T49" i="15"/>
  <c r="Z49" i="15" s="1"/>
  <c r="P49" i="15"/>
  <c r="H49" i="15"/>
  <c r="D49" i="15"/>
  <c r="B49" i="15"/>
  <c r="T48" i="15"/>
  <c r="P48" i="15"/>
  <c r="N48" i="15"/>
  <c r="L48" i="15"/>
  <c r="H48" i="15"/>
  <c r="D48" i="15"/>
  <c r="B48" i="15"/>
  <c r="T47" i="15"/>
  <c r="X47" i="15" s="1"/>
  <c r="Z47" i="15" s="1"/>
  <c r="P47" i="15"/>
  <c r="H47" i="15"/>
  <c r="D47" i="15"/>
  <c r="L47" i="15" s="1"/>
  <c r="N47" i="15" s="1"/>
  <c r="B47" i="15"/>
  <c r="T46" i="15"/>
  <c r="Z46" i="15" s="1"/>
  <c r="P46" i="15"/>
  <c r="X46" i="15" s="1"/>
  <c r="L46" i="15"/>
  <c r="N46" i="15" s="1"/>
  <c r="H46" i="15"/>
  <c r="D46" i="15"/>
  <c r="B46" i="15"/>
  <c r="X45" i="15"/>
  <c r="T45" i="15"/>
  <c r="Z45" i="15" s="1"/>
  <c r="P45" i="15"/>
  <c r="H45" i="15"/>
  <c r="D45" i="15"/>
  <c r="B45" i="15"/>
  <c r="T44" i="15"/>
  <c r="P44" i="15"/>
  <c r="N44" i="15"/>
  <c r="L44" i="15"/>
  <c r="H44" i="15"/>
  <c r="D44" i="15"/>
  <c r="B44" i="15"/>
  <c r="T43" i="15"/>
  <c r="X43" i="15" s="1"/>
  <c r="Z43" i="15" s="1"/>
  <c r="P43" i="15"/>
  <c r="H43" i="15"/>
  <c r="D43" i="15"/>
  <c r="L43" i="15" s="1"/>
  <c r="N43" i="15" s="1"/>
  <c r="B43" i="15"/>
  <c r="T42" i="15"/>
  <c r="Z42" i="15" s="1"/>
  <c r="P42" i="15"/>
  <c r="X42" i="15" s="1"/>
  <c r="L42" i="15"/>
  <c r="N42" i="15" s="1"/>
  <c r="H42" i="15"/>
  <c r="D42" i="15"/>
  <c r="B42" i="15"/>
  <c r="X41" i="15"/>
  <c r="T41" i="15"/>
  <c r="Z41" i="15" s="1"/>
  <c r="P41" i="15"/>
  <c r="H41" i="15"/>
  <c r="D41" i="15"/>
  <c r="B41" i="15"/>
  <c r="T40" i="15"/>
  <c r="P40" i="15"/>
  <c r="N40" i="15"/>
  <c r="L40" i="15"/>
  <c r="H40" i="15"/>
  <c r="D40" i="15"/>
  <c r="B40" i="15"/>
  <c r="T39" i="15"/>
  <c r="X39" i="15" s="1"/>
  <c r="Z39" i="15" s="1"/>
  <c r="P39" i="15"/>
  <c r="H39" i="15"/>
  <c r="D39" i="15"/>
  <c r="L39" i="15" s="1"/>
  <c r="N39" i="15" s="1"/>
  <c r="B39" i="15"/>
  <c r="T38" i="15"/>
  <c r="Z38" i="15" s="1"/>
  <c r="P38" i="15"/>
  <c r="X38" i="15" s="1"/>
  <c r="L38" i="15"/>
  <c r="N38" i="15" s="1"/>
  <c r="H38" i="15"/>
  <c r="D38" i="15"/>
  <c r="B38" i="15"/>
  <c r="X37" i="15"/>
  <c r="T37" i="15"/>
  <c r="Z37" i="15" s="1"/>
  <c r="P37" i="15"/>
  <c r="H37" i="15"/>
  <c r="D37" i="15"/>
  <c r="B37" i="15"/>
  <c r="T36" i="15"/>
  <c r="P36" i="15"/>
  <c r="N36" i="15"/>
  <c r="L36" i="15"/>
  <c r="H36" i="15"/>
  <c r="D36" i="15"/>
  <c r="B36" i="15"/>
  <c r="T35" i="15"/>
  <c r="X35" i="15" s="1"/>
  <c r="Z35" i="15" s="1"/>
  <c r="P35" i="15"/>
  <c r="H35" i="15"/>
  <c r="D35" i="15"/>
  <c r="L35" i="15" s="1"/>
  <c r="N35" i="15" s="1"/>
  <c r="B35" i="15"/>
  <c r="T34" i="15"/>
  <c r="Z34" i="15" s="1"/>
  <c r="P34" i="15"/>
  <c r="X34" i="15" s="1"/>
  <c r="L34" i="15"/>
  <c r="N34" i="15" s="1"/>
  <c r="H34" i="15"/>
  <c r="D34" i="15"/>
  <c r="B34" i="15"/>
  <c r="X33" i="15"/>
  <c r="T33" i="15"/>
  <c r="Z33" i="15" s="1"/>
  <c r="P33" i="15"/>
  <c r="H33" i="15"/>
  <c r="D33" i="15"/>
  <c r="B33" i="15"/>
  <c r="T32" i="15"/>
  <c r="P32" i="15"/>
  <c r="N32" i="15"/>
  <c r="L32" i="15"/>
  <c r="H32" i="15"/>
  <c r="D32" i="15"/>
  <c r="B32" i="15"/>
  <c r="T31" i="15"/>
  <c r="X31" i="15" s="1"/>
  <c r="Z31" i="15" s="1"/>
  <c r="P31" i="15"/>
  <c r="H31" i="15"/>
  <c r="D31" i="15"/>
  <c r="L31" i="15" s="1"/>
  <c r="N31" i="15" s="1"/>
  <c r="B31" i="15"/>
  <c r="T30" i="15"/>
  <c r="Z30" i="15" s="1"/>
  <c r="P30" i="15"/>
  <c r="X30" i="15" s="1"/>
  <c r="L30" i="15"/>
  <c r="N30" i="15" s="1"/>
  <c r="H30" i="15"/>
  <c r="D30" i="15"/>
  <c r="B30" i="15"/>
  <c r="X29" i="15"/>
  <c r="T29" i="15"/>
  <c r="Z29" i="15" s="1"/>
  <c r="P29" i="15"/>
  <c r="H29" i="15"/>
  <c r="D29" i="15"/>
  <c r="B29" i="15"/>
  <c r="T28" i="15"/>
  <c r="P28" i="15"/>
  <c r="N28" i="15"/>
  <c r="L28" i="15"/>
  <c r="H28" i="15"/>
  <c r="D28" i="15"/>
  <c r="B28" i="15"/>
  <c r="T27" i="15"/>
  <c r="X27" i="15" s="1"/>
  <c r="Z27" i="15" s="1"/>
  <c r="P27" i="15"/>
  <c r="H27" i="15"/>
  <c r="D27" i="15"/>
  <c r="L27" i="15" s="1"/>
  <c r="N27" i="15" s="1"/>
  <c r="B27" i="15"/>
  <c r="T26" i="15"/>
  <c r="Z26" i="15" s="1"/>
  <c r="P26" i="15"/>
  <c r="X26" i="15" s="1"/>
  <c r="L26" i="15"/>
  <c r="N26" i="15" s="1"/>
  <c r="H26" i="15"/>
  <c r="D26" i="15"/>
  <c r="B26" i="15"/>
  <c r="X25" i="15"/>
  <c r="T25" i="15"/>
  <c r="Z25" i="15" s="1"/>
  <c r="P25" i="15"/>
  <c r="H25" i="15"/>
  <c r="D25" i="15"/>
  <c r="B25" i="15"/>
  <c r="T24" i="15"/>
  <c r="P24" i="15"/>
  <c r="N24" i="15"/>
  <c r="L24" i="15"/>
  <c r="H24" i="15"/>
  <c r="D24" i="15"/>
  <c r="B24" i="15"/>
  <c r="T23" i="15"/>
  <c r="X23" i="15" s="1"/>
  <c r="Z23" i="15" s="1"/>
  <c r="P23" i="15"/>
  <c r="N23" i="15"/>
  <c r="H23" i="15"/>
  <c r="D23" i="15"/>
  <c r="L23" i="15" s="1"/>
  <c r="B23" i="15"/>
  <c r="T22" i="15"/>
  <c r="P22" i="15"/>
  <c r="X22" i="15" s="1"/>
  <c r="L22" i="15"/>
  <c r="N22" i="15" s="1"/>
  <c r="H22" i="15"/>
  <c r="D22" i="15"/>
  <c r="B22" i="15"/>
  <c r="X21" i="15"/>
  <c r="T21" i="15"/>
  <c r="P21" i="15"/>
  <c r="H21" i="15"/>
  <c r="D21" i="15"/>
  <c r="B21" i="15"/>
  <c r="T20" i="15"/>
  <c r="P20" i="15"/>
  <c r="N20" i="15"/>
  <c r="L20" i="15"/>
  <c r="H20" i="15"/>
  <c r="D20" i="15"/>
  <c r="B20" i="15"/>
  <c r="T19" i="15"/>
  <c r="X19" i="15" s="1"/>
  <c r="Z19" i="15" s="1"/>
  <c r="P19" i="15"/>
  <c r="H19" i="15"/>
  <c r="D19" i="15"/>
  <c r="L19" i="15" s="1"/>
  <c r="N19" i="15" s="1"/>
  <c r="B19" i="15"/>
  <c r="T18" i="15"/>
  <c r="Z18" i="15" s="1"/>
  <c r="P18" i="15"/>
  <c r="X18" i="15" s="1"/>
  <c r="L18" i="15"/>
  <c r="N18" i="15" s="1"/>
  <c r="H18" i="15"/>
  <c r="D18" i="15"/>
  <c r="B18" i="15"/>
  <c r="X17" i="15"/>
  <c r="T17" i="15"/>
  <c r="P17" i="15"/>
  <c r="H17" i="15"/>
  <c r="N17" i="15" s="1"/>
  <c r="D17" i="15"/>
  <c r="B17" i="15"/>
  <c r="T16" i="15"/>
  <c r="P16" i="15"/>
  <c r="N16" i="15"/>
  <c r="L16" i="15"/>
  <c r="H16" i="15"/>
  <c r="D16" i="15"/>
  <c r="B16" i="15"/>
  <c r="T15" i="15"/>
  <c r="X15" i="15" s="1"/>
  <c r="Z15" i="15" s="1"/>
  <c r="P15" i="15"/>
  <c r="H15" i="15"/>
  <c r="D15" i="15"/>
  <c r="L15" i="15" s="1"/>
  <c r="N15" i="15" s="1"/>
  <c r="B15" i="15"/>
  <c r="T14" i="15"/>
  <c r="Z14" i="15" s="1"/>
  <c r="P14" i="15"/>
  <c r="X14" i="15" s="1"/>
  <c r="L14" i="15"/>
  <c r="N14" i="15" s="1"/>
  <c r="H14" i="15"/>
  <c r="D14" i="15"/>
  <c r="B14" i="15"/>
  <c r="X13" i="15"/>
  <c r="T13" i="15"/>
  <c r="Z13" i="15" s="1"/>
  <c r="P13" i="15"/>
  <c r="H13" i="15"/>
  <c r="N13" i="15" s="1"/>
  <c r="D13" i="15"/>
  <c r="B13" i="15"/>
  <c r="T12" i="15"/>
  <c r="D4" i="15"/>
  <c r="Z271" i="12"/>
  <c r="X271" i="12"/>
  <c r="L271" i="12"/>
  <c r="N271" i="12" s="1"/>
  <c r="X267" i="12"/>
  <c r="T267" i="12"/>
  <c r="Z267" i="12" s="1"/>
  <c r="P267" i="12"/>
  <c r="H267" i="12"/>
  <c r="D267" i="12"/>
  <c r="B267" i="12"/>
  <c r="X266" i="12"/>
  <c r="T266" i="12"/>
  <c r="Z266" i="12" s="1"/>
  <c r="P266" i="12"/>
  <c r="N266" i="12"/>
  <c r="H266" i="12"/>
  <c r="D266" i="12"/>
  <c r="L266" i="12" s="1"/>
  <c r="B266" i="12"/>
  <c r="T265" i="12"/>
  <c r="P265" i="12"/>
  <c r="X265" i="12" s="1"/>
  <c r="Z265" i="12" s="1"/>
  <c r="L265" i="12"/>
  <c r="H265" i="12"/>
  <c r="N265" i="12" s="1"/>
  <c r="D265" i="12"/>
  <c r="B265" i="12"/>
  <c r="X264" i="12"/>
  <c r="Z264" i="12" s="1"/>
  <c r="T264" i="12"/>
  <c r="P264" i="12"/>
  <c r="N264" i="12"/>
  <c r="H264" i="12"/>
  <c r="D264" i="12"/>
  <c r="L264" i="12" s="1"/>
  <c r="B264" i="12"/>
  <c r="T263" i="12"/>
  <c r="P263" i="12"/>
  <c r="H263" i="12"/>
  <c r="D263" i="12"/>
  <c r="L263" i="12" s="1"/>
  <c r="B263" i="12"/>
  <c r="T262" i="12"/>
  <c r="P262" i="12"/>
  <c r="X262" i="12" s="1"/>
  <c r="Z262" i="12" s="1"/>
  <c r="H262" i="12"/>
  <c r="D262" i="12"/>
  <c r="L262" i="12" s="1"/>
  <c r="B262" i="12"/>
  <c r="T261" i="12"/>
  <c r="P261" i="12"/>
  <c r="L261" i="12"/>
  <c r="H261" i="12"/>
  <c r="N261" i="12" s="1"/>
  <c r="D261" i="12"/>
  <c r="B261" i="12"/>
  <c r="T260" i="12"/>
  <c r="P260" i="12"/>
  <c r="X260" i="12" s="1"/>
  <c r="Z260" i="12" s="1"/>
  <c r="L260" i="12"/>
  <c r="H260" i="12"/>
  <c r="N260" i="12" s="1"/>
  <c r="D260" i="12"/>
  <c r="B260" i="12"/>
  <c r="X259" i="12"/>
  <c r="T259" i="12"/>
  <c r="Z259" i="12" s="1"/>
  <c r="P259" i="12"/>
  <c r="N259" i="12"/>
  <c r="H259" i="12"/>
  <c r="D259" i="12"/>
  <c r="L259" i="12" s="1"/>
  <c r="B259" i="12"/>
  <c r="Z256" i="12"/>
  <c r="X256" i="12"/>
  <c r="L256" i="12"/>
  <c r="N256" i="12" s="1"/>
  <c r="B256" i="12"/>
  <c r="T255" i="12"/>
  <c r="P255" i="12"/>
  <c r="L255" i="12"/>
  <c r="H255" i="12"/>
  <c r="N255" i="12" s="1"/>
  <c r="D255" i="12"/>
  <c r="B255" i="12"/>
  <c r="Z254" i="12"/>
  <c r="X254" i="12"/>
  <c r="L254" i="12"/>
  <c r="N254" i="12" s="1"/>
  <c r="B254" i="12"/>
  <c r="Z253" i="12"/>
  <c r="X253" i="12"/>
  <c r="L253" i="12"/>
  <c r="N253" i="12" s="1"/>
  <c r="B253" i="12"/>
  <c r="X252" i="12"/>
  <c r="Z252" i="12" s="1"/>
  <c r="N252" i="12"/>
  <c r="L252" i="12"/>
  <c r="B252" i="12"/>
  <c r="T251" i="12"/>
  <c r="Z251" i="12" s="1"/>
  <c r="P251" i="12"/>
  <c r="X251" i="12" s="1"/>
  <c r="H251" i="12"/>
  <c r="N251" i="12" s="1"/>
  <c r="D251" i="12"/>
  <c r="L251" i="12" s="1"/>
  <c r="B251" i="12"/>
  <c r="X250" i="12"/>
  <c r="Z250" i="12" s="1"/>
  <c r="N250" i="12"/>
  <c r="L250" i="12"/>
  <c r="B250" i="12"/>
  <c r="X249" i="12"/>
  <c r="T249" i="12"/>
  <c r="Z249" i="12" s="1"/>
  <c r="P249" i="12"/>
  <c r="N249" i="12"/>
  <c r="H249" i="12"/>
  <c r="D249" i="12"/>
  <c r="L249" i="12" s="1"/>
  <c r="B249" i="12"/>
  <c r="Z248" i="12"/>
  <c r="X248" i="12"/>
  <c r="L248" i="12"/>
  <c r="N248" i="12" s="1"/>
  <c r="B248" i="12"/>
  <c r="X247" i="12"/>
  <c r="Z247" i="12" s="1"/>
  <c r="N247" i="12"/>
  <c r="L247" i="12"/>
  <c r="B247" i="12"/>
  <c r="X246" i="12"/>
  <c r="Z246" i="12" s="1"/>
  <c r="T246" i="12"/>
  <c r="P246" i="12"/>
  <c r="H246" i="12"/>
  <c r="D246" i="12"/>
  <c r="L246" i="12" s="1"/>
  <c r="N246" i="12" s="1"/>
  <c r="B246" i="12"/>
  <c r="Z245" i="12"/>
  <c r="X245" i="12"/>
  <c r="L245" i="12"/>
  <c r="N245" i="12" s="1"/>
  <c r="B245" i="12"/>
  <c r="X244" i="12"/>
  <c r="Z244" i="12" s="1"/>
  <c r="N244" i="12"/>
  <c r="L244" i="12"/>
  <c r="B244" i="12"/>
  <c r="Z243" i="12"/>
  <c r="X243" i="12"/>
  <c r="N243" i="12"/>
  <c r="L243" i="12"/>
  <c r="B243" i="12"/>
  <c r="Z242" i="12"/>
  <c r="X242" i="12"/>
  <c r="L242" i="12"/>
  <c r="N242" i="12" s="1"/>
  <c r="B242" i="12"/>
  <c r="Z241" i="12"/>
  <c r="X241" i="12"/>
  <c r="L241" i="12"/>
  <c r="N241" i="12" s="1"/>
  <c r="B241" i="12"/>
  <c r="Z240" i="12"/>
  <c r="X240" i="12"/>
  <c r="N240" i="12"/>
  <c r="L240" i="12"/>
  <c r="B240" i="12"/>
  <c r="Z239" i="12"/>
  <c r="X239" i="12"/>
  <c r="N239" i="12"/>
  <c r="L239" i="12"/>
  <c r="B239" i="12"/>
  <c r="T238" i="12"/>
  <c r="P238" i="12"/>
  <c r="X238" i="12" s="1"/>
  <c r="Z238" i="12" s="1"/>
  <c r="L238" i="12"/>
  <c r="H238" i="12"/>
  <c r="D238" i="12"/>
  <c r="B238" i="12"/>
  <c r="X237" i="12"/>
  <c r="Z237" i="12" s="1"/>
  <c r="L237" i="12"/>
  <c r="N237" i="12" s="1"/>
  <c r="B237" i="12"/>
  <c r="X236" i="12"/>
  <c r="Z236" i="12" s="1"/>
  <c r="N236" i="12"/>
  <c r="L236" i="12"/>
  <c r="B236" i="12"/>
  <c r="T235" i="12"/>
  <c r="P235" i="12"/>
  <c r="X235" i="12" s="1"/>
  <c r="Z235" i="12" s="1"/>
  <c r="L235" i="12"/>
  <c r="H235" i="12"/>
  <c r="D235" i="12"/>
  <c r="B235" i="12"/>
  <c r="X234" i="12"/>
  <c r="Z234" i="12" s="1"/>
  <c r="N234" i="12"/>
  <c r="L234" i="12"/>
  <c r="B234" i="12"/>
  <c r="X233" i="12"/>
  <c r="Z233" i="12" s="1"/>
  <c r="N233" i="12"/>
  <c r="L233" i="12"/>
  <c r="B233" i="12"/>
  <c r="Z232" i="12"/>
  <c r="X232" i="12"/>
  <c r="L232" i="12"/>
  <c r="N232" i="12" s="1"/>
  <c r="B232" i="12"/>
  <c r="X231" i="12"/>
  <c r="Z231" i="12" s="1"/>
  <c r="N231" i="12"/>
  <c r="L231" i="12"/>
  <c r="B231" i="12"/>
  <c r="X230" i="12"/>
  <c r="Z230" i="12" s="1"/>
  <c r="N230" i="12"/>
  <c r="L230" i="12"/>
  <c r="B230" i="12"/>
  <c r="X229" i="12"/>
  <c r="T229" i="12"/>
  <c r="Z229" i="12" s="1"/>
  <c r="P229" i="12"/>
  <c r="H229" i="12"/>
  <c r="D229" i="12"/>
  <c r="B229" i="12"/>
  <c r="X228" i="12"/>
  <c r="Z228" i="12" s="1"/>
  <c r="N228" i="12"/>
  <c r="L228" i="12"/>
  <c r="B228" i="12"/>
  <c r="Z227" i="12"/>
  <c r="X227" i="12"/>
  <c r="N227" i="12"/>
  <c r="L227" i="12"/>
  <c r="B227" i="12"/>
  <c r="Z226" i="12"/>
  <c r="X226" i="12"/>
  <c r="N226" i="12"/>
  <c r="L226" i="12"/>
  <c r="B226" i="12"/>
  <c r="T225" i="12"/>
  <c r="P225" i="12"/>
  <c r="X225" i="12" s="1"/>
  <c r="H225" i="12"/>
  <c r="D225" i="12"/>
  <c r="L225" i="12" s="1"/>
  <c r="B225" i="12"/>
  <c r="Z224" i="12"/>
  <c r="X224" i="12"/>
  <c r="N224" i="12"/>
  <c r="L224" i="12"/>
  <c r="B224" i="12"/>
  <c r="Z223" i="12"/>
  <c r="X223" i="12"/>
  <c r="L223" i="12"/>
  <c r="N223" i="12" s="1"/>
  <c r="B223" i="12"/>
  <c r="Z222" i="12"/>
  <c r="X222" i="12"/>
  <c r="N222" i="12"/>
  <c r="L222" i="12"/>
  <c r="B222" i="12"/>
  <c r="X221" i="12"/>
  <c r="Z221" i="12" s="1"/>
  <c r="L221" i="12"/>
  <c r="N221" i="12" s="1"/>
  <c r="B221" i="12"/>
  <c r="T220" i="12"/>
  <c r="P220" i="12"/>
  <c r="X220" i="12" s="1"/>
  <c r="Z220" i="12" s="1"/>
  <c r="H220" i="12"/>
  <c r="D220" i="12"/>
  <c r="L220" i="12" s="1"/>
  <c r="B220" i="12"/>
  <c r="X219" i="12"/>
  <c r="Z219" i="12" s="1"/>
  <c r="N219" i="12"/>
  <c r="L219" i="12"/>
  <c r="B219" i="12"/>
  <c r="X218" i="12"/>
  <c r="Z218" i="12" s="1"/>
  <c r="T218" i="12"/>
  <c r="P218" i="12"/>
  <c r="N218" i="12"/>
  <c r="H218" i="12"/>
  <c r="D218" i="12"/>
  <c r="L218" i="12" s="1"/>
  <c r="B218" i="12"/>
  <c r="Z217" i="12"/>
  <c r="X217" i="12"/>
  <c r="L217" i="12"/>
  <c r="N217" i="12" s="1"/>
  <c r="B217" i="12"/>
  <c r="X216" i="12"/>
  <c r="Z216" i="12" s="1"/>
  <c r="T216" i="12"/>
  <c r="P216" i="12"/>
  <c r="H216" i="12"/>
  <c r="D216" i="12"/>
  <c r="L216" i="12" s="1"/>
  <c r="N216" i="12" s="1"/>
  <c r="B216" i="12"/>
  <c r="Z215" i="12"/>
  <c r="X215" i="12"/>
  <c r="L215" i="12"/>
  <c r="N215" i="12" s="1"/>
  <c r="B215" i="12"/>
  <c r="T214" i="12"/>
  <c r="P214" i="12"/>
  <c r="H214" i="12"/>
  <c r="D214" i="12"/>
  <c r="L214" i="12" s="1"/>
  <c r="N214" i="12" s="1"/>
  <c r="B214" i="12"/>
  <c r="X213" i="12"/>
  <c r="Z213" i="12" s="1"/>
  <c r="N213" i="12"/>
  <c r="L213" i="12"/>
  <c r="B213" i="12"/>
  <c r="Z212" i="12"/>
  <c r="T212" i="12"/>
  <c r="P212" i="12"/>
  <c r="X212" i="12" s="1"/>
  <c r="L212" i="12"/>
  <c r="N212" i="12" s="1"/>
  <c r="H212" i="12"/>
  <c r="D212" i="12"/>
  <c r="B212" i="12"/>
  <c r="Z211" i="12"/>
  <c r="X211" i="12"/>
  <c r="N211" i="12"/>
  <c r="L211" i="12"/>
  <c r="B211" i="12"/>
  <c r="T210" i="12"/>
  <c r="P210" i="12"/>
  <c r="X210" i="12" s="1"/>
  <c r="Z210" i="12" s="1"/>
  <c r="L210" i="12"/>
  <c r="N210" i="12" s="1"/>
  <c r="H210" i="12"/>
  <c r="D210" i="12"/>
  <c r="B210" i="12"/>
  <c r="X209" i="12"/>
  <c r="Z209" i="12" s="1"/>
  <c r="L209" i="12"/>
  <c r="N209" i="12" s="1"/>
  <c r="B209" i="12"/>
  <c r="T208" i="12"/>
  <c r="P208" i="12"/>
  <c r="X208" i="12" s="1"/>
  <c r="H208" i="12"/>
  <c r="D208" i="12"/>
  <c r="B208" i="12"/>
  <c r="X207" i="12"/>
  <c r="Z207" i="12" s="1"/>
  <c r="N207" i="12"/>
  <c r="L207" i="12"/>
  <c r="B207" i="12"/>
  <c r="X206" i="12"/>
  <c r="Z206" i="12" s="1"/>
  <c r="N206" i="12"/>
  <c r="L206" i="12"/>
  <c r="B206" i="12"/>
  <c r="X205" i="12"/>
  <c r="T205" i="12"/>
  <c r="Z205" i="12" s="1"/>
  <c r="P205" i="12"/>
  <c r="H205" i="12"/>
  <c r="D205" i="12"/>
  <c r="B205" i="12"/>
  <c r="X204" i="12"/>
  <c r="Z204" i="12" s="1"/>
  <c r="N204" i="12"/>
  <c r="L204" i="12"/>
  <c r="B204" i="12"/>
  <c r="T203" i="12"/>
  <c r="P203" i="12"/>
  <c r="X203" i="12" s="1"/>
  <c r="H203" i="12"/>
  <c r="N203" i="12" s="1"/>
  <c r="D203" i="12"/>
  <c r="L203" i="12" s="1"/>
  <c r="B203" i="12"/>
  <c r="Z202" i="12"/>
  <c r="X202" i="12"/>
  <c r="L202" i="12"/>
  <c r="N202" i="12" s="1"/>
  <c r="B202" i="12"/>
  <c r="X201" i="12"/>
  <c r="T201" i="12"/>
  <c r="P201" i="12"/>
  <c r="N201" i="12"/>
  <c r="H201" i="12"/>
  <c r="D201" i="12"/>
  <c r="L201" i="12" s="1"/>
  <c r="B201" i="12"/>
  <c r="Z200" i="12"/>
  <c r="X200" i="12"/>
  <c r="L200" i="12"/>
  <c r="N200" i="12" s="1"/>
  <c r="B200" i="12"/>
  <c r="T199" i="12"/>
  <c r="P199" i="12"/>
  <c r="L199" i="12"/>
  <c r="H199" i="12"/>
  <c r="N199" i="12" s="1"/>
  <c r="D199" i="12"/>
  <c r="B199" i="12"/>
  <c r="Z198" i="12"/>
  <c r="X198" i="12"/>
  <c r="N198" i="12"/>
  <c r="L198" i="12"/>
  <c r="B198" i="12"/>
  <c r="Z197" i="12"/>
  <c r="X197" i="12"/>
  <c r="L197" i="12"/>
  <c r="N197" i="12" s="1"/>
  <c r="B197" i="12"/>
  <c r="X196" i="12"/>
  <c r="Z196" i="12" s="1"/>
  <c r="T196" i="12"/>
  <c r="P196" i="12"/>
  <c r="N196" i="12"/>
  <c r="H196" i="12"/>
  <c r="D196" i="12"/>
  <c r="L196" i="12" s="1"/>
  <c r="B196" i="12"/>
  <c r="Z195" i="12"/>
  <c r="X195" i="12"/>
  <c r="L195" i="12"/>
  <c r="N195" i="12" s="1"/>
  <c r="B195" i="12"/>
  <c r="X194" i="12"/>
  <c r="Z194" i="12" s="1"/>
  <c r="L194" i="12"/>
  <c r="N194" i="12" s="1"/>
  <c r="B194" i="12"/>
  <c r="X193" i="12"/>
  <c r="T193" i="12"/>
  <c r="P193" i="12"/>
  <c r="H193" i="12"/>
  <c r="D193" i="12"/>
  <c r="L193" i="12" s="1"/>
  <c r="N193" i="12" s="1"/>
  <c r="B193" i="12"/>
  <c r="Z192" i="12"/>
  <c r="X192" i="12"/>
  <c r="L192" i="12"/>
  <c r="N192" i="12" s="1"/>
  <c r="B192" i="12"/>
  <c r="T191" i="12"/>
  <c r="P191" i="12"/>
  <c r="L191" i="12"/>
  <c r="H191" i="12"/>
  <c r="N191" i="12" s="1"/>
  <c r="D191" i="12"/>
  <c r="B191" i="12"/>
  <c r="Z190" i="12"/>
  <c r="X190" i="12"/>
  <c r="N190" i="12"/>
  <c r="L190" i="12"/>
  <c r="B190" i="12"/>
  <c r="Z189" i="12"/>
  <c r="X189" i="12"/>
  <c r="L189" i="12"/>
  <c r="N189" i="12" s="1"/>
  <c r="B189" i="12"/>
  <c r="X188" i="12"/>
  <c r="Z188" i="12" s="1"/>
  <c r="T188" i="12"/>
  <c r="P188" i="12"/>
  <c r="N188" i="12"/>
  <c r="H188" i="12"/>
  <c r="D188" i="12"/>
  <c r="L188" i="12" s="1"/>
  <c r="B188" i="12"/>
  <c r="Z187" i="12"/>
  <c r="X187" i="12"/>
  <c r="L187" i="12"/>
  <c r="N187" i="12" s="1"/>
  <c r="B187" i="12"/>
  <c r="T186" i="12"/>
  <c r="P186" i="12"/>
  <c r="X186" i="12" s="1"/>
  <c r="H186" i="12"/>
  <c r="D186" i="12"/>
  <c r="L186" i="12" s="1"/>
  <c r="B186" i="12"/>
  <c r="X185" i="12"/>
  <c r="Z185" i="12" s="1"/>
  <c r="N185" i="12"/>
  <c r="L185" i="12"/>
  <c r="B185" i="12"/>
  <c r="Z184" i="12"/>
  <c r="X184" i="12"/>
  <c r="L184" i="12"/>
  <c r="N184" i="12" s="1"/>
  <c r="B184" i="12"/>
  <c r="X183" i="12"/>
  <c r="Z183" i="12" s="1"/>
  <c r="N183" i="12"/>
  <c r="L183" i="12"/>
  <c r="B183" i="12"/>
  <c r="X182" i="12"/>
  <c r="Z182" i="12" s="1"/>
  <c r="N182" i="12"/>
  <c r="L182" i="12"/>
  <c r="B182" i="12"/>
  <c r="X181" i="12"/>
  <c r="Z181" i="12" s="1"/>
  <c r="N181" i="12"/>
  <c r="L181" i="12"/>
  <c r="B181" i="12"/>
  <c r="Z180" i="12"/>
  <c r="X180" i="12"/>
  <c r="L180" i="12"/>
  <c r="N180" i="12" s="1"/>
  <c r="B180" i="12"/>
  <c r="X179" i="12"/>
  <c r="Z179" i="12" s="1"/>
  <c r="N179" i="12"/>
  <c r="L179" i="12"/>
  <c r="B179" i="12"/>
  <c r="X178" i="12"/>
  <c r="Z178" i="12" s="1"/>
  <c r="T178" i="12"/>
  <c r="P178" i="12"/>
  <c r="H178" i="12"/>
  <c r="D178" i="12"/>
  <c r="L178" i="12" s="1"/>
  <c r="N178" i="12" s="1"/>
  <c r="B178" i="12"/>
  <c r="Z177" i="12"/>
  <c r="X177" i="12"/>
  <c r="L177" i="12"/>
  <c r="N177" i="12" s="1"/>
  <c r="B177" i="12"/>
  <c r="X176" i="12"/>
  <c r="Z176" i="12" s="1"/>
  <c r="N176" i="12"/>
  <c r="L176" i="12"/>
  <c r="B176" i="12"/>
  <c r="Z175" i="12"/>
  <c r="X175" i="12"/>
  <c r="N175" i="12"/>
  <c r="L175" i="12"/>
  <c r="B175" i="12"/>
  <c r="Z174" i="12"/>
  <c r="X174" i="12"/>
  <c r="L174" i="12"/>
  <c r="N174" i="12" s="1"/>
  <c r="B174" i="12"/>
  <c r="Z173" i="12"/>
  <c r="X173" i="12"/>
  <c r="N173" i="12"/>
  <c r="L173" i="12"/>
  <c r="B173" i="12"/>
  <c r="X172" i="12"/>
  <c r="Z172" i="12" s="1"/>
  <c r="L172" i="12"/>
  <c r="N172" i="12" s="1"/>
  <c r="B172" i="12"/>
  <c r="Z171" i="12"/>
  <c r="X171" i="12"/>
  <c r="N171" i="12"/>
  <c r="L171" i="12"/>
  <c r="B171" i="12"/>
  <c r="Z170" i="12"/>
  <c r="X170" i="12"/>
  <c r="L170" i="12"/>
  <c r="N170" i="12" s="1"/>
  <c r="B170" i="12"/>
  <c r="Z169" i="12"/>
  <c r="X169" i="12"/>
  <c r="L169" i="12"/>
  <c r="N169" i="12" s="1"/>
  <c r="B169" i="12"/>
  <c r="X168" i="12"/>
  <c r="Z168" i="12" s="1"/>
  <c r="L168" i="12"/>
  <c r="N168" i="12" s="1"/>
  <c r="B168" i="12"/>
  <c r="T167" i="12"/>
  <c r="Z167" i="12" s="1"/>
  <c r="P167" i="12"/>
  <c r="X167" i="12" s="1"/>
  <c r="H167" i="12"/>
  <c r="D167" i="12"/>
  <c r="L167" i="12" s="1"/>
  <c r="B167" i="12"/>
  <c r="T166" i="12"/>
  <c r="P166" i="12"/>
  <c r="H166" i="12"/>
  <c r="D166" i="12"/>
  <c r="L166" i="12" s="1"/>
  <c r="X162" i="12"/>
  <c r="Z162" i="12" s="1"/>
  <c r="N162" i="12"/>
  <c r="L162" i="12"/>
  <c r="B162" i="12"/>
  <c r="X161" i="12"/>
  <c r="Z161" i="12" s="1"/>
  <c r="L161" i="12"/>
  <c r="N161" i="12" s="1"/>
  <c r="B161" i="12"/>
  <c r="X160" i="12"/>
  <c r="Z160" i="12" s="1"/>
  <c r="N160" i="12"/>
  <c r="L160" i="12"/>
  <c r="B160" i="12"/>
  <c r="Z159" i="12"/>
  <c r="X159" i="12"/>
  <c r="L159" i="12"/>
  <c r="N159" i="12" s="1"/>
  <c r="B159" i="12"/>
  <c r="X158" i="12"/>
  <c r="Z158" i="12" s="1"/>
  <c r="L158" i="12"/>
  <c r="N158" i="12" s="1"/>
  <c r="B158" i="12"/>
  <c r="X157" i="12"/>
  <c r="Z157" i="12" s="1"/>
  <c r="L157" i="12"/>
  <c r="N157" i="12" s="1"/>
  <c r="B157" i="12"/>
  <c r="X156" i="12"/>
  <c r="Z156" i="12" s="1"/>
  <c r="N156" i="12"/>
  <c r="L156" i="12"/>
  <c r="B156" i="12"/>
  <c r="Z155" i="12"/>
  <c r="X155" i="12"/>
  <c r="L155" i="12"/>
  <c r="N155" i="12" s="1"/>
  <c r="B155" i="12"/>
  <c r="X154" i="12"/>
  <c r="Z154" i="12" s="1"/>
  <c r="L154" i="12"/>
  <c r="N154" i="12" s="1"/>
  <c r="B154" i="12"/>
  <c r="X153" i="12"/>
  <c r="Z153" i="12" s="1"/>
  <c r="L153" i="12"/>
  <c r="N153" i="12" s="1"/>
  <c r="B153" i="12"/>
  <c r="X152" i="12"/>
  <c r="Z152" i="12" s="1"/>
  <c r="N152" i="12"/>
  <c r="L152" i="12"/>
  <c r="B152" i="12"/>
  <c r="Z151" i="12"/>
  <c r="X151" i="12"/>
  <c r="L151" i="12"/>
  <c r="N151" i="12" s="1"/>
  <c r="B151" i="12"/>
  <c r="X150" i="12"/>
  <c r="Z150" i="12" s="1"/>
  <c r="L150" i="12"/>
  <c r="N150" i="12" s="1"/>
  <c r="B150" i="12"/>
  <c r="X149" i="12"/>
  <c r="Z149" i="12" s="1"/>
  <c r="N149" i="12"/>
  <c r="L149" i="12"/>
  <c r="B149" i="12"/>
  <c r="X148" i="12"/>
  <c r="Z148" i="12" s="1"/>
  <c r="N148" i="12"/>
  <c r="L148" i="12"/>
  <c r="B148" i="12"/>
  <c r="Z147" i="12"/>
  <c r="X147" i="12"/>
  <c r="L147" i="12"/>
  <c r="N147" i="12" s="1"/>
  <c r="B147" i="12"/>
  <c r="X146" i="12"/>
  <c r="Z146" i="12" s="1"/>
  <c r="L146" i="12"/>
  <c r="N146" i="12" s="1"/>
  <c r="B146" i="12"/>
  <c r="X145" i="12"/>
  <c r="Z145" i="12" s="1"/>
  <c r="L145" i="12"/>
  <c r="N145" i="12" s="1"/>
  <c r="B145" i="12"/>
  <c r="X144" i="12"/>
  <c r="Z144" i="12" s="1"/>
  <c r="N144" i="12"/>
  <c r="L144" i="12"/>
  <c r="B144" i="12"/>
  <c r="Z143" i="12"/>
  <c r="X143" i="12"/>
  <c r="N143" i="12"/>
  <c r="L143" i="12"/>
  <c r="B143" i="12"/>
  <c r="X142" i="12"/>
  <c r="Z142" i="12" s="1"/>
  <c r="N142" i="12"/>
  <c r="L142" i="12"/>
  <c r="B142" i="12"/>
  <c r="X141" i="12"/>
  <c r="Z141" i="12" s="1"/>
  <c r="L141" i="12"/>
  <c r="N141" i="12" s="1"/>
  <c r="B141" i="12"/>
  <c r="X140" i="12"/>
  <c r="Z140" i="12" s="1"/>
  <c r="N140" i="12"/>
  <c r="L140" i="12"/>
  <c r="B140" i="12"/>
  <c r="Z139" i="12"/>
  <c r="X139" i="12"/>
  <c r="L139" i="12"/>
  <c r="N139" i="12" s="1"/>
  <c r="B139" i="12"/>
  <c r="X138" i="12"/>
  <c r="Z138" i="12" s="1"/>
  <c r="L138" i="12"/>
  <c r="N138" i="12" s="1"/>
  <c r="B138" i="12"/>
  <c r="X137" i="12"/>
  <c r="Z137" i="12" s="1"/>
  <c r="L137" i="12"/>
  <c r="N137" i="12" s="1"/>
  <c r="B137" i="12"/>
  <c r="X136" i="12"/>
  <c r="Z136" i="12" s="1"/>
  <c r="N136" i="12"/>
  <c r="L136" i="12"/>
  <c r="B136" i="12"/>
  <c r="Z135" i="12"/>
  <c r="X135" i="12"/>
  <c r="L135" i="12"/>
  <c r="N135" i="12" s="1"/>
  <c r="B135" i="12"/>
  <c r="X134" i="12"/>
  <c r="Z134" i="12" s="1"/>
  <c r="L134" i="12"/>
  <c r="N134" i="12" s="1"/>
  <c r="B134" i="12"/>
  <c r="X133" i="12"/>
  <c r="Z133" i="12" s="1"/>
  <c r="L133" i="12"/>
  <c r="N133" i="12" s="1"/>
  <c r="B133" i="12"/>
  <c r="X132" i="12"/>
  <c r="Z132" i="12" s="1"/>
  <c r="N132" i="12"/>
  <c r="L132" i="12"/>
  <c r="B132" i="12"/>
  <c r="Z131" i="12"/>
  <c r="X131" i="12"/>
  <c r="L131" i="12"/>
  <c r="N131" i="12" s="1"/>
  <c r="B131" i="12"/>
  <c r="X130" i="12"/>
  <c r="Z130" i="12" s="1"/>
  <c r="L130" i="12"/>
  <c r="N130" i="12" s="1"/>
  <c r="B130" i="12"/>
  <c r="X129" i="12"/>
  <c r="Z129" i="12" s="1"/>
  <c r="L129" i="12"/>
  <c r="N129" i="12" s="1"/>
  <c r="B129" i="12"/>
  <c r="X128" i="12"/>
  <c r="Z128" i="12" s="1"/>
  <c r="N128" i="12"/>
  <c r="L128" i="12"/>
  <c r="B128" i="12"/>
  <c r="Z127" i="12"/>
  <c r="X127" i="12"/>
  <c r="L127" i="12"/>
  <c r="N127" i="12" s="1"/>
  <c r="B127" i="12"/>
  <c r="X126" i="12"/>
  <c r="Z126" i="12" s="1"/>
  <c r="L126" i="12"/>
  <c r="N126" i="12" s="1"/>
  <c r="B126" i="12"/>
  <c r="X125" i="12"/>
  <c r="Z125" i="12" s="1"/>
  <c r="L125" i="12"/>
  <c r="N125" i="12" s="1"/>
  <c r="B125" i="12"/>
  <c r="X124" i="12"/>
  <c r="Z124" i="12" s="1"/>
  <c r="N124" i="12"/>
  <c r="L124" i="12"/>
  <c r="B124" i="12"/>
  <c r="Z123" i="12"/>
  <c r="X123" i="12"/>
  <c r="L123" i="12"/>
  <c r="N123" i="12" s="1"/>
  <c r="B123" i="12"/>
  <c r="X122" i="12"/>
  <c r="Z122" i="12" s="1"/>
  <c r="L122" i="12"/>
  <c r="N122" i="12" s="1"/>
  <c r="B122" i="12"/>
  <c r="X121" i="12"/>
  <c r="Z121" i="12" s="1"/>
  <c r="L121" i="12"/>
  <c r="N121" i="12" s="1"/>
  <c r="B121" i="12"/>
  <c r="X120" i="12"/>
  <c r="Z120" i="12" s="1"/>
  <c r="N120" i="12"/>
  <c r="L120" i="12"/>
  <c r="B120" i="12"/>
  <c r="Z119" i="12"/>
  <c r="X119" i="12"/>
  <c r="L119" i="12"/>
  <c r="N119" i="12" s="1"/>
  <c r="B119" i="12"/>
  <c r="Z118" i="12"/>
  <c r="X118" i="12"/>
  <c r="N118" i="12"/>
  <c r="L118" i="12"/>
  <c r="B118" i="12"/>
  <c r="X117" i="12"/>
  <c r="Z117" i="12" s="1"/>
  <c r="L117" i="12"/>
  <c r="N117" i="12" s="1"/>
  <c r="B117" i="12"/>
  <c r="X116" i="12"/>
  <c r="Z116" i="12" s="1"/>
  <c r="N116" i="12"/>
  <c r="L116" i="12"/>
  <c r="B116" i="12"/>
  <c r="Z115" i="12"/>
  <c r="X115" i="12"/>
  <c r="L115" i="12"/>
  <c r="N115" i="12" s="1"/>
  <c r="B115" i="12"/>
  <c r="X114" i="12"/>
  <c r="Z114" i="12" s="1"/>
  <c r="L114" i="12"/>
  <c r="N114" i="12" s="1"/>
  <c r="B114" i="12"/>
  <c r="X113" i="12"/>
  <c r="Z113" i="12" s="1"/>
  <c r="N113" i="12"/>
  <c r="L113" i="12"/>
  <c r="B113" i="12"/>
  <c r="X112" i="12"/>
  <c r="Z112" i="12" s="1"/>
  <c r="N112" i="12"/>
  <c r="L112" i="12"/>
  <c r="B112" i="12"/>
  <c r="Z111" i="12"/>
  <c r="X111" i="12"/>
  <c r="L111" i="12"/>
  <c r="N111" i="12" s="1"/>
  <c r="B111" i="12"/>
  <c r="T110" i="12"/>
  <c r="P110" i="12"/>
  <c r="H110" i="12"/>
  <c r="D110" i="12"/>
  <c r="L110" i="12" s="1"/>
  <c r="T108" i="12"/>
  <c r="P108" i="12"/>
  <c r="X108" i="12" s="1"/>
  <c r="N108" i="12"/>
  <c r="L108" i="12"/>
  <c r="H108" i="12"/>
  <c r="D108" i="12"/>
  <c r="B108" i="12"/>
  <c r="T107" i="12"/>
  <c r="P107" i="12"/>
  <c r="H107" i="12"/>
  <c r="N107" i="12" s="1"/>
  <c r="D107" i="12"/>
  <c r="B107" i="12"/>
  <c r="T106" i="12"/>
  <c r="P106" i="12"/>
  <c r="L106" i="12"/>
  <c r="N106" i="12" s="1"/>
  <c r="H106" i="12"/>
  <c r="D106" i="12"/>
  <c r="B106" i="12"/>
  <c r="X105" i="12"/>
  <c r="T105" i="12"/>
  <c r="P105" i="12"/>
  <c r="L105" i="12"/>
  <c r="H105" i="12"/>
  <c r="D105" i="12"/>
  <c r="B105" i="12"/>
  <c r="T104" i="12"/>
  <c r="P104" i="12"/>
  <c r="N104" i="12"/>
  <c r="L104" i="12"/>
  <c r="H104" i="12"/>
  <c r="D104" i="12"/>
  <c r="B104" i="12"/>
  <c r="T103" i="12"/>
  <c r="P103" i="12"/>
  <c r="H103" i="12"/>
  <c r="N103" i="12" s="1"/>
  <c r="D103" i="12"/>
  <c r="L103" i="12" s="1"/>
  <c r="B103" i="12"/>
  <c r="T102" i="12"/>
  <c r="P102" i="12"/>
  <c r="X102" i="12" s="1"/>
  <c r="L102" i="12"/>
  <c r="N102" i="12" s="1"/>
  <c r="H102" i="12"/>
  <c r="D102" i="12"/>
  <c r="B102" i="12"/>
  <c r="Z101" i="12"/>
  <c r="X101" i="12"/>
  <c r="T101" i="12"/>
  <c r="P101" i="12"/>
  <c r="L101" i="12"/>
  <c r="H101" i="12"/>
  <c r="N101" i="12" s="1"/>
  <c r="D101" i="12"/>
  <c r="B101" i="12"/>
  <c r="T100" i="12"/>
  <c r="P100" i="12"/>
  <c r="X100" i="12" s="1"/>
  <c r="L100" i="12"/>
  <c r="N100" i="12" s="1"/>
  <c r="H100" i="12"/>
  <c r="D100" i="12"/>
  <c r="B100" i="12"/>
  <c r="X99" i="12"/>
  <c r="T99" i="12"/>
  <c r="P99" i="12"/>
  <c r="H99" i="12"/>
  <c r="N99" i="12" s="1"/>
  <c r="D99" i="12"/>
  <c r="L99" i="12" s="1"/>
  <c r="B99" i="12"/>
  <c r="T98" i="12"/>
  <c r="P98" i="12"/>
  <c r="X98" i="12" s="1"/>
  <c r="N98" i="12"/>
  <c r="L98" i="12"/>
  <c r="H98" i="12"/>
  <c r="D98" i="12"/>
  <c r="B98" i="12"/>
  <c r="X97" i="12"/>
  <c r="Z97" i="12" s="1"/>
  <c r="T97" i="12"/>
  <c r="P97" i="12"/>
  <c r="H97" i="12"/>
  <c r="N97" i="12" s="1"/>
  <c r="D97" i="12"/>
  <c r="L97" i="12" s="1"/>
  <c r="B97" i="12"/>
  <c r="T96" i="12"/>
  <c r="P96" i="12"/>
  <c r="N96" i="12"/>
  <c r="L96" i="12"/>
  <c r="H96" i="12"/>
  <c r="D96" i="12"/>
  <c r="B96" i="12"/>
  <c r="X95" i="12"/>
  <c r="T95" i="12"/>
  <c r="P95" i="12"/>
  <c r="L95" i="12"/>
  <c r="H95" i="12"/>
  <c r="N95" i="12" s="1"/>
  <c r="D95" i="12"/>
  <c r="B95" i="12"/>
  <c r="T94" i="12"/>
  <c r="P94" i="12"/>
  <c r="L94" i="12"/>
  <c r="N94" i="12" s="1"/>
  <c r="H94" i="12"/>
  <c r="D94" i="12"/>
  <c r="B94" i="12"/>
  <c r="X93" i="12"/>
  <c r="T93" i="12"/>
  <c r="P93" i="12"/>
  <c r="H93" i="12"/>
  <c r="D93" i="12"/>
  <c r="L93" i="12" s="1"/>
  <c r="B93" i="12"/>
  <c r="T92" i="12"/>
  <c r="P92" i="12"/>
  <c r="N92" i="12"/>
  <c r="L92" i="12"/>
  <c r="H92" i="12"/>
  <c r="D92" i="12"/>
  <c r="B92" i="12"/>
  <c r="X91" i="12"/>
  <c r="T91" i="12"/>
  <c r="P91" i="12"/>
  <c r="L91" i="12"/>
  <c r="H91" i="12"/>
  <c r="D91" i="12"/>
  <c r="B91" i="12"/>
  <c r="T90" i="12"/>
  <c r="P90" i="12"/>
  <c r="L90" i="12"/>
  <c r="N90" i="12" s="1"/>
  <c r="H90" i="12"/>
  <c r="D90" i="12"/>
  <c r="B90" i="12"/>
  <c r="Z89" i="12"/>
  <c r="X89" i="12"/>
  <c r="T89" i="12"/>
  <c r="P89" i="12"/>
  <c r="H89" i="12"/>
  <c r="N89" i="12" s="1"/>
  <c r="D89" i="12"/>
  <c r="L89" i="12" s="1"/>
  <c r="B89" i="12"/>
  <c r="T88" i="12"/>
  <c r="P88" i="12"/>
  <c r="N88" i="12"/>
  <c r="L88" i="12"/>
  <c r="H88" i="12"/>
  <c r="D88" i="12"/>
  <c r="B88" i="12"/>
  <c r="X87" i="12"/>
  <c r="T87" i="12"/>
  <c r="P87" i="12"/>
  <c r="H87" i="12"/>
  <c r="D87" i="12"/>
  <c r="L87" i="12" s="1"/>
  <c r="B87" i="12"/>
  <c r="T86" i="12"/>
  <c r="P86" i="12"/>
  <c r="N86" i="12"/>
  <c r="L86" i="12"/>
  <c r="H86" i="12"/>
  <c r="D86" i="12"/>
  <c r="B86" i="12"/>
  <c r="Z85" i="12"/>
  <c r="X85" i="12"/>
  <c r="T85" i="12"/>
  <c r="P85" i="12"/>
  <c r="L85" i="12"/>
  <c r="H85" i="12"/>
  <c r="D85" i="12"/>
  <c r="B85" i="12"/>
  <c r="T84" i="12"/>
  <c r="P84" i="12"/>
  <c r="N84" i="12"/>
  <c r="L84" i="12"/>
  <c r="H84" i="12"/>
  <c r="D84" i="12"/>
  <c r="B84" i="12"/>
  <c r="X83" i="12"/>
  <c r="T83" i="12"/>
  <c r="P83" i="12"/>
  <c r="H83" i="12"/>
  <c r="N83" i="12" s="1"/>
  <c r="D83" i="12"/>
  <c r="L83" i="12" s="1"/>
  <c r="B83" i="12"/>
  <c r="T82" i="12"/>
  <c r="P82" i="12"/>
  <c r="N82" i="12"/>
  <c r="L82" i="12"/>
  <c r="H82" i="12"/>
  <c r="D82" i="12"/>
  <c r="B82" i="12"/>
  <c r="T81" i="12"/>
  <c r="X81" i="12" s="1"/>
  <c r="P81" i="12"/>
  <c r="L81" i="12"/>
  <c r="H81" i="12"/>
  <c r="N81" i="12" s="1"/>
  <c r="D81" i="12"/>
  <c r="B81" i="12"/>
  <c r="T80" i="12"/>
  <c r="P80" i="12"/>
  <c r="N80" i="12"/>
  <c r="L80" i="12"/>
  <c r="H80" i="12"/>
  <c r="D80" i="12"/>
  <c r="B80" i="12"/>
  <c r="X79" i="12"/>
  <c r="T79" i="12"/>
  <c r="P79" i="12"/>
  <c r="H79" i="12"/>
  <c r="N79" i="12" s="1"/>
  <c r="D79" i="12"/>
  <c r="L79" i="12" s="1"/>
  <c r="B79" i="12"/>
  <c r="T78" i="12"/>
  <c r="P78" i="12"/>
  <c r="N78" i="12"/>
  <c r="L78" i="12"/>
  <c r="H78" i="12"/>
  <c r="D78" i="12"/>
  <c r="B78" i="12"/>
  <c r="T77" i="12"/>
  <c r="P77" i="12"/>
  <c r="H77" i="12"/>
  <c r="D77" i="12"/>
  <c r="L77" i="12" s="1"/>
  <c r="B77" i="12"/>
  <c r="T76" i="12"/>
  <c r="P76" i="12"/>
  <c r="X76" i="12" s="1"/>
  <c r="N76" i="12"/>
  <c r="L76" i="12"/>
  <c r="H76" i="12"/>
  <c r="D76" i="12"/>
  <c r="B76" i="12"/>
  <c r="X75" i="12"/>
  <c r="T75" i="12"/>
  <c r="P75" i="12"/>
  <c r="L75" i="12"/>
  <c r="H75" i="12"/>
  <c r="D75" i="12"/>
  <c r="B75" i="12"/>
  <c r="T74" i="12"/>
  <c r="P74" i="12"/>
  <c r="N74" i="12"/>
  <c r="L74" i="12"/>
  <c r="H74" i="12"/>
  <c r="D74" i="12"/>
  <c r="B74" i="12"/>
  <c r="Z73" i="12"/>
  <c r="X73" i="12"/>
  <c r="T73" i="12"/>
  <c r="P73" i="12"/>
  <c r="L73" i="12"/>
  <c r="H73" i="12"/>
  <c r="D73" i="12"/>
  <c r="B73" i="12"/>
  <c r="T72" i="12"/>
  <c r="P72" i="12"/>
  <c r="X72" i="12" s="1"/>
  <c r="N72" i="12"/>
  <c r="L72" i="12"/>
  <c r="H72" i="12"/>
  <c r="D72" i="12"/>
  <c r="B72" i="12"/>
  <c r="T71" i="12"/>
  <c r="P71" i="12"/>
  <c r="H71" i="12"/>
  <c r="N71" i="12" s="1"/>
  <c r="D71" i="12"/>
  <c r="B71" i="12"/>
  <c r="T70" i="12"/>
  <c r="P70" i="12"/>
  <c r="N70" i="12"/>
  <c r="L70" i="12"/>
  <c r="H70" i="12"/>
  <c r="D70" i="12"/>
  <c r="B70" i="12"/>
  <c r="Z69" i="12"/>
  <c r="T69" i="12"/>
  <c r="X69" i="12" s="1"/>
  <c r="P69" i="12"/>
  <c r="L69" i="12"/>
  <c r="H69" i="12"/>
  <c r="N69" i="12" s="1"/>
  <c r="D69" i="12"/>
  <c r="B69" i="12"/>
  <c r="T68" i="12"/>
  <c r="P68" i="12"/>
  <c r="L68" i="12"/>
  <c r="N68" i="12" s="1"/>
  <c r="H68" i="12"/>
  <c r="D68" i="12"/>
  <c r="B68" i="12"/>
  <c r="T67" i="12"/>
  <c r="P67" i="12"/>
  <c r="H67" i="12"/>
  <c r="D67" i="12"/>
  <c r="L67" i="12" s="1"/>
  <c r="B67" i="12"/>
  <c r="T66" i="12"/>
  <c r="P66" i="12"/>
  <c r="X66" i="12" s="1"/>
  <c r="N66" i="12"/>
  <c r="L66" i="12"/>
  <c r="H66" i="12"/>
  <c r="D66" i="12"/>
  <c r="B66" i="12"/>
  <c r="Z65" i="12"/>
  <c r="T65" i="12"/>
  <c r="X65" i="12" s="1"/>
  <c r="P65" i="12"/>
  <c r="H65" i="12"/>
  <c r="D65" i="12"/>
  <c r="L65" i="12" s="1"/>
  <c r="B65" i="12"/>
  <c r="T64" i="12"/>
  <c r="P64" i="12"/>
  <c r="X64" i="12" s="1"/>
  <c r="L64" i="12"/>
  <c r="N64" i="12" s="1"/>
  <c r="H64" i="12"/>
  <c r="D64" i="12"/>
  <c r="B64" i="12"/>
  <c r="X63" i="12"/>
  <c r="T63" i="12"/>
  <c r="P63" i="12"/>
  <c r="L63" i="12"/>
  <c r="H63" i="12"/>
  <c r="N63" i="12" s="1"/>
  <c r="D63" i="12"/>
  <c r="B63" i="12"/>
  <c r="T62" i="12"/>
  <c r="P62" i="12"/>
  <c r="X62" i="12" s="1"/>
  <c r="N62" i="12"/>
  <c r="L62" i="12"/>
  <c r="H62" i="12"/>
  <c r="D62" i="12"/>
  <c r="B62" i="12"/>
  <c r="X61" i="12"/>
  <c r="T61" i="12"/>
  <c r="Z61" i="12" s="1"/>
  <c r="P61" i="12"/>
  <c r="H61" i="12"/>
  <c r="D61" i="12"/>
  <c r="L61" i="12" s="1"/>
  <c r="B61" i="12"/>
  <c r="T60" i="12"/>
  <c r="P60" i="12"/>
  <c r="X60" i="12" s="1"/>
  <c r="L60" i="12"/>
  <c r="N60" i="12" s="1"/>
  <c r="H60" i="12"/>
  <c r="D60" i="12"/>
  <c r="B60" i="12"/>
  <c r="T59" i="12"/>
  <c r="P59" i="12"/>
  <c r="H59" i="12"/>
  <c r="N59" i="12" s="1"/>
  <c r="D59" i="12"/>
  <c r="B59" i="12"/>
  <c r="T58" i="12"/>
  <c r="P58" i="12"/>
  <c r="X58" i="12" s="1"/>
  <c r="N58" i="12"/>
  <c r="L58" i="12"/>
  <c r="H58" i="12"/>
  <c r="D58" i="12"/>
  <c r="B58" i="12"/>
  <c r="X57" i="12"/>
  <c r="T57" i="12"/>
  <c r="P57" i="12"/>
  <c r="L57" i="12"/>
  <c r="H57" i="12"/>
  <c r="D57" i="12"/>
  <c r="B57" i="12"/>
  <c r="T56" i="12"/>
  <c r="P56" i="12"/>
  <c r="N56" i="12"/>
  <c r="L56" i="12"/>
  <c r="H56" i="12"/>
  <c r="D56" i="12"/>
  <c r="B56" i="12"/>
  <c r="T55" i="12"/>
  <c r="P55" i="12"/>
  <c r="H55" i="12"/>
  <c r="D55" i="12"/>
  <c r="L55" i="12" s="1"/>
  <c r="B55" i="12"/>
  <c r="T54" i="12"/>
  <c r="P54" i="12"/>
  <c r="X54" i="12" s="1"/>
  <c r="N54" i="12"/>
  <c r="L54" i="12"/>
  <c r="H54" i="12"/>
  <c r="D54" i="12"/>
  <c r="B54" i="12"/>
  <c r="X53" i="12"/>
  <c r="Z53" i="12" s="1"/>
  <c r="T53" i="12"/>
  <c r="P53" i="12"/>
  <c r="L53" i="12"/>
  <c r="H53" i="12"/>
  <c r="D53" i="12"/>
  <c r="B53" i="12"/>
  <c r="T52" i="12"/>
  <c r="P52" i="12"/>
  <c r="L52" i="12"/>
  <c r="N52" i="12" s="1"/>
  <c r="H52" i="12"/>
  <c r="D52" i="12"/>
  <c r="B52" i="12"/>
  <c r="X51" i="12"/>
  <c r="T51" i="12"/>
  <c r="P51" i="12"/>
  <c r="H51" i="12"/>
  <c r="N51" i="12" s="1"/>
  <c r="D51" i="12"/>
  <c r="L51" i="12" s="1"/>
  <c r="B51" i="12"/>
  <c r="T50" i="12"/>
  <c r="P50" i="12"/>
  <c r="X50" i="12" s="1"/>
  <c r="L50" i="12"/>
  <c r="N50" i="12" s="1"/>
  <c r="H50" i="12"/>
  <c r="D50" i="12"/>
  <c r="B50" i="12"/>
  <c r="X49" i="12"/>
  <c r="Z49" i="12" s="1"/>
  <c r="T49" i="12"/>
  <c r="P49" i="12"/>
  <c r="L49" i="12"/>
  <c r="H49" i="12"/>
  <c r="D49" i="12"/>
  <c r="B49" i="12"/>
  <c r="T48" i="12"/>
  <c r="P48" i="12"/>
  <c r="N48" i="12"/>
  <c r="L48" i="12"/>
  <c r="H48" i="12"/>
  <c r="D48" i="12"/>
  <c r="B48" i="12"/>
  <c r="X47" i="12"/>
  <c r="Z47" i="12" s="1"/>
  <c r="T47" i="12"/>
  <c r="P47" i="12"/>
  <c r="L47" i="12"/>
  <c r="H47" i="12"/>
  <c r="D47" i="12"/>
  <c r="B47" i="12"/>
  <c r="T46" i="12"/>
  <c r="P46" i="12"/>
  <c r="N46" i="12"/>
  <c r="L46" i="12"/>
  <c r="H46" i="12"/>
  <c r="D46" i="12"/>
  <c r="B46" i="12"/>
  <c r="Z45" i="12"/>
  <c r="X45" i="12"/>
  <c r="T45" i="12"/>
  <c r="P45" i="12"/>
  <c r="L45" i="12"/>
  <c r="H45" i="12"/>
  <c r="D45" i="12"/>
  <c r="B45" i="12"/>
  <c r="T44" i="12"/>
  <c r="P44" i="12"/>
  <c r="X44" i="12" s="1"/>
  <c r="N44" i="12"/>
  <c r="L44" i="12"/>
  <c r="H44" i="12"/>
  <c r="D44" i="12"/>
  <c r="B44" i="12"/>
  <c r="X43" i="12"/>
  <c r="T43" i="12"/>
  <c r="Z43" i="12" s="1"/>
  <c r="P43" i="12"/>
  <c r="H43" i="12"/>
  <c r="D43" i="12"/>
  <c r="L43" i="12" s="1"/>
  <c r="B43" i="12"/>
  <c r="T42" i="12"/>
  <c r="P42" i="12"/>
  <c r="X42" i="12" s="1"/>
  <c r="L42" i="12"/>
  <c r="N42" i="12" s="1"/>
  <c r="H42" i="12"/>
  <c r="D42" i="12"/>
  <c r="B42" i="12"/>
  <c r="X41" i="12"/>
  <c r="Z41" i="12" s="1"/>
  <c r="T41" i="12"/>
  <c r="P41" i="12"/>
  <c r="L41" i="12"/>
  <c r="H41" i="12"/>
  <c r="D41" i="12"/>
  <c r="B41" i="12"/>
  <c r="T40" i="12"/>
  <c r="P40" i="12"/>
  <c r="N40" i="12"/>
  <c r="L40" i="12"/>
  <c r="H40" i="12"/>
  <c r="D40" i="12"/>
  <c r="B40" i="12"/>
  <c r="X39" i="12"/>
  <c r="Z39" i="12" s="1"/>
  <c r="T39" i="12"/>
  <c r="P39" i="12"/>
  <c r="L39" i="12"/>
  <c r="H39" i="12"/>
  <c r="D39" i="12"/>
  <c r="B39" i="12"/>
  <c r="T38" i="12"/>
  <c r="P38" i="12"/>
  <c r="N38" i="12"/>
  <c r="L38" i="12"/>
  <c r="H38" i="12"/>
  <c r="D38" i="12"/>
  <c r="B38" i="12"/>
  <c r="Z37" i="12"/>
  <c r="X37" i="12"/>
  <c r="T37" i="12"/>
  <c r="P37" i="12"/>
  <c r="L37" i="12"/>
  <c r="H37" i="12"/>
  <c r="D37" i="12"/>
  <c r="B37" i="12"/>
  <c r="T36" i="12"/>
  <c r="P36" i="12"/>
  <c r="X36" i="12" s="1"/>
  <c r="N36" i="12"/>
  <c r="H36" i="12"/>
  <c r="D36" i="12"/>
  <c r="L36" i="12" s="1"/>
  <c r="B36" i="12"/>
  <c r="X35" i="12"/>
  <c r="T35" i="12"/>
  <c r="Z35" i="12" s="1"/>
  <c r="P35" i="12"/>
  <c r="H35" i="12"/>
  <c r="D35" i="12"/>
  <c r="L35" i="12" s="1"/>
  <c r="B35" i="12"/>
  <c r="T34" i="12"/>
  <c r="P34" i="12"/>
  <c r="H34" i="12"/>
  <c r="L34" i="12" s="1"/>
  <c r="D34" i="12"/>
  <c r="B34" i="12"/>
  <c r="T33" i="12"/>
  <c r="P33" i="12"/>
  <c r="L33" i="12"/>
  <c r="H33" i="12"/>
  <c r="N33" i="12" s="1"/>
  <c r="D33" i="12"/>
  <c r="B33" i="12"/>
  <c r="Z32" i="12"/>
  <c r="X32" i="12"/>
  <c r="T32" i="12"/>
  <c r="P32" i="12"/>
  <c r="L32" i="12"/>
  <c r="H32" i="12"/>
  <c r="D32" i="12"/>
  <c r="B32" i="12"/>
  <c r="T31" i="12"/>
  <c r="P31" i="12"/>
  <c r="X31" i="12" s="1"/>
  <c r="Z31" i="12" s="1"/>
  <c r="H31" i="12"/>
  <c r="L31" i="12" s="1"/>
  <c r="N31" i="12" s="1"/>
  <c r="D31" i="12"/>
  <c r="B31" i="12"/>
  <c r="Z30" i="12"/>
  <c r="T30" i="12"/>
  <c r="P30" i="12"/>
  <c r="X30" i="12" s="1"/>
  <c r="H30" i="12"/>
  <c r="N30" i="12" s="1"/>
  <c r="D30" i="12"/>
  <c r="L30" i="12" s="1"/>
  <c r="B30" i="12"/>
  <c r="T29" i="12"/>
  <c r="P29" i="12"/>
  <c r="L29" i="12"/>
  <c r="H29" i="12"/>
  <c r="D29" i="12"/>
  <c r="B29" i="12"/>
  <c r="Z28" i="12"/>
  <c r="X28" i="12"/>
  <c r="T28" i="12"/>
  <c r="P28" i="12"/>
  <c r="H28" i="12"/>
  <c r="D28" i="12"/>
  <c r="B28" i="12"/>
  <c r="T27" i="12"/>
  <c r="P27" i="12"/>
  <c r="X27" i="12" s="1"/>
  <c r="Z27" i="12" s="1"/>
  <c r="H27" i="12"/>
  <c r="L27" i="12" s="1"/>
  <c r="N27" i="12" s="1"/>
  <c r="D27" i="12"/>
  <c r="B27" i="12"/>
  <c r="T26" i="12"/>
  <c r="P26" i="12"/>
  <c r="H26" i="12"/>
  <c r="D26" i="12"/>
  <c r="L26" i="12" s="1"/>
  <c r="B26" i="12"/>
  <c r="T25" i="12"/>
  <c r="P25" i="12"/>
  <c r="X25" i="12" s="1"/>
  <c r="L25" i="12"/>
  <c r="H25" i="12"/>
  <c r="D25" i="12"/>
  <c r="B25" i="12"/>
  <c r="Z24" i="12"/>
  <c r="X24" i="12"/>
  <c r="T24" i="12"/>
  <c r="P24" i="12"/>
  <c r="H24" i="12"/>
  <c r="L24" i="12" s="1"/>
  <c r="D24" i="12"/>
  <c r="B24" i="12"/>
  <c r="T23" i="12"/>
  <c r="P23" i="12"/>
  <c r="X23" i="12" s="1"/>
  <c r="Z23" i="12" s="1"/>
  <c r="N23" i="12"/>
  <c r="H23" i="12"/>
  <c r="L23" i="12" s="1"/>
  <c r="D23" i="12"/>
  <c r="B23" i="12"/>
  <c r="T22" i="12"/>
  <c r="P22" i="12"/>
  <c r="X22" i="12" s="1"/>
  <c r="Z22" i="12" s="1"/>
  <c r="H22" i="12"/>
  <c r="N22" i="12" s="1"/>
  <c r="D22" i="12"/>
  <c r="L22" i="12" s="1"/>
  <c r="B22" i="12"/>
  <c r="T21" i="12"/>
  <c r="P21" i="12"/>
  <c r="L21" i="12"/>
  <c r="H21" i="12"/>
  <c r="N21" i="12" s="1"/>
  <c r="D21" i="12"/>
  <c r="B21" i="12"/>
  <c r="Z20" i="12"/>
  <c r="X20" i="12"/>
  <c r="T20" i="12"/>
  <c r="P20" i="12"/>
  <c r="H20" i="12"/>
  <c r="D20" i="12"/>
  <c r="B20" i="12"/>
  <c r="T19" i="12"/>
  <c r="P19" i="12"/>
  <c r="X19" i="12" s="1"/>
  <c r="H19" i="12"/>
  <c r="L19" i="12" s="1"/>
  <c r="N19" i="12" s="1"/>
  <c r="D19" i="12"/>
  <c r="B19" i="12"/>
  <c r="T18" i="12"/>
  <c r="Z18" i="12" s="1"/>
  <c r="P18" i="12"/>
  <c r="X18" i="12" s="1"/>
  <c r="H18" i="12"/>
  <c r="D18" i="12"/>
  <c r="L18" i="12" s="1"/>
  <c r="B18" i="12"/>
  <c r="T17" i="12"/>
  <c r="P17" i="12"/>
  <c r="X17" i="12" s="1"/>
  <c r="L17" i="12"/>
  <c r="H17" i="12"/>
  <c r="N17" i="12" s="1"/>
  <c r="D17" i="12"/>
  <c r="B17" i="12"/>
  <c r="Z16" i="12"/>
  <c r="X16" i="12"/>
  <c r="T16" i="12"/>
  <c r="P16" i="12"/>
  <c r="L16" i="12"/>
  <c r="H16" i="12"/>
  <c r="D16" i="12"/>
  <c r="B16" i="12"/>
  <c r="T15" i="12"/>
  <c r="Z15" i="12" s="1"/>
  <c r="P15" i="12"/>
  <c r="X15" i="12" s="1"/>
  <c r="H15" i="12"/>
  <c r="L15" i="12" s="1"/>
  <c r="N15" i="12" s="1"/>
  <c r="D15" i="12"/>
  <c r="B15" i="12"/>
  <c r="T14" i="12"/>
  <c r="P14" i="12"/>
  <c r="H14" i="12"/>
  <c r="N14" i="12" s="1"/>
  <c r="D14" i="12"/>
  <c r="L14" i="12" s="1"/>
  <c r="B14" i="12"/>
  <c r="T13" i="12"/>
  <c r="P13" i="12"/>
  <c r="L13" i="12"/>
  <c r="H13" i="12"/>
  <c r="N13" i="12" s="1"/>
  <c r="D13" i="12"/>
  <c r="B13" i="12"/>
  <c r="H12" i="12"/>
  <c r="J182" i="12" s="1"/>
  <c r="D4" i="12"/>
  <c r="V98" i="9"/>
  <c r="V95" i="9"/>
  <c r="Z93" i="9"/>
  <c r="X93" i="9"/>
  <c r="V93" i="9"/>
  <c r="N93" i="9"/>
  <c r="L93" i="9"/>
  <c r="F93" i="9"/>
  <c r="F91" i="9"/>
  <c r="X89" i="9"/>
  <c r="T89" i="9"/>
  <c r="Z89" i="9" s="1"/>
  <c r="P89" i="9"/>
  <c r="N89" i="9"/>
  <c r="H89" i="9"/>
  <c r="F89" i="9"/>
  <c r="D89" i="9"/>
  <c r="L89" i="9" s="1"/>
  <c r="X87" i="9"/>
  <c r="Z87" i="9" s="1"/>
  <c r="N87" i="9"/>
  <c r="L87" i="9"/>
  <c r="B87" i="9"/>
  <c r="X86" i="9"/>
  <c r="Z86" i="9" s="1"/>
  <c r="V86" i="9"/>
  <c r="N86" i="9"/>
  <c r="L86" i="9"/>
  <c r="B86" i="9"/>
  <c r="V85" i="9"/>
  <c r="T85" i="9"/>
  <c r="R85" i="9"/>
  <c r="P85" i="9"/>
  <c r="X85" i="9" s="1"/>
  <c r="Z85" i="9" s="1"/>
  <c r="L85" i="9"/>
  <c r="H85" i="9"/>
  <c r="N85" i="9" s="1"/>
  <c r="D85" i="9"/>
  <c r="B85" i="9"/>
  <c r="X84" i="9"/>
  <c r="Z84" i="9" s="1"/>
  <c r="R84" i="9"/>
  <c r="N84" i="9"/>
  <c r="L84" i="9"/>
  <c r="J84" i="9"/>
  <c r="B84" i="9"/>
  <c r="X83" i="9"/>
  <c r="V83" i="9"/>
  <c r="T83" i="9"/>
  <c r="Z83" i="9" s="1"/>
  <c r="P83" i="9"/>
  <c r="H83" i="9"/>
  <c r="L83" i="9" s="1"/>
  <c r="N83" i="9" s="1"/>
  <c r="D83" i="9"/>
  <c r="B83" i="9"/>
  <c r="Z82" i="9"/>
  <c r="X82" i="9"/>
  <c r="L82" i="9"/>
  <c r="N82" i="9" s="1"/>
  <c r="B82" i="9"/>
  <c r="X81" i="9"/>
  <c r="Z81" i="9" s="1"/>
  <c r="N81" i="9"/>
  <c r="L81" i="9"/>
  <c r="B81" i="9"/>
  <c r="V80" i="9"/>
  <c r="T80" i="9"/>
  <c r="P80" i="9"/>
  <c r="X80" i="9" s="1"/>
  <c r="Z80" i="9" s="1"/>
  <c r="H80" i="9"/>
  <c r="D80" i="9"/>
  <c r="L80" i="9" s="1"/>
  <c r="N80" i="9" s="1"/>
  <c r="B80" i="9"/>
  <c r="X79" i="9"/>
  <c r="Z79" i="9" s="1"/>
  <c r="L79" i="9"/>
  <c r="N79" i="9" s="1"/>
  <c r="B79" i="9"/>
  <c r="X78" i="9"/>
  <c r="Z78" i="9" s="1"/>
  <c r="V78" i="9"/>
  <c r="N78" i="9"/>
  <c r="L78" i="9"/>
  <c r="B78" i="9"/>
  <c r="Z77" i="9"/>
  <c r="X77" i="9"/>
  <c r="V77" i="9"/>
  <c r="N77" i="9"/>
  <c r="L77" i="9"/>
  <c r="F77" i="9"/>
  <c r="B77" i="9"/>
  <c r="Z76" i="9"/>
  <c r="X76" i="9"/>
  <c r="V76" i="9"/>
  <c r="N76" i="9"/>
  <c r="L76" i="9"/>
  <c r="F76" i="9"/>
  <c r="B76" i="9"/>
  <c r="X75" i="9"/>
  <c r="Z75" i="9" s="1"/>
  <c r="L75" i="9"/>
  <c r="N75" i="9" s="1"/>
  <c r="B75" i="9"/>
  <c r="X74" i="9"/>
  <c r="V74" i="9"/>
  <c r="T74" i="9"/>
  <c r="Z74" i="9" s="1"/>
  <c r="R74" i="9"/>
  <c r="P74" i="9"/>
  <c r="H74" i="9"/>
  <c r="N74" i="9" s="1"/>
  <c r="D74" i="9"/>
  <c r="L74" i="9" s="1"/>
  <c r="B74" i="9"/>
  <c r="Z73" i="9"/>
  <c r="X73" i="9"/>
  <c r="R73" i="9"/>
  <c r="N73" i="9"/>
  <c r="L73" i="9"/>
  <c r="F73" i="9"/>
  <c r="B73" i="9"/>
  <c r="T72" i="9"/>
  <c r="R72" i="9"/>
  <c r="P72" i="9"/>
  <c r="H72" i="9"/>
  <c r="F72" i="9"/>
  <c r="D72" i="9"/>
  <c r="L72" i="9" s="1"/>
  <c r="N72" i="9" s="1"/>
  <c r="B72" i="9"/>
  <c r="Z71" i="9"/>
  <c r="X71" i="9"/>
  <c r="V71" i="9"/>
  <c r="R71" i="9"/>
  <c r="L71" i="9"/>
  <c r="N71" i="9" s="1"/>
  <c r="B71" i="9"/>
  <c r="Z70" i="9"/>
  <c r="X70" i="9"/>
  <c r="L70" i="9"/>
  <c r="N70" i="9" s="1"/>
  <c r="J70" i="9"/>
  <c r="B70" i="9"/>
  <c r="T69" i="9"/>
  <c r="Z69" i="9" s="1"/>
  <c r="P69" i="9"/>
  <c r="X69" i="9" s="1"/>
  <c r="H69" i="9"/>
  <c r="D69" i="9"/>
  <c r="L69" i="9" s="1"/>
  <c r="B69" i="9"/>
  <c r="X68" i="9"/>
  <c r="Z68" i="9" s="1"/>
  <c r="V68" i="9"/>
  <c r="L68" i="9"/>
  <c r="N68" i="9" s="1"/>
  <c r="F68" i="9"/>
  <c r="B68" i="9"/>
  <c r="X67" i="9"/>
  <c r="Z67" i="9" s="1"/>
  <c r="L67" i="9"/>
  <c r="N67" i="9" s="1"/>
  <c r="B67" i="9"/>
  <c r="X66" i="9"/>
  <c r="Z66" i="9" s="1"/>
  <c r="V66" i="9"/>
  <c r="N66" i="9"/>
  <c r="L66" i="9"/>
  <c r="B66" i="9"/>
  <c r="V65" i="9"/>
  <c r="T65" i="9"/>
  <c r="R65" i="9"/>
  <c r="P65" i="9"/>
  <c r="X65" i="9" s="1"/>
  <c r="Z65" i="9" s="1"/>
  <c r="L65" i="9"/>
  <c r="H65" i="9"/>
  <c r="D65" i="9"/>
  <c r="B65" i="9"/>
  <c r="X64" i="9"/>
  <c r="Z64" i="9" s="1"/>
  <c r="R64" i="9"/>
  <c r="N64" i="9"/>
  <c r="L64" i="9"/>
  <c r="B64" i="9"/>
  <c r="X63" i="9"/>
  <c r="Z63" i="9" s="1"/>
  <c r="V63" i="9"/>
  <c r="N63" i="9"/>
  <c r="L63" i="9"/>
  <c r="F63" i="9"/>
  <c r="B63" i="9"/>
  <c r="Z62" i="9"/>
  <c r="X62" i="9"/>
  <c r="N62" i="9"/>
  <c r="L62" i="9"/>
  <c r="F62" i="9"/>
  <c r="B62" i="9"/>
  <c r="Z61" i="9"/>
  <c r="X61" i="9"/>
  <c r="R61" i="9"/>
  <c r="N61" i="9"/>
  <c r="L61" i="9"/>
  <c r="F61" i="9"/>
  <c r="B61" i="9"/>
  <c r="T60" i="9"/>
  <c r="R60" i="9"/>
  <c r="P60" i="9"/>
  <c r="H60" i="9"/>
  <c r="F60" i="9"/>
  <c r="D60" i="9"/>
  <c r="L60" i="9" s="1"/>
  <c r="N60" i="9" s="1"/>
  <c r="B60" i="9"/>
  <c r="Z59" i="9"/>
  <c r="X59" i="9"/>
  <c r="V59" i="9"/>
  <c r="R59" i="9"/>
  <c r="L59" i="9"/>
  <c r="N59" i="9" s="1"/>
  <c r="B59" i="9"/>
  <c r="T58" i="9"/>
  <c r="P58" i="9"/>
  <c r="X58" i="9" s="1"/>
  <c r="Z58" i="9" s="1"/>
  <c r="N58" i="9"/>
  <c r="J58" i="9"/>
  <c r="H58" i="9"/>
  <c r="D58" i="9"/>
  <c r="L58" i="9" s="1"/>
  <c r="B58" i="9"/>
  <c r="Z57" i="9"/>
  <c r="X57" i="9"/>
  <c r="V57" i="9"/>
  <c r="N57" i="9"/>
  <c r="L57" i="9"/>
  <c r="F57" i="9"/>
  <c r="B57" i="9"/>
  <c r="V56" i="9"/>
  <c r="T56" i="9"/>
  <c r="Z56" i="9" s="1"/>
  <c r="P56" i="9"/>
  <c r="X56" i="9" s="1"/>
  <c r="L56" i="9"/>
  <c r="H56" i="9"/>
  <c r="F56" i="9"/>
  <c r="D56" i="9"/>
  <c r="B56" i="9"/>
  <c r="X55" i="9"/>
  <c r="Z55" i="9" s="1"/>
  <c r="V55" i="9"/>
  <c r="N55" i="9"/>
  <c r="L55" i="9"/>
  <c r="J55" i="9"/>
  <c r="F55" i="9"/>
  <c r="B55" i="9"/>
  <c r="Z54" i="9"/>
  <c r="X54" i="9"/>
  <c r="N54" i="9"/>
  <c r="L54" i="9"/>
  <c r="F54" i="9"/>
  <c r="B54" i="9"/>
  <c r="T53" i="9"/>
  <c r="P53" i="9"/>
  <c r="L53" i="9"/>
  <c r="H53" i="9"/>
  <c r="N53" i="9" s="1"/>
  <c r="F53" i="9"/>
  <c r="D53" i="9"/>
  <c r="B53" i="9"/>
  <c r="Z52" i="9"/>
  <c r="X52" i="9"/>
  <c r="V52" i="9"/>
  <c r="N52" i="9"/>
  <c r="L52" i="9"/>
  <c r="F52" i="9"/>
  <c r="B52" i="9"/>
  <c r="V51" i="9"/>
  <c r="T51" i="9"/>
  <c r="P51" i="9"/>
  <c r="H51" i="9"/>
  <c r="N51" i="9" s="1"/>
  <c r="F51" i="9"/>
  <c r="D51" i="9"/>
  <c r="L51" i="9" s="1"/>
  <c r="B51" i="9"/>
  <c r="X50" i="9"/>
  <c r="Z50" i="9" s="1"/>
  <c r="V50" i="9"/>
  <c r="N50" i="9"/>
  <c r="L50" i="9"/>
  <c r="B50" i="9"/>
  <c r="V49" i="9"/>
  <c r="T49" i="9"/>
  <c r="R49" i="9"/>
  <c r="P49" i="9"/>
  <c r="X49" i="9" s="1"/>
  <c r="Z49" i="9" s="1"/>
  <c r="L49" i="9"/>
  <c r="N49" i="9" s="1"/>
  <c r="H49" i="9"/>
  <c r="D49" i="9"/>
  <c r="B49" i="9"/>
  <c r="X48" i="9"/>
  <c r="Z48" i="9" s="1"/>
  <c r="R48" i="9"/>
  <c r="N48" i="9"/>
  <c r="L48" i="9"/>
  <c r="B48" i="9"/>
  <c r="X47" i="9"/>
  <c r="V47" i="9"/>
  <c r="T47" i="9"/>
  <c r="Z47" i="9" s="1"/>
  <c r="P47" i="9"/>
  <c r="L47" i="9"/>
  <c r="N47" i="9" s="1"/>
  <c r="H47" i="9"/>
  <c r="D47" i="9"/>
  <c r="B47" i="9"/>
  <c r="Z46" i="9"/>
  <c r="X46" i="9"/>
  <c r="L46" i="9"/>
  <c r="N46" i="9" s="1"/>
  <c r="B46" i="9"/>
  <c r="T45" i="9"/>
  <c r="P45" i="9"/>
  <c r="X45" i="9" s="1"/>
  <c r="H45" i="9"/>
  <c r="D45" i="9"/>
  <c r="B45" i="9"/>
  <c r="X44" i="9"/>
  <c r="Z44" i="9" s="1"/>
  <c r="V44" i="9"/>
  <c r="L44" i="9"/>
  <c r="N44" i="9" s="1"/>
  <c r="F44" i="9"/>
  <c r="B44" i="9"/>
  <c r="X43" i="9"/>
  <c r="T43" i="9"/>
  <c r="Z43" i="9" s="1"/>
  <c r="P43" i="9"/>
  <c r="H43" i="9"/>
  <c r="F43" i="9"/>
  <c r="D43" i="9"/>
  <c r="L43" i="9" s="1"/>
  <c r="N43" i="9" s="1"/>
  <c r="B43" i="9"/>
  <c r="Z42" i="9"/>
  <c r="X42" i="9"/>
  <c r="N42" i="9"/>
  <c r="L42" i="9"/>
  <c r="F42" i="9"/>
  <c r="B42" i="9"/>
  <c r="X41" i="9"/>
  <c r="Z41" i="9" s="1"/>
  <c r="T41" i="9"/>
  <c r="P41" i="9"/>
  <c r="L41" i="9"/>
  <c r="H41" i="9"/>
  <c r="N41" i="9" s="1"/>
  <c r="F41" i="9"/>
  <c r="D41" i="9"/>
  <c r="B41" i="9"/>
  <c r="Z40" i="9"/>
  <c r="X40" i="9"/>
  <c r="V40" i="9"/>
  <c r="N40" i="9"/>
  <c r="L40" i="9"/>
  <c r="F40" i="9"/>
  <c r="B40" i="9"/>
  <c r="V39" i="9"/>
  <c r="T39" i="9"/>
  <c r="P39" i="9"/>
  <c r="X39" i="9" s="1"/>
  <c r="H39" i="9"/>
  <c r="N39" i="9" s="1"/>
  <c r="F39" i="9"/>
  <c r="D39" i="9"/>
  <c r="L39" i="9" s="1"/>
  <c r="B39" i="9"/>
  <c r="X38" i="9"/>
  <c r="Z38" i="9" s="1"/>
  <c r="V38" i="9"/>
  <c r="N38" i="9"/>
  <c r="L38" i="9"/>
  <c r="B38" i="9"/>
  <c r="Z37" i="9"/>
  <c r="X37" i="9"/>
  <c r="V37" i="9"/>
  <c r="N37" i="9"/>
  <c r="L37" i="9"/>
  <c r="F37" i="9"/>
  <c r="B37" i="9"/>
  <c r="Z36" i="9"/>
  <c r="X36" i="9"/>
  <c r="V36" i="9"/>
  <c r="N36" i="9"/>
  <c r="L36" i="9"/>
  <c r="F36" i="9"/>
  <c r="B36" i="9"/>
  <c r="X35" i="9"/>
  <c r="Z35" i="9" s="1"/>
  <c r="L35" i="9"/>
  <c r="N35" i="9" s="1"/>
  <c r="B35" i="9"/>
  <c r="X34" i="9"/>
  <c r="Z34" i="9" s="1"/>
  <c r="V34" i="9"/>
  <c r="N34" i="9"/>
  <c r="L34" i="9"/>
  <c r="B34" i="9"/>
  <c r="Z33" i="9"/>
  <c r="X33" i="9"/>
  <c r="V33" i="9"/>
  <c r="L33" i="9"/>
  <c r="N33" i="9" s="1"/>
  <c r="F33" i="9"/>
  <c r="B33" i="9"/>
  <c r="X32" i="9"/>
  <c r="Z32" i="9" s="1"/>
  <c r="V32" i="9"/>
  <c r="L32" i="9"/>
  <c r="N32" i="9" s="1"/>
  <c r="F32" i="9"/>
  <c r="B32" i="9"/>
  <c r="X31" i="9"/>
  <c r="T31" i="9"/>
  <c r="Z31" i="9" s="1"/>
  <c r="P31" i="9"/>
  <c r="H31" i="9"/>
  <c r="F31" i="9"/>
  <c r="D31" i="9"/>
  <c r="L31" i="9" s="1"/>
  <c r="N31" i="9" s="1"/>
  <c r="B31" i="9"/>
  <c r="Z30" i="9"/>
  <c r="X30" i="9"/>
  <c r="N30" i="9"/>
  <c r="L30" i="9"/>
  <c r="F30" i="9"/>
  <c r="B30" i="9"/>
  <c r="Z29" i="9"/>
  <c r="X29" i="9"/>
  <c r="R29" i="9"/>
  <c r="L29" i="9"/>
  <c r="N29" i="9" s="1"/>
  <c r="F29" i="9"/>
  <c r="B29" i="9"/>
  <c r="X28" i="9"/>
  <c r="Z28" i="9" s="1"/>
  <c r="R28" i="9"/>
  <c r="N28" i="9"/>
  <c r="L28" i="9"/>
  <c r="B28" i="9"/>
  <c r="X27" i="9"/>
  <c r="Z27" i="9" s="1"/>
  <c r="V27" i="9"/>
  <c r="N27" i="9"/>
  <c r="L27" i="9"/>
  <c r="J27" i="9"/>
  <c r="F27" i="9"/>
  <c r="B27" i="9"/>
  <c r="Z26" i="9"/>
  <c r="X26" i="9"/>
  <c r="N26" i="9"/>
  <c r="L26" i="9"/>
  <c r="F26" i="9"/>
  <c r="B26" i="9"/>
  <c r="Z25" i="9"/>
  <c r="X25" i="9"/>
  <c r="R25" i="9"/>
  <c r="L25" i="9"/>
  <c r="N25" i="9" s="1"/>
  <c r="F25" i="9"/>
  <c r="B25" i="9"/>
  <c r="X24" i="9"/>
  <c r="Z24" i="9" s="1"/>
  <c r="R24" i="9"/>
  <c r="N24" i="9"/>
  <c r="L24" i="9"/>
  <c r="B24" i="9"/>
  <c r="X23" i="9"/>
  <c r="Z23" i="9" s="1"/>
  <c r="V23" i="9"/>
  <c r="N23" i="9"/>
  <c r="L23" i="9"/>
  <c r="J23" i="9"/>
  <c r="F23" i="9"/>
  <c r="B23" i="9"/>
  <c r="Z22" i="9"/>
  <c r="X22" i="9"/>
  <c r="N22" i="9"/>
  <c r="L22" i="9"/>
  <c r="F22" i="9"/>
  <c r="B22" i="9"/>
  <c r="X21" i="9"/>
  <c r="Z21" i="9" s="1"/>
  <c r="R21" i="9"/>
  <c r="L21" i="9"/>
  <c r="N21" i="9" s="1"/>
  <c r="F21" i="9"/>
  <c r="B21" i="9"/>
  <c r="X20" i="9"/>
  <c r="Z20" i="9" s="1"/>
  <c r="R20" i="9"/>
  <c r="N20" i="9"/>
  <c r="L20" i="9"/>
  <c r="B20" i="9"/>
  <c r="X19" i="9"/>
  <c r="V19" i="9"/>
  <c r="T19" i="9"/>
  <c r="Z19" i="9" s="1"/>
  <c r="P19" i="9"/>
  <c r="N19" i="9"/>
  <c r="L19" i="9"/>
  <c r="H19" i="9"/>
  <c r="D19" i="9"/>
  <c r="B19" i="9"/>
  <c r="T18" i="9"/>
  <c r="P18" i="9"/>
  <c r="X18" i="9" s="1"/>
  <c r="Z18" i="9" s="1"/>
  <c r="H18" i="9"/>
  <c r="D18" i="9"/>
  <c r="L18" i="9" s="1"/>
  <c r="N18" i="9" s="1"/>
  <c r="P16" i="9"/>
  <c r="Z14" i="9"/>
  <c r="T14" i="9"/>
  <c r="T16" i="9" s="1"/>
  <c r="P14" i="9"/>
  <c r="X14" i="9" s="1"/>
  <c r="N14" i="9"/>
  <c r="J14" i="9"/>
  <c r="H14" i="9"/>
  <c r="F14" i="9"/>
  <c r="D14" i="9"/>
  <c r="D16" i="9" s="1"/>
  <c r="Z12" i="9"/>
  <c r="X12" i="9"/>
  <c r="T12" i="9"/>
  <c r="V81" i="9" s="1"/>
  <c r="P12" i="9"/>
  <c r="R91" i="9" s="1"/>
  <c r="H12" i="9"/>
  <c r="J28" i="9" s="1"/>
  <c r="D12" i="9"/>
  <c r="F86" i="9" s="1"/>
  <c r="D4" i="9"/>
  <c r="V31" i="6"/>
  <c r="R31" i="6"/>
  <c r="X29" i="6"/>
  <c r="Z29" i="6" s="1"/>
  <c r="V29" i="6"/>
  <c r="T29" i="6"/>
  <c r="R29" i="6"/>
  <c r="P29" i="6"/>
  <c r="H29" i="6"/>
  <c r="L29" i="6" s="1"/>
  <c r="N29" i="6" s="1"/>
  <c r="D29" i="6"/>
  <c r="X28" i="6"/>
  <c r="Z28" i="6" s="1"/>
  <c r="V28" i="6"/>
  <c r="T28" i="6"/>
  <c r="R28" i="6"/>
  <c r="P28" i="6"/>
  <c r="H28" i="6"/>
  <c r="L28" i="6" s="1"/>
  <c r="N28" i="6" s="1"/>
  <c r="D28" i="6"/>
  <c r="V26" i="6"/>
  <c r="R26" i="6"/>
  <c r="Z24" i="6"/>
  <c r="X24" i="6"/>
  <c r="V24" i="6"/>
  <c r="N24" i="6"/>
  <c r="L24" i="6"/>
  <c r="J24" i="6"/>
  <c r="F24" i="6"/>
  <c r="R22" i="6"/>
  <c r="F22" i="6"/>
  <c r="X20" i="6"/>
  <c r="T20" i="6"/>
  <c r="Z20" i="6" s="1"/>
  <c r="R20" i="6"/>
  <c r="P20" i="6"/>
  <c r="N20" i="6"/>
  <c r="H20" i="6"/>
  <c r="F20" i="6"/>
  <c r="D20" i="6"/>
  <c r="L20" i="6" s="1"/>
  <c r="X18" i="6"/>
  <c r="T18" i="6"/>
  <c r="Z18" i="6" s="1"/>
  <c r="R18" i="6"/>
  <c r="P18" i="6"/>
  <c r="N18" i="6"/>
  <c r="H18" i="6"/>
  <c r="F18" i="6"/>
  <c r="D18" i="6"/>
  <c r="L18" i="6" s="1"/>
  <c r="R16" i="6"/>
  <c r="F16" i="6"/>
  <c r="X14" i="6"/>
  <c r="T14" i="6"/>
  <c r="Z14" i="6" s="1"/>
  <c r="R14" i="6"/>
  <c r="P14" i="6"/>
  <c r="P16" i="6" s="1"/>
  <c r="P22" i="6" s="1"/>
  <c r="P26" i="6" s="1"/>
  <c r="N14" i="6"/>
  <c r="H14" i="6"/>
  <c r="F14" i="6"/>
  <c r="D14" i="6"/>
  <c r="L14" i="6" s="1"/>
  <c r="X12" i="6"/>
  <c r="T12" i="6"/>
  <c r="Z12" i="6" s="1"/>
  <c r="P12" i="6"/>
  <c r="R24" i="6" s="1"/>
  <c r="L12" i="6"/>
  <c r="H12" i="6"/>
  <c r="N12" i="6" s="1"/>
  <c r="D12" i="6"/>
  <c r="F31" i="6" s="1"/>
  <c r="D4" i="6"/>
  <c r="Z318" i="3"/>
  <c r="T318" i="3"/>
  <c r="P318" i="3"/>
  <c r="X318" i="3" s="1"/>
  <c r="H318" i="3"/>
  <c r="D318" i="3"/>
  <c r="L318" i="3" s="1"/>
  <c r="N318" i="3" s="1"/>
  <c r="Z317" i="3"/>
  <c r="X317" i="3"/>
  <c r="T317" i="3"/>
  <c r="P317" i="3"/>
  <c r="H317" i="3"/>
  <c r="D317" i="3"/>
  <c r="L317" i="3" s="1"/>
  <c r="N317" i="3" s="1"/>
  <c r="Z313" i="3"/>
  <c r="X313" i="3"/>
  <c r="L313" i="3"/>
  <c r="N313" i="3" s="1"/>
  <c r="T309" i="3"/>
  <c r="P309" i="3"/>
  <c r="H309" i="3"/>
  <c r="D309" i="3"/>
  <c r="L309" i="3" s="1"/>
  <c r="N309" i="3" s="1"/>
  <c r="B309" i="3"/>
  <c r="T308" i="3"/>
  <c r="P308" i="3"/>
  <c r="H308" i="3"/>
  <c r="N308" i="3" s="1"/>
  <c r="D308" i="3"/>
  <c r="L308" i="3" s="1"/>
  <c r="B308" i="3"/>
  <c r="X307" i="3"/>
  <c r="T307" i="3"/>
  <c r="P307" i="3"/>
  <c r="H307" i="3"/>
  <c r="N307" i="3" s="1"/>
  <c r="D307" i="3"/>
  <c r="L307" i="3" s="1"/>
  <c r="B307" i="3"/>
  <c r="T306" i="3"/>
  <c r="P306" i="3"/>
  <c r="L306" i="3"/>
  <c r="H306" i="3"/>
  <c r="N306" i="3" s="1"/>
  <c r="D306" i="3"/>
  <c r="B306" i="3"/>
  <c r="Z305" i="3"/>
  <c r="T305" i="3"/>
  <c r="P305" i="3"/>
  <c r="X305" i="3" s="1"/>
  <c r="H305" i="3"/>
  <c r="D305" i="3"/>
  <c r="L305" i="3" s="1"/>
  <c r="N305" i="3" s="1"/>
  <c r="B305" i="3"/>
  <c r="X304" i="3"/>
  <c r="Z304" i="3" s="1"/>
  <c r="T304" i="3"/>
  <c r="P304" i="3"/>
  <c r="H304" i="3"/>
  <c r="D304" i="3"/>
  <c r="L304" i="3" s="1"/>
  <c r="N304" i="3" s="1"/>
  <c r="B304" i="3"/>
  <c r="Z303" i="3"/>
  <c r="T303" i="3"/>
  <c r="P303" i="3"/>
  <c r="X303" i="3" s="1"/>
  <c r="H303" i="3"/>
  <c r="D303" i="3"/>
  <c r="B303" i="3"/>
  <c r="T302" i="3"/>
  <c r="Z302" i="3" s="1"/>
  <c r="P302" i="3"/>
  <c r="X302" i="3" s="1"/>
  <c r="H302" i="3"/>
  <c r="D302" i="3"/>
  <c r="B302" i="3"/>
  <c r="T301" i="3"/>
  <c r="Z301" i="3" s="1"/>
  <c r="P301" i="3"/>
  <c r="X301" i="3" s="1"/>
  <c r="L301" i="3"/>
  <c r="H301" i="3"/>
  <c r="N301" i="3" s="1"/>
  <c r="D301" i="3"/>
  <c r="B301" i="3"/>
  <c r="X300" i="3"/>
  <c r="T300" i="3"/>
  <c r="Z300" i="3" s="1"/>
  <c r="P300" i="3"/>
  <c r="N300" i="3"/>
  <c r="L300" i="3"/>
  <c r="H300" i="3"/>
  <c r="D300" i="3"/>
  <c r="B300" i="3"/>
  <c r="T299" i="3"/>
  <c r="P299" i="3"/>
  <c r="X299" i="3" s="1"/>
  <c r="Z299" i="3" s="1"/>
  <c r="N299" i="3"/>
  <c r="L299" i="3"/>
  <c r="H299" i="3"/>
  <c r="D299" i="3"/>
  <c r="B299" i="3"/>
  <c r="T298" i="3"/>
  <c r="P298" i="3"/>
  <c r="X298" i="3" s="1"/>
  <c r="Z298" i="3" s="1"/>
  <c r="L298" i="3"/>
  <c r="N298" i="3" s="1"/>
  <c r="H298" i="3"/>
  <c r="D298" i="3"/>
  <c r="B298" i="3"/>
  <c r="T297" i="3"/>
  <c r="P297" i="3"/>
  <c r="N297" i="3"/>
  <c r="H297" i="3"/>
  <c r="D297" i="3"/>
  <c r="B297" i="3"/>
  <c r="T296" i="3"/>
  <c r="Z294" i="3"/>
  <c r="X294" i="3"/>
  <c r="L294" i="3"/>
  <c r="N294" i="3" s="1"/>
  <c r="B294" i="3"/>
  <c r="T293" i="3"/>
  <c r="P293" i="3"/>
  <c r="X293" i="3" s="1"/>
  <c r="Z293" i="3" s="1"/>
  <c r="H293" i="3"/>
  <c r="D293" i="3"/>
  <c r="L293" i="3" s="1"/>
  <c r="N293" i="3" s="1"/>
  <c r="B293" i="3"/>
  <c r="Z292" i="3"/>
  <c r="X292" i="3"/>
  <c r="L292" i="3"/>
  <c r="N292" i="3" s="1"/>
  <c r="B292" i="3"/>
  <c r="X291" i="3"/>
  <c r="Z291" i="3" s="1"/>
  <c r="L291" i="3"/>
  <c r="N291" i="3" s="1"/>
  <c r="B291" i="3"/>
  <c r="X290" i="3"/>
  <c r="Z290" i="3" s="1"/>
  <c r="L290" i="3"/>
  <c r="N290" i="3" s="1"/>
  <c r="B290" i="3"/>
  <c r="X289" i="3"/>
  <c r="T289" i="3"/>
  <c r="Z289" i="3" s="1"/>
  <c r="P289" i="3"/>
  <c r="H289" i="3"/>
  <c r="N289" i="3" s="1"/>
  <c r="D289" i="3"/>
  <c r="L289" i="3" s="1"/>
  <c r="B289" i="3"/>
  <c r="Z288" i="3"/>
  <c r="X288" i="3"/>
  <c r="N288" i="3"/>
  <c r="L288" i="3"/>
  <c r="B288" i="3"/>
  <c r="T287" i="3"/>
  <c r="P287" i="3"/>
  <c r="H287" i="3"/>
  <c r="D287" i="3"/>
  <c r="L287" i="3" s="1"/>
  <c r="N287" i="3" s="1"/>
  <c r="B287" i="3"/>
  <c r="Z286" i="3"/>
  <c r="X286" i="3"/>
  <c r="L286" i="3"/>
  <c r="N286" i="3" s="1"/>
  <c r="B286" i="3"/>
  <c r="Z285" i="3"/>
  <c r="X285" i="3"/>
  <c r="L285" i="3"/>
  <c r="N285" i="3" s="1"/>
  <c r="B285" i="3"/>
  <c r="T284" i="3"/>
  <c r="Z284" i="3" s="1"/>
  <c r="P284" i="3"/>
  <c r="X284" i="3" s="1"/>
  <c r="H284" i="3"/>
  <c r="D284" i="3"/>
  <c r="B284" i="3"/>
  <c r="X283" i="3"/>
  <c r="Z283" i="3" s="1"/>
  <c r="N283" i="3"/>
  <c r="L283" i="3"/>
  <c r="B283" i="3"/>
  <c r="X282" i="3"/>
  <c r="Z282" i="3" s="1"/>
  <c r="L282" i="3"/>
  <c r="N282" i="3" s="1"/>
  <c r="B282" i="3"/>
  <c r="X281" i="3"/>
  <c r="Z281" i="3" s="1"/>
  <c r="N281" i="3"/>
  <c r="L281" i="3"/>
  <c r="B281" i="3"/>
  <c r="Z280" i="3"/>
  <c r="X280" i="3"/>
  <c r="N280" i="3"/>
  <c r="L280" i="3"/>
  <c r="B280" i="3"/>
  <c r="X279" i="3"/>
  <c r="Z279" i="3" s="1"/>
  <c r="L279" i="3"/>
  <c r="N279" i="3" s="1"/>
  <c r="B279" i="3"/>
  <c r="X278" i="3"/>
  <c r="Z278" i="3" s="1"/>
  <c r="L278" i="3"/>
  <c r="N278" i="3" s="1"/>
  <c r="B278" i="3"/>
  <c r="X277" i="3"/>
  <c r="Z277" i="3" s="1"/>
  <c r="N277" i="3"/>
  <c r="L277" i="3"/>
  <c r="B277" i="3"/>
  <c r="Z276" i="3"/>
  <c r="X276" i="3"/>
  <c r="N276" i="3"/>
  <c r="L276" i="3"/>
  <c r="B276" i="3"/>
  <c r="X275" i="3"/>
  <c r="Z275" i="3" s="1"/>
  <c r="N275" i="3"/>
  <c r="L275" i="3"/>
  <c r="B275" i="3"/>
  <c r="X274" i="3"/>
  <c r="Z274" i="3" s="1"/>
  <c r="T274" i="3"/>
  <c r="P274" i="3"/>
  <c r="H274" i="3"/>
  <c r="D274" i="3"/>
  <c r="L274" i="3" s="1"/>
  <c r="N274" i="3" s="1"/>
  <c r="B274" i="3"/>
  <c r="Z273" i="3"/>
  <c r="X273" i="3"/>
  <c r="N273" i="3"/>
  <c r="L273" i="3"/>
  <c r="B273" i="3"/>
  <c r="Z272" i="3"/>
  <c r="X272" i="3"/>
  <c r="N272" i="3"/>
  <c r="L272" i="3"/>
  <c r="B272" i="3"/>
  <c r="T271" i="3"/>
  <c r="P271" i="3"/>
  <c r="H271" i="3"/>
  <c r="D271" i="3"/>
  <c r="L271" i="3" s="1"/>
  <c r="N271" i="3" s="1"/>
  <c r="B271" i="3"/>
  <c r="Z270" i="3"/>
  <c r="X270" i="3"/>
  <c r="L270" i="3"/>
  <c r="N270" i="3" s="1"/>
  <c r="B270" i="3"/>
  <c r="Z269" i="3"/>
  <c r="X269" i="3"/>
  <c r="L269" i="3"/>
  <c r="N269" i="3" s="1"/>
  <c r="B269" i="3"/>
  <c r="Z268" i="3"/>
  <c r="X268" i="3"/>
  <c r="N268" i="3"/>
  <c r="L268" i="3"/>
  <c r="B268" i="3"/>
  <c r="Z267" i="3"/>
  <c r="X267" i="3"/>
  <c r="N267" i="3"/>
  <c r="L267" i="3"/>
  <c r="B267" i="3"/>
  <c r="Z266" i="3"/>
  <c r="X266" i="3"/>
  <c r="L266" i="3"/>
  <c r="N266" i="3" s="1"/>
  <c r="B266" i="3"/>
  <c r="T265" i="3"/>
  <c r="P265" i="3"/>
  <c r="X265" i="3" s="1"/>
  <c r="Z265" i="3" s="1"/>
  <c r="N265" i="3"/>
  <c r="H265" i="3"/>
  <c r="D265" i="3"/>
  <c r="L265" i="3" s="1"/>
  <c r="B265" i="3"/>
  <c r="Z264" i="3"/>
  <c r="X264" i="3"/>
  <c r="N264" i="3"/>
  <c r="L264" i="3"/>
  <c r="B264" i="3"/>
  <c r="X263" i="3"/>
  <c r="Z263" i="3" s="1"/>
  <c r="L263" i="3"/>
  <c r="N263" i="3" s="1"/>
  <c r="B263" i="3"/>
  <c r="X262" i="3"/>
  <c r="Z262" i="3" s="1"/>
  <c r="N262" i="3"/>
  <c r="L262" i="3"/>
  <c r="B262" i="3"/>
  <c r="X261" i="3"/>
  <c r="T261" i="3"/>
  <c r="P261" i="3"/>
  <c r="H261" i="3"/>
  <c r="D261" i="3"/>
  <c r="L261" i="3" s="1"/>
  <c r="B261" i="3"/>
  <c r="X260" i="3"/>
  <c r="Z260" i="3" s="1"/>
  <c r="N260" i="3"/>
  <c r="L260" i="3"/>
  <c r="B260" i="3"/>
  <c r="X259" i="3"/>
  <c r="Z259" i="3" s="1"/>
  <c r="N259" i="3"/>
  <c r="L259" i="3"/>
  <c r="B259" i="3"/>
  <c r="Z258" i="3"/>
  <c r="X258" i="3"/>
  <c r="N258" i="3"/>
  <c r="L258" i="3"/>
  <c r="B258" i="3"/>
  <c r="Z257" i="3"/>
  <c r="X257" i="3"/>
  <c r="N257" i="3"/>
  <c r="L257" i="3"/>
  <c r="B257" i="3"/>
  <c r="T256" i="3"/>
  <c r="P256" i="3"/>
  <c r="L256" i="3"/>
  <c r="H256" i="3"/>
  <c r="N256" i="3" s="1"/>
  <c r="D256" i="3"/>
  <c r="B256" i="3"/>
  <c r="Z255" i="3"/>
  <c r="X255" i="3"/>
  <c r="L255" i="3"/>
  <c r="N255" i="3" s="1"/>
  <c r="B255" i="3"/>
  <c r="T254" i="3"/>
  <c r="P254" i="3"/>
  <c r="H254" i="3"/>
  <c r="N254" i="3" s="1"/>
  <c r="D254" i="3"/>
  <c r="L254" i="3" s="1"/>
  <c r="B254" i="3"/>
  <c r="X253" i="3"/>
  <c r="Z253" i="3" s="1"/>
  <c r="N253" i="3"/>
  <c r="L253" i="3"/>
  <c r="B253" i="3"/>
  <c r="T252" i="3"/>
  <c r="P252" i="3"/>
  <c r="X252" i="3" s="1"/>
  <c r="Z252" i="3" s="1"/>
  <c r="L252" i="3"/>
  <c r="H252" i="3"/>
  <c r="D252" i="3"/>
  <c r="B252" i="3"/>
  <c r="X251" i="3"/>
  <c r="Z251" i="3" s="1"/>
  <c r="N251" i="3"/>
  <c r="L251" i="3"/>
  <c r="B251" i="3"/>
  <c r="X250" i="3"/>
  <c r="T250" i="3"/>
  <c r="Z250" i="3" s="1"/>
  <c r="P250" i="3"/>
  <c r="N250" i="3"/>
  <c r="L250" i="3"/>
  <c r="H250" i="3"/>
  <c r="D250" i="3"/>
  <c r="B250" i="3"/>
  <c r="Z249" i="3"/>
  <c r="X249" i="3"/>
  <c r="L249" i="3"/>
  <c r="N249" i="3" s="1"/>
  <c r="B249" i="3"/>
  <c r="T248" i="3"/>
  <c r="P248" i="3"/>
  <c r="H248" i="3"/>
  <c r="D248" i="3"/>
  <c r="B248" i="3"/>
  <c r="X247" i="3"/>
  <c r="Z247" i="3" s="1"/>
  <c r="L247" i="3"/>
  <c r="N247" i="3" s="1"/>
  <c r="B247" i="3"/>
  <c r="X246" i="3"/>
  <c r="T246" i="3"/>
  <c r="Z246" i="3" s="1"/>
  <c r="P246" i="3"/>
  <c r="H246" i="3"/>
  <c r="D246" i="3"/>
  <c r="L246" i="3" s="1"/>
  <c r="N246" i="3" s="1"/>
  <c r="B246" i="3"/>
  <c r="Z245" i="3"/>
  <c r="X245" i="3"/>
  <c r="N245" i="3"/>
  <c r="L245" i="3"/>
  <c r="B245" i="3"/>
  <c r="X244" i="3"/>
  <c r="Z244" i="3" s="1"/>
  <c r="T244" i="3"/>
  <c r="P244" i="3"/>
  <c r="L244" i="3"/>
  <c r="H244" i="3"/>
  <c r="D244" i="3"/>
  <c r="B244" i="3"/>
  <c r="Z243" i="3"/>
  <c r="X243" i="3"/>
  <c r="L243" i="3"/>
  <c r="N243" i="3" s="1"/>
  <c r="B243" i="3"/>
  <c r="Z242" i="3"/>
  <c r="X242" i="3"/>
  <c r="L242" i="3"/>
  <c r="N242" i="3" s="1"/>
  <c r="B242" i="3"/>
  <c r="T241" i="3"/>
  <c r="P241" i="3"/>
  <c r="X241" i="3" s="1"/>
  <c r="Z241" i="3" s="1"/>
  <c r="H241" i="3"/>
  <c r="D241" i="3"/>
  <c r="L241" i="3" s="1"/>
  <c r="N241" i="3" s="1"/>
  <c r="B241" i="3"/>
  <c r="Z240" i="3"/>
  <c r="X240" i="3"/>
  <c r="L240" i="3"/>
  <c r="N240" i="3" s="1"/>
  <c r="B240" i="3"/>
  <c r="X239" i="3"/>
  <c r="Z239" i="3" s="1"/>
  <c r="L239" i="3"/>
  <c r="N239" i="3" s="1"/>
  <c r="B239" i="3"/>
  <c r="X238" i="3"/>
  <c r="T238" i="3"/>
  <c r="P238" i="3"/>
  <c r="H238" i="3"/>
  <c r="D238" i="3"/>
  <c r="L238" i="3" s="1"/>
  <c r="N238" i="3" s="1"/>
  <c r="B238" i="3"/>
  <c r="Z237" i="3"/>
  <c r="X237" i="3"/>
  <c r="N237" i="3"/>
  <c r="L237" i="3"/>
  <c r="B237" i="3"/>
  <c r="Z236" i="3"/>
  <c r="X236" i="3"/>
  <c r="T236" i="3"/>
  <c r="P236" i="3"/>
  <c r="L236" i="3"/>
  <c r="H236" i="3"/>
  <c r="D236" i="3"/>
  <c r="B236" i="3"/>
  <c r="Z235" i="3"/>
  <c r="X235" i="3"/>
  <c r="L235" i="3"/>
  <c r="N235" i="3" s="1"/>
  <c r="B235" i="3"/>
  <c r="T234" i="3"/>
  <c r="P234" i="3"/>
  <c r="X234" i="3" s="1"/>
  <c r="H234" i="3"/>
  <c r="D234" i="3"/>
  <c r="L234" i="3" s="1"/>
  <c r="B234" i="3"/>
  <c r="X233" i="3"/>
  <c r="Z233" i="3" s="1"/>
  <c r="N233" i="3"/>
  <c r="L233" i="3"/>
  <c r="B233" i="3"/>
  <c r="T232" i="3"/>
  <c r="P232" i="3"/>
  <c r="X232" i="3" s="1"/>
  <c r="Z232" i="3" s="1"/>
  <c r="H232" i="3"/>
  <c r="D232" i="3"/>
  <c r="L232" i="3" s="1"/>
  <c r="B232" i="3"/>
  <c r="X231" i="3"/>
  <c r="Z231" i="3" s="1"/>
  <c r="N231" i="3"/>
  <c r="L231" i="3"/>
  <c r="B231" i="3"/>
  <c r="X230" i="3"/>
  <c r="Z230" i="3" s="1"/>
  <c r="N230" i="3"/>
  <c r="L230" i="3"/>
  <c r="B230" i="3"/>
  <c r="T229" i="3"/>
  <c r="P229" i="3"/>
  <c r="X229" i="3" s="1"/>
  <c r="Z229" i="3" s="1"/>
  <c r="H229" i="3"/>
  <c r="D229" i="3"/>
  <c r="B229" i="3"/>
  <c r="X228" i="3"/>
  <c r="Z228" i="3" s="1"/>
  <c r="N228" i="3"/>
  <c r="L228" i="3"/>
  <c r="B228" i="3"/>
  <c r="Z227" i="3"/>
  <c r="X227" i="3"/>
  <c r="N227" i="3"/>
  <c r="L227" i="3"/>
  <c r="B227" i="3"/>
  <c r="Z226" i="3"/>
  <c r="X226" i="3"/>
  <c r="L226" i="3"/>
  <c r="N226" i="3" s="1"/>
  <c r="B226" i="3"/>
  <c r="Z225" i="3"/>
  <c r="T225" i="3"/>
  <c r="P225" i="3"/>
  <c r="X225" i="3" s="1"/>
  <c r="H225" i="3"/>
  <c r="D225" i="3"/>
  <c r="L225" i="3" s="1"/>
  <c r="N225" i="3" s="1"/>
  <c r="B225" i="3"/>
  <c r="Z224" i="3"/>
  <c r="X224" i="3"/>
  <c r="L224" i="3"/>
  <c r="N224" i="3" s="1"/>
  <c r="B224" i="3"/>
  <c r="T223" i="3"/>
  <c r="Z223" i="3" s="1"/>
  <c r="P223" i="3"/>
  <c r="X223" i="3" s="1"/>
  <c r="L223" i="3"/>
  <c r="H223" i="3"/>
  <c r="D223" i="3"/>
  <c r="B223" i="3"/>
  <c r="X222" i="3"/>
  <c r="Z222" i="3" s="1"/>
  <c r="N222" i="3"/>
  <c r="L222" i="3"/>
  <c r="B222" i="3"/>
  <c r="Z221" i="3"/>
  <c r="X221" i="3"/>
  <c r="N221" i="3"/>
  <c r="L221" i="3"/>
  <c r="B221" i="3"/>
  <c r="T220" i="3"/>
  <c r="P220" i="3"/>
  <c r="L220" i="3"/>
  <c r="H220" i="3"/>
  <c r="D220" i="3"/>
  <c r="B220" i="3"/>
  <c r="Z219" i="3"/>
  <c r="X219" i="3"/>
  <c r="L219" i="3"/>
  <c r="N219" i="3" s="1"/>
  <c r="B219" i="3"/>
  <c r="T218" i="3"/>
  <c r="P218" i="3"/>
  <c r="X218" i="3" s="1"/>
  <c r="H218" i="3"/>
  <c r="D218" i="3"/>
  <c r="B218" i="3"/>
  <c r="X217" i="3"/>
  <c r="Z217" i="3" s="1"/>
  <c r="N217" i="3"/>
  <c r="L217" i="3"/>
  <c r="B217" i="3"/>
  <c r="Z216" i="3"/>
  <c r="X216" i="3"/>
  <c r="L216" i="3"/>
  <c r="N216" i="3" s="1"/>
  <c r="B216" i="3"/>
  <c r="X215" i="3"/>
  <c r="Z215" i="3" s="1"/>
  <c r="L215" i="3"/>
  <c r="N215" i="3" s="1"/>
  <c r="B215" i="3"/>
  <c r="X214" i="3"/>
  <c r="Z214" i="3" s="1"/>
  <c r="L214" i="3"/>
  <c r="N214" i="3" s="1"/>
  <c r="B214" i="3"/>
  <c r="X213" i="3"/>
  <c r="Z213" i="3" s="1"/>
  <c r="N213" i="3"/>
  <c r="L213" i="3"/>
  <c r="B213" i="3"/>
  <c r="Z212" i="3"/>
  <c r="X212" i="3"/>
  <c r="N212" i="3"/>
  <c r="L212" i="3"/>
  <c r="B212" i="3"/>
  <c r="X211" i="3"/>
  <c r="Z211" i="3" s="1"/>
  <c r="L211" i="3"/>
  <c r="N211" i="3" s="1"/>
  <c r="B211" i="3"/>
  <c r="X210" i="3"/>
  <c r="T210" i="3"/>
  <c r="P210" i="3"/>
  <c r="H210" i="3"/>
  <c r="D210" i="3"/>
  <c r="L210" i="3" s="1"/>
  <c r="N210" i="3" s="1"/>
  <c r="B210" i="3"/>
  <c r="Z209" i="3"/>
  <c r="X209" i="3"/>
  <c r="N209" i="3"/>
  <c r="L209" i="3"/>
  <c r="B209" i="3"/>
  <c r="Z208" i="3"/>
  <c r="X208" i="3"/>
  <c r="N208" i="3"/>
  <c r="L208" i="3"/>
  <c r="B208" i="3"/>
  <c r="X207" i="3"/>
  <c r="Z207" i="3" s="1"/>
  <c r="N207" i="3"/>
  <c r="L207" i="3"/>
  <c r="B207" i="3"/>
  <c r="X206" i="3"/>
  <c r="Z206" i="3" s="1"/>
  <c r="N206" i="3"/>
  <c r="L206" i="3"/>
  <c r="B206" i="3"/>
  <c r="Z205" i="3"/>
  <c r="X205" i="3"/>
  <c r="N205" i="3"/>
  <c r="L205" i="3"/>
  <c r="B205" i="3"/>
  <c r="Z204" i="3"/>
  <c r="X204" i="3"/>
  <c r="N204" i="3"/>
  <c r="L204" i="3"/>
  <c r="B204" i="3"/>
  <c r="X203" i="3"/>
  <c r="Z203" i="3" s="1"/>
  <c r="N203" i="3"/>
  <c r="L203" i="3"/>
  <c r="B203" i="3"/>
  <c r="X202" i="3"/>
  <c r="Z202" i="3" s="1"/>
  <c r="N202" i="3"/>
  <c r="L202" i="3"/>
  <c r="B202" i="3"/>
  <c r="Z201" i="3"/>
  <c r="X201" i="3"/>
  <c r="N201" i="3"/>
  <c r="L201" i="3"/>
  <c r="B201" i="3"/>
  <c r="Z200" i="3"/>
  <c r="X200" i="3"/>
  <c r="L200" i="3"/>
  <c r="N200" i="3" s="1"/>
  <c r="B200" i="3"/>
  <c r="T199" i="3"/>
  <c r="P199" i="3"/>
  <c r="H199" i="3"/>
  <c r="D199" i="3"/>
  <c r="L199" i="3" s="1"/>
  <c r="N199" i="3" s="1"/>
  <c r="B199" i="3"/>
  <c r="T198" i="3"/>
  <c r="P198" i="3"/>
  <c r="H198" i="3"/>
  <c r="D198" i="3"/>
  <c r="Z194" i="3"/>
  <c r="X194" i="3"/>
  <c r="N194" i="3"/>
  <c r="L194" i="3"/>
  <c r="B194" i="3"/>
  <c r="Z193" i="3"/>
  <c r="X193" i="3"/>
  <c r="N193" i="3"/>
  <c r="L193" i="3"/>
  <c r="B193" i="3"/>
  <c r="Z192" i="3"/>
  <c r="X192" i="3"/>
  <c r="N192" i="3"/>
  <c r="L192" i="3"/>
  <c r="B192" i="3"/>
  <c r="Z191" i="3"/>
  <c r="X191" i="3"/>
  <c r="N191" i="3"/>
  <c r="L191" i="3"/>
  <c r="B191" i="3"/>
  <c r="Z190" i="3"/>
  <c r="X190" i="3"/>
  <c r="N190" i="3"/>
  <c r="L190" i="3"/>
  <c r="B190" i="3"/>
  <c r="X189" i="3"/>
  <c r="Z189" i="3" s="1"/>
  <c r="L189" i="3"/>
  <c r="N189" i="3" s="1"/>
  <c r="B189" i="3"/>
  <c r="X188" i="3"/>
  <c r="Z188" i="3" s="1"/>
  <c r="N188" i="3"/>
  <c r="L188" i="3"/>
  <c r="B188" i="3"/>
  <c r="Z187" i="3"/>
  <c r="X187" i="3"/>
  <c r="N187" i="3"/>
  <c r="L187" i="3"/>
  <c r="B187" i="3"/>
  <c r="Z186" i="3"/>
  <c r="X186" i="3"/>
  <c r="L186" i="3"/>
  <c r="N186" i="3" s="1"/>
  <c r="B186" i="3"/>
  <c r="X185" i="3"/>
  <c r="Z185" i="3" s="1"/>
  <c r="L185" i="3"/>
  <c r="N185" i="3" s="1"/>
  <c r="B185" i="3"/>
  <c r="X184" i="3"/>
  <c r="Z184" i="3" s="1"/>
  <c r="N184" i="3"/>
  <c r="L184" i="3"/>
  <c r="B184" i="3"/>
  <c r="Z183" i="3"/>
  <c r="X183" i="3"/>
  <c r="L183" i="3"/>
  <c r="N183" i="3" s="1"/>
  <c r="B183" i="3"/>
  <c r="Z182" i="3"/>
  <c r="X182" i="3"/>
  <c r="L182" i="3"/>
  <c r="N182" i="3" s="1"/>
  <c r="B182" i="3"/>
  <c r="X181" i="3"/>
  <c r="Z181" i="3" s="1"/>
  <c r="L181" i="3"/>
  <c r="N181" i="3" s="1"/>
  <c r="B181" i="3"/>
  <c r="X180" i="3"/>
  <c r="Z180" i="3" s="1"/>
  <c r="N180" i="3"/>
  <c r="L180" i="3"/>
  <c r="B180" i="3"/>
  <c r="Z179" i="3"/>
  <c r="X179" i="3"/>
  <c r="L179" i="3"/>
  <c r="N179" i="3" s="1"/>
  <c r="B179" i="3"/>
  <c r="Z178" i="3"/>
  <c r="X178" i="3"/>
  <c r="L178" i="3"/>
  <c r="N178" i="3" s="1"/>
  <c r="B178" i="3"/>
  <c r="Z177" i="3"/>
  <c r="X177" i="3"/>
  <c r="N177" i="3"/>
  <c r="L177" i="3"/>
  <c r="B177" i="3"/>
  <c r="X176" i="3"/>
  <c r="Z176" i="3" s="1"/>
  <c r="N176" i="3"/>
  <c r="L176" i="3"/>
  <c r="B176" i="3"/>
  <c r="Z175" i="3"/>
  <c r="X175" i="3"/>
  <c r="L175" i="3"/>
  <c r="N175" i="3" s="1"/>
  <c r="B175" i="3"/>
  <c r="Z174" i="3"/>
  <c r="X174" i="3"/>
  <c r="L174" i="3"/>
  <c r="N174" i="3" s="1"/>
  <c r="B174" i="3"/>
  <c r="Z173" i="3"/>
  <c r="X173" i="3"/>
  <c r="L173" i="3"/>
  <c r="N173" i="3" s="1"/>
  <c r="B173" i="3"/>
  <c r="X172" i="3"/>
  <c r="Z172" i="3" s="1"/>
  <c r="N172" i="3"/>
  <c r="L172" i="3"/>
  <c r="B172" i="3"/>
  <c r="Z171" i="3"/>
  <c r="X171" i="3"/>
  <c r="N171" i="3"/>
  <c r="L171" i="3"/>
  <c r="B171" i="3"/>
  <c r="Z170" i="3"/>
  <c r="X170" i="3"/>
  <c r="N170" i="3"/>
  <c r="L170" i="3"/>
  <c r="B170" i="3"/>
  <c r="X169" i="3"/>
  <c r="Z169" i="3" s="1"/>
  <c r="N169" i="3"/>
  <c r="L169" i="3"/>
  <c r="B169" i="3"/>
  <c r="X168" i="3"/>
  <c r="Z168" i="3" s="1"/>
  <c r="N168" i="3"/>
  <c r="L168" i="3"/>
  <c r="B168" i="3"/>
  <c r="Z167" i="3"/>
  <c r="X167" i="3"/>
  <c r="L167" i="3"/>
  <c r="N167" i="3" s="1"/>
  <c r="B167" i="3"/>
  <c r="Z166" i="3"/>
  <c r="X166" i="3"/>
  <c r="N166" i="3"/>
  <c r="L166" i="3"/>
  <c r="B166" i="3"/>
  <c r="X165" i="3"/>
  <c r="Z165" i="3" s="1"/>
  <c r="L165" i="3"/>
  <c r="N165" i="3" s="1"/>
  <c r="B165" i="3"/>
  <c r="X164" i="3"/>
  <c r="Z164" i="3" s="1"/>
  <c r="N164" i="3"/>
  <c r="L164" i="3"/>
  <c r="B164" i="3"/>
  <c r="Z163" i="3"/>
  <c r="X163" i="3"/>
  <c r="L163" i="3"/>
  <c r="N163" i="3" s="1"/>
  <c r="B163" i="3"/>
  <c r="Z162" i="3"/>
  <c r="X162" i="3"/>
  <c r="L162" i="3"/>
  <c r="N162" i="3" s="1"/>
  <c r="B162" i="3"/>
  <c r="X161" i="3"/>
  <c r="Z161" i="3" s="1"/>
  <c r="L161" i="3"/>
  <c r="N161" i="3" s="1"/>
  <c r="B161" i="3"/>
  <c r="X160" i="3"/>
  <c r="Z160" i="3" s="1"/>
  <c r="N160" i="3"/>
  <c r="L160" i="3"/>
  <c r="B160" i="3"/>
  <c r="Z159" i="3"/>
  <c r="X159" i="3"/>
  <c r="L159" i="3"/>
  <c r="N159" i="3" s="1"/>
  <c r="B159" i="3"/>
  <c r="Z158" i="3"/>
  <c r="X158" i="3"/>
  <c r="L158" i="3"/>
  <c r="N158" i="3" s="1"/>
  <c r="B158" i="3"/>
  <c r="Z157" i="3"/>
  <c r="X157" i="3"/>
  <c r="L157" i="3"/>
  <c r="N157" i="3" s="1"/>
  <c r="B157" i="3"/>
  <c r="X156" i="3"/>
  <c r="Z156" i="3" s="1"/>
  <c r="N156" i="3"/>
  <c r="L156" i="3"/>
  <c r="B156" i="3"/>
  <c r="Z155" i="3"/>
  <c r="X155" i="3"/>
  <c r="L155" i="3"/>
  <c r="N155" i="3" s="1"/>
  <c r="B155" i="3"/>
  <c r="Z154" i="3"/>
  <c r="X154" i="3"/>
  <c r="L154" i="3"/>
  <c r="N154" i="3" s="1"/>
  <c r="B154" i="3"/>
  <c r="Z153" i="3"/>
  <c r="X153" i="3"/>
  <c r="L153" i="3"/>
  <c r="N153" i="3" s="1"/>
  <c r="B153" i="3"/>
  <c r="X152" i="3"/>
  <c r="Z152" i="3" s="1"/>
  <c r="N152" i="3"/>
  <c r="L152" i="3"/>
  <c r="B152" i="3"/>
  <c r="Z151" i="3"/>
  <c r="X151" i="3"/>
  <c r="L151" i="3"/>
  <c r="N151" i="3" s="1"/>
  <c r="B151" i="3"/>
  <c r="Z150" i="3"/>
  <c r="X150" i="3"/>
  <c r="L150" i="3"/>
  <c r="N150" i="3" s="1"/>
  <c r="B150" i="3"/>
  <c r="X149" i="3"/>
  <c r="Z149" i="3" s="1"/>
  <c r="L149" i="3"/>
  <c r="N149" i="3" s="1"/>
  <c r="B149" i="3"/>
  <c r="X148" i="3"/>
  <c r="Z148" i="3" s="1"/>
  <c r="N148" i="3"/>
  <c r="L148" i="3"/>
  <c r="B148" i="3"/>
  <c r="Z147" i="3"/>
  <c r="X147" i="3"/>
  <c r="L147" i="3"/>
  <c r="N147" i="3" s="1"/>
  <c r="B147" i="3"/>
  <c r="Z146" i="3"/>
  <c r="X146" i="3"/>
  <c r="L146" i="3"/>
  <c r="N146" i="3" s="1"/>
  <c r="B146" i="3"/>
  <c r="Z145" i="3"/>
  <c r="X145" i="3"/>
  <c r="N145" i="3"/>
  <c r="L145" i="3"/>
  <c r="B145" i="3"/>
  <c r="X144" i="3"/>
  <c r="Z144" i="3" s="1"/>
  <c r="N144" i="3"/>
  <c r="L144" i="3"/>
  <c r="B144" i="3"/>
  <c r="Z143" i="3"/>
  <c r="X143" i="3"/>
  <c r="N143" i="3"/>
  <c r="L143" i="3"/>
  <c r="B143" i="3"/>
  <c r="Z142" i="3"/>
  <c r="X142" i="3"/>
  <c r="L142" i="3"/>
  <c r="N142" i="3" s="1"/>
  <c r="B142" i="3"/>
  <c r="Z141" i="3"/>
  <c r="X141" i="3"/>
  <c r="L141" i="3"/>
  <c r="N141" i="3" s="1"/>
  <c r="B141" i="3"/>
  <c r="X140" i="3"/>
  <c r="Z140" i="3" s="1"/>
  <c r="N140" i="3"/>
  <c r="L140" i="3"/>
  <c r="B140" i="3"/>
  <c r="Z139" i="3"/>
  <c r="X139" i="3"/>
  <c r="L139" i="3"/>
  <c r="N139" i="3" s="1"/>
  <c r="B139" i="3"/>
  <c r="Z138" i="3"/>
  <c r="X138" i="3"/>
  <c r="N138" i="3"/>
  <c r="L138" i="3"/>
  <c r="B138" i="3"/>
  <c r="X137" i="3"/>
  <c r="Z137" i="3" s="1"/>
  <c r="L137" i="3"/>
  <c r="N137" i="3" s="1"/>
  <c r="B137" i="3"/>
  <c r="X136" i="3"/>
  <c r="Z136" i="3" s="1"/>
  <c r="N136" i="3"/>
  <c r="L136" i="3"/>
  <c r="B136" i="3"/>
  <c r="T135" i="3"/>
  <c r="P135" i="3"/>
  <c r="X135" i="3" s="1"/>
  <c r="Z135" i="3" s="1"/>
  <c r="H135" i="3"/>
  <c r="D135" i="3"/>
  <c r="L135" i="3" s="1"/>
  <c r="Z133" i="3"/>
  <c r="T133" i="3"/>
  <c r="X133" i="3" s="1"/>
  <c r="P133" i="3"/>
  <c r="H133" i="3"/>
  <c r="N133" i="3" s="1"/>
  <c r="D133" i="3"/>
  <c r="L133" i="3" s="1"/>
  <c r="B133" i="3"/>
  <c r="T132" i="3"/>
  <c r="P132" i="3"/>
  <c r="N132" i="3"/>
  <c r="L132" i="3"/>
  <c r="H132" i="3"/>
  <c r="D132" i="3"/>
  <c r="B132" i="3"/>
  <c r="T131" i="3"/>
  <c r="P131" i="3"/>
  <c r="X131" i="3" s="1"/>
  <c r="H131" i="3"/>
  <c r="N131" i="3" s="1"/>
  <c r="D131" i="3"/>
  <c r="B131" i="3"/>
  <c r="T130" i="3"/>
  <c r="P130" i="3"/>
  <c r="X130" i="3" s="1"/>
  <c r="N130" i="3"/>
  <c r="L130" i="3"/>
  <c r="H130" i="3"/>
  <c r="D130" i="3"/>
  <c r="B130" i="3"/>
  <c r="Z129" i="3"/>
  <c r="T129" i="3"/>
  <c r="X129" i="3" s="1"/>
  <c r="P129" i="3"/>
  <c r="H129" i="3"/>
  <c r="N129" i="3" s="1"/>
  <c r="D129" i="3"/>
  <c r="B129" i="3"/>
  <c r="Z128" i="3"/>
  <c r="T128" i="3"/>
  <c r="P128" i="3"/>
  <c r="X128" i="3" s="1"/>
  <c r="L128" i="3"/>
  <c r="N128" i="3" s="1"/>
  <c r="H128" i="3"/>
  <c r="D128" i="3"/>
  <c r="B128" i="3"/>
  <c r="X127" i="3"/>
  <c r="T127" i="3"/>
  <c r="Z127" i="3" s="1"/>
  <c r="P127" i="3"/>
  <c r="H127" i="3"/>
  <c r="L127" i="3" s="1"/>
  <c r="D127" i="3"/>
  <c r="B127" i="3"/>
  <c r="T126" i="3"/>
  <c r="Z126" i="3" s="1"/>
  <c r="P126" i="3"/>
  <c r="X126" i="3" s="1"/>
  <c r="N126" i="3"/>
  <c r="L126" i="3"/>
  <c r="H126" i="3"/>
  <c r="D126" i="3"/>
  <c r="B126" i="3"/>
  <c r="T125" i="3"/>
  <c r="X125" i="3" s="1"/>
  <c r="P125" i="3"/>
  <c r="H125" i="3"/>
  <c r="N125" i="3" s="1"/>
  <c r="D125" i="3"/>
  <c r="L125" i="3" s="1"/>
  <c r="B125" i="3"/>
  <c r="T124" i="3"/>
  <c r="Z124" i="3" s="1"/>
  <c r="P124" i="3"/>
  <c r="X124" i="3" s="1"/>
  <c r="L124" i="3"/>
  <c r="N124" i="3" s="1"/>
  <c r="H124" i="3"/>
  <c r="D124" i="3"/>
  <c r="B124" i="3"/>
  <c r="X123" i="3"/>
  <c r="Z123" i="3" s="1"/>
  <c r="T123" i="3"/>
  <c r="P123" i="3"/>
  <c r="L123" i="3"/>
  <c r="H123" i="3"/>
  <c r="N123" i="3" s="1"/>
  <c r="D123" i="3"/>
  <c r="B123" i="3"/>
  <c r="T122" i="3"/>
  <c r="P122" i="3"/>
  <c r="X122" i="3" s="1"/>
  <c r="H122" i="3"/>
  <c r="D122" i="3"/>
  <c r="B122" i="3"/>
  <c r="Z121" i="3"/>
  <c r="T121" i="3"/>
  <c r="X121" i="3" s="1"/>
  <c r="P121" i="3"/>
  <c r="H121" i="3"/>
  <c r="N121" i="3" s="1"/>
  <c r="D121" i="3"/>
  <c r="L121" i="3" s="1"/>
  <c r="B121" i="3"/>
  <c r="T120" i="3"/>
  <c r="P120" i="3"/>
  <c r="N120" i="3"/>
  <c r="L120" i="3"/>
  <c r="H120" i="3"/>
  <c r="D120" i="3"/>
  <c r="B120" i="3"/>
  <c r="T119" i="3"/>
  <c r="P119" i="3"/>
  <c r="L119" i="3"/>
  <c r="H119" i="3"/>
  <c r="N119" i="3" s="1"/>
  <c r="D119" i="3"/>
  <c r="B119" i="3"/>
  <c r="T118" i="3"/>
  <c r="Z118" i="3" s="1"/>
  <c r="P118" i="3"/>
  <c r="X118" i="3" s="1"/>
  <c r="N118" i="3"/>
  <c r="L118" i="3"/>
  <c r="H118" i="3"/>
  <c r="D118" i="3"/>
  <c r="B118" i="3"/>
  <c r="T117" i="3"/>
  <c r="X117" i="3" s="1"/>
  <c r="P117" i="3"/>
  <c r="H117" i="3"/>
  <c r="D117" i="3"/>
  <c r="L117" i="3" s="1"/>
  <c r="B117" i="3"/>
  <c r="T116" i="3"/>
  <c r="P116" i="3"/>
  <c r="N116" i="3"/>
  <c r="L116" i="3"/>
  <c r="H116" i="3"/>
  <c r="D116" i="3"/>
  <c r="B116" i="3"/>
  <c r="T115" i="3"/>
  <c r="Z115" i="3" s="1"/>
  <c r="P115" i="3"/>
  <c r="X115" i="3" s="1"/>
  <c r="L115" i="3"/>
  <c r="H115" i="3"/>
  <c r="N115" i="3" s="1"/>
  <c r="D115" i="3"/>
  <c r="B115" i="3"/>
  <c r="T114" i="3"/>
  <c r="P114" i="3"/>
  <c r="X114" i="3" s="1"/>
  <c r="L114" i="3"/>
  <c r="H114" i="3"/>
  <c r="N114" i="3" s="1"/>
  <c r="D114" i="3"/>
  <c r="B114" i="3"/>
  <c r="Z113" i="3"/>
  <c r="T113" i="3"/>
  <c r="X113" i="3" s="1"/>
  <c r="P113" i="3"/>
  <c r="H113" i="3"/>
  <c r="D113" i="3"/>
  <c r="B113" i="3"/>
  <c r="T112" i="3"/>
  <c r="P112" i="3"/>
  <c r="X112" i="3" s="1"/>
  <c r="Z112" i="3" s="1"/>
  <c r="L112" i="3"/>
  <c r="N112" i="3" s="1"/>
  <c r="H112" i="3"/>
  <c r="D112" i="3"/>
  <c r="B112" i="3"/>
  <c r="Z111" i="3"/>
  <c r="X111" i="3"/>
  <c r="T111" i="3"/>
  <c r="P111" i="3"/>
  <c r="L111" i="3"/>
  <c r="H111" i="3"/>
  <c r="N111" i="3" s="1"/>
  <c r="D111" i="3"/>
  <c r="B111" i="3"/>
  <c r="T110" i="3"/>
  <c r="Z110" i="3" s="1"/>
  <c r="P110" i="3"/>
  <c r="X110" i="3" s="1"/>
  <c r="L110" i="3"/>
  <c r="N110" i="3" s="1"/>
  <c r="H110" i="3"/>
  <c r="D110" i="3"/>
  <c r="B110" i="3"/>
  <c r="T109" i="3"/>
  <c r="X109" i="3" s="1"/>
  <c r="P109" i="3"/>
  <c r="H109" i="3"/>
  <c r="D109" i="3"/>
  <c r="L109" i="3" s="1"/>
  <c r="B109" i="3"/>
  <c r="T108" i="3"/>
  <c r="Z108" i="3" s="1"/>
  <c r="P108" i="3"/>
  <c r="X108" i="3" s="1"/>
  <c r="L108" i="3"/>
  <c r="N108" i="3" s="1"/>
  <c r="H108" i="3"/>
  <c r="D108" i="3"/>
  <c r="B108" i="3"/>
  <c r="T107" i="3"/>
  <c r="P107" i="3"/>
  <c r="X107" i="3" s="1"/>
  <c r="Z107" i="3" s="1"/>
  <c r="L107" i="3"/>
  <c r="H107" i="3"/>
  <c r="D107" i="3"/>
  <c r="B107" i="3"/>
  <c r="T106" i="3"/>
  <c r="Z106" i="3" s="1"/>
  <c r="P106" i="3"/>
  <c r="X106" i="3" s="1"/>
  <c r="H106" i="3"/>
  <c r="D106" i="3"/>
  <c r="B106" i="3"/>
  <c r="Z105" i="3"/>
  <c r="T105" i="3"/>
  <c r="X105" i="3" s="1"/>
  <c r="P105" i="3"/>
  <c r="H105" i="3"/>
  <c r="N105" i="3" s="1"/>
  <c r="D105" i="3"/>
  <c r="L105" i="3" s="1"/>
  <c r="B105" i="3"/>
  <c r="T104" i="3"/>
  <c r="P104" i="3"/>
  <c r="L104" i="3"/>
  <c r="N104" i="3" s="1"/>
  <c r="H104" i="3"/>
  <c r="D104" i="3"/>
  <c r="B104" i="3"/>
  <c r="T103" i="3"/>
  <c r="Z103" i="3" s="1"/>
  <c r="P103" i="3"/>
  <c r="X103" i="3" s="1"/>
  <c r="L103" i="3"/>
  <c r="H103" i="3"/>
  <c r="D103" i="3"/>
  <c r="B103" i="3"/>
  <c r="T102" i="3"/>
  <c r="Z102" i="3" s="1"/>
  <c r="P102" i="3"/>
  <c r="X102" i="3" s="1"/>
  <c r="L102" i="3"/>
  <c r="H102" i="3"/>
  <c r="N102" i="3" s="1"/>
  <c r="D102" i="3"/>
  <c r="B102" i="3"/>
  <c r="Z101" i="3"/>
  <c r="T101" i="3"/>
  <c r="X101" i="3" s="1"/>
  <c r="P101" i="3"/>
  <c r="H101" i="3"/>
  <c r="D101" i="3"/>
  <c r="B101" i="3"/>
  <c r="T100" i="3"/>
  <c r="P100" i="3"/>
  <c r="X100" i="3" s="1"/>
  <c r="Z100" i="3" s="1"/>
  <c r="N100" i="3"/>
  <c r="L100" i="3"/>
  <c r="H100" i="3"/>
  <c r="D100" i="3"/>
  <c r="B100" i="3"/>
  <c r="T99" i="3"/>
  <c r="P99" i="3"/>
  <c r="X99" i="3" s="1"/>
  <c r="Z99" i="3" s="1"/>
  <c r="L99" i="3"/>
  <c r="H99" i="3"/>
  <c r="N99" i="3" s="1"/>
  <c r="D99" i="3"/>
  <c r="B99" i="3"/>
  <c r="T98" i="3"/>
  <c r="P98" i="3"/>
  <c r="X98" i="3" s="1"/>
  <c r="N98" i="3"/>
  <c r="L98" i="3"/>
  <c r="H98" i="3"/>
  <c r="D98" i="3"/>
  <c r="B98" i="3"/>
  <c r="Z97" i="3"/>
  <c r="T97" i="3"/>
  <c r="X97" i="3" s="1"/>
  <c r="P97" i="3"/>
  <c r="H97" i="3"/>
  <c r="N97" i="3" s="1"/>
  <c r="D97" i="3"/>
  <c r="B97" i="3"/>
  <c r="T96" i="3"/>
  <c r="P96" i="3"/>
  <c r="N96" i="3"/>
  <c r="L96" i="3"/>
  <c r="H96" i="3"/>
  <c r="D96" i="3"/>
  <c r="B96" i="3"/>
  <c r="X95" i="3"/>
  <c r="T95" i="3"/>
  <c r="Z95" i="3" s="1"/>
  <c r="P95" i="3"/>
  <c r="H95" i="3"/>
  <c r="N95" i="3" s="1"/>
  <c r="D95" i="3"/>
  <c r="B95" i="3"/>
  <c r="T94" i="3"/>
  <c r="Z94" i="3" s="1"/>
  <c r="P94" i="3"/>
  <c r="X94" i="3" s="1"/>
  <c r="N94" i="3"/>
  <c r="L94" i="3"/>
  <c r="H94" i="3"/>
  <c r="D94" i="3"/>
  <c r="B94" i="3"/>
  <c r="T93" i="3"/>
  <c r="X93" i="3" s="1"/>
  <c r="P93" i="3"/>
  <c r="H93" i="3"/>
  <c r="D93" i="3"/>
  <c r="B93" i="3"/>
  <c r="T92" i="3"/>
  <c r="P92" i="3"/>
  <c r="N92" i="3"/>
  <c r="L92" i="3"/>
  <c r="H92" i="3"/>
  <c r="D92" i="3"/>
  <c r="B92" i="3"/>
  <c r="Z91" i="3"/>
  <c r="X91" i="3"/>
  <c r="T91" i="3"/>
  <c r="P91" i="3"/>
  <c r="H91" i="3"/>
  <c r="D91" i="3"/>
  <c r="B91" i="3"/>
  <c r="T90" i="3"/>
  <c r="Z90" i="3" s="1"/>
  <c r="P90" i="3"/>
  <c r="X90" i="3" s="1"/>
  <c r="H90" i="3"/>
  <c r="D90" i="3"/>
  <c r="B90" i="3"/>
  <c r="Z89" i="3"/>
  <c r="T89" i="3"/>
  <c r="X89" i="3" s="1"/>
  <c r="P89" i="3"/>
  <c r="H89" i="3"/>
  <c r="N89" i="3" s="1"/>
  <c r="D89" i="3"/>
  <c r="B89" i="3"/>
  <c r="T88" i="3"/>
  <c r="P88" i="3"/>
  <c r="X88" i="3" s="1"/>
  <c r="Z88" i="3" s="1"/>
  <c r="L88" i="3"/>
  <c r="N88" i="3" s="1"/>
  <c r="H88" i="3"/>
  <c r="D88" i="3"/>
  <c r="B88" i="3"/>
  <c r="X87" i="3"/>
  <c r="T87" i="3"/>
  <c r="Z87" i="3" s="1"/>
  <c r="P87" i="3"/>
  <c r="L87" i="3"/>
  <c r="H87" i="3"/>
  <c r="D87" i="3"/>
  <c r="B87" i="3"/>
  <c r="T86" i="3"/>
  <c r="Z86" i="3" s="1"/>
  <c r="P86" i="3"/>
  <c r="X86" i="3" s="1"/>
  <c r="N86" i="3"/>
  <c r="L86" i="3"/>
  <c r="H86" i="3"/>
  <c r="D86" i="3"/>
  <c r="B86" i="3"/>
  <c r="T85" i="3"/>
  <c r="X85" i="3" s="1"/>
  <c r="P85" i="3"/>
  <c r="H85" i="3"/>
  <c r="D85" i="3"/>
  <c r="L85" i="3" s="1"/>
  <c r="B85" i="3"/>
  <c r="T84" i="3"/>
  <c r="P84" i="3"/>
  <c r="L84" i="3"/>
  <c r="N84" i="3" s="1"/>
  <c r="H84" i="3"/>
  <c r="D84" i="3"/>
  <c r="B84" i="3"/>
  <c r="T83" i="3"/>
  <c r="P83" i="3"/>
  <c r="X83" i="3" s="1"/>
  <c r="Z83" i="3" s="1"/>
  <c r="L83" i="3"/>
  <c r="H83" i="3"/>
  <c r="D83" i="3"/>
  <c r="B83" i="3"/>
  <c r="T82" i="3"/>
  <c r="P82" i="3"/>
  <c r="X82" i="3" s="1"/>
  <c r="H82" i="3"/>
  <c r="D82" i="3"/>
  <c r="B82" i="3"/>
  <c r="T81" i="3"/>
  <c r="X81" i="3" s="1"/>
  <c r="P81" i="3"/>
  <c r="L81" i="3"/>
  <c r="H81" i="3"/>
  <c r="D81" i="3"/>
  <c r="B81" i="3"/>
  <c r="T80" i="3"/>
  <c r="P80" i="3"/>
  <c r="X80" i="3" s="1"/>
  <c r="Z80" i="3" s="1"/>
  <c r="L80" i="3"/>
  <c r="N80" i="3" s="1"/>
  <c r="H80" i="3"/>
  <c r="D80" i="3"/>
  <c r="B80" i="3"/>
  <c r="Z79" i="3"/>
  <c r="X79" i="3"/>
  <c r="T79" i="3"/>
  <c r="P79" i="3"/>
  <c r="L79" i="3"/>
  <c r="H79" i="3"/>
  <c r="D79" i="3"/>
  <c r="B79" i="3"/>
  <c r="T78" i="3"/>
  <c r="P78" i="3"/>
  <c r="N78" i="3"/>
  <c r="L78" i="3"/>
  <c r="H78" i="3"/>
  <c r="D78" i="3"/>
  <c r="B78" i="3"/>
  <c r="T77" i="3"/>
  <c r="X77" i="3" s="1"/>
  <c r="P77" i="3"/>
  <c r="H77" i="3"/>
  <c r="D77" i="3"/>
  <c r="L77" i="3" s="1"/>
  <c r="B77" i="3"/>
  <c r="T76" i="3"/>
  <c r="Z76" i="3" s="1"/>
  <c r="P76" i="3"/>
  <c r="N76" i="3"/>
  <c r="L76" i="3"/>
  <c r="H76" i="3"/>
  <c r="D76" i="3"/>
  <c r="B76" i="3"/>
  <c r="X75" i="3"/>
  <c r="T75" i="3"/>
  <c r="Z75" i="3" s="1"/>
  <c r="P75" i="3"/>
  <c r="H75" i="3"/>
  <c r="D75" i="3"/>
  <c r="B75" i="3"/>
  <c r="T74" i="3"/>
  <c r="P74" i="3"/>
  <c r="L74" i="3"/>
  <c r="N74" i="3" s="1"/>
  <c r="H74" i="3"/>
  <c r="D74" i="3"/>
  <c r="B74" i="3"/>
  <c r="T73" i="3"/>
  <c r="X73" i="3" s="1"/>
  <c r="P73" i="3"/>
  <c r="L73" i="3"/>
  <c r="H73" i="3"/>
  <c r="D73" i="3"/>
  <c r="B73" i="3"/>
  <c r="T72" i="3"/>
  <c r="P72" i="3"/>
  <c r="L72" i="3"/>
  <c r="N72" i="3" s="1"/>
  <c r="H72" i="3"/>
  <c r="D72" i="3"/>
  <c r="B72" i="3"/>
  <c r="Z71" i="3"/>
  <c r="X71" i="3"/>
  <c r="T71" i="3"/>
  <c r="P71" i="3"/>
  <c r="H71" i="3"/>
  <c r="D71" i="3"/>
  <c r="B71" i="3"/>
  <c r="T70" i="3"/>
  <c r="P70" i="3"/>
  <c r="H70" i="3"/>
  <c r="L70" i="3" s="1"/>
  <c r="D70" i="3"/>
  <c r="B70" i="3"/>
  <c r="Z69" i="3"/>
  <c r="T69" i="3"/>
  <c r="X69" i="3" s="1"/>
  <c r="P69" i="3"/>
  <c r="H69" i="3"/>
  <c r="D69" i="3"/>
  <c r="L69" i="3" s="1"/>
  <c r="B69" i="3"/>
  <c r="T68" i="3"/>
  <c r="Z68" i="3" s="1"/>
  <c r="P68" i="3"/>
  <c r="X68" i="3" s="1"/>
  <c r="L68" i="3"/>
  <c r="N68" i="3" s="1"/>
  <c r="H68" i="3"/>
  <c r="D68" i="3"/>
  <c r="B68" i="3"/>
  <c r="T67" i="3"/>
  <c r="P67" i="3"/>
  <c r="X67" i="3" s="1"/>
  <c r="Z67" i="3" s="1"/>
  <c r="L67" i="3"/>
  <c r="H67" i="3"/>
  <c r="D67" i="3"/>
  <c r="B67" i="3"/>
  <c r="T66" i="3"/>
  <c r="P66" i="3"/>
  <c r="X66" i="3" s="1"/>
  <c r="H66" i="3"/>
  <c r="N66" i="3" s="1"/>
  <c r="D66" i="3"/>
  <c r="B66" i="3"/>
  <c r="Z65" i="3"/>
  <c r="T65" i="3"/>
  <c r="X65" i="3" s="1"/>
  <c r="P65" i="3"/>
  <c r="H65" i="3"/>
  <c r="N65" i="3" s="1"/>
  <c r="D65" i="3"/>
  <c r="B65" i="3"/>
  <c r="T64" i="3"/>
  <c r="P64" i="3"/>
  <c r="X64" i="3" s="1"/>
  <c r="Z64" i="3" s="1"/>
  <c r="L64" i="3"/>
  <c r="N64" i="3" s="1"/>
  <c r="H64" i="3"/>
  <c r="D64" i="3"/>
  <c r="B64" i="3"/>
  <c r="T63" i="3"/>
  <c r="P63" i="3"/>
  <c r="L63" i="3"/>
  <c r="H63" i="3"/>
  <c r="N63" i="3" s="1"/>
  <c r="D63" i="3"/>
  <c r="B63" i="3"/>
  <c r="T62" i="3"/>
  <c r="P62" i="3"/>
  <c r="N62" i="3"/>
  <c r="L62" i="3"/>
  <c r="H62" i="3"/>
  <c r="D62" i="3"/>
  <c r="B62" i="3"/>
  <c r="T61" i="3"/>
  <c r="X61" i="3" s="1"/>
  <c r="P61" i="3"/>
  <c r="H61" i="3"/>
  <c r="N61" i="3" s="1"/>
  <c r="D61" i="3"/>
  <c r="L61" i="3" s="1"/>
  <c r="B61" i="3"/>
  <c r="T60" i="3"/>
  <c r="P60" i="3"/>
  <c r="L60" i="3"/>
  <c r="N60" i="3" s="1"/>
  <c r="H60" i="3"/>
  <c r="D60" i="3"/>
  <c r="B60" i="3"/>
  <c r="T59" i="3"/>
  <c r="P59" i="3"/>
  <c r="X59" i="3" s="1"/>
  <c r="H59" i="3"/>
  <c r="D59" i="3"/>
  <c r="B59" i="3"/>
  <c r="T58" i="3"/>
  <c r="P58" i="3"/>
  <c r="X58" i="3" s="1"/>
  <c r="N58" i="3"/>
  <c r="L58" i="3"/>
  <c r="H58" i="3"/>
  <c r="D58" i="3"/>
  <c r="B58" i="3"/>
  <c r="Z57" i="3"/>
  <c r="T57" i="3"/>
  <c r="X57" i="3" s="1"/>
  <c r="P57" i="3"/>
  <c r="H57" i="3"/>
  <c r="D57" i="3"/>
  <c r="L57" i="3" s="1"/>
  <c r="B57" i="3"/>
  <c r="T56" i="3"/>
  <c r="P56" i="3"/>
  <c r="L56" i="3"/>
  <c r="N56" i="3" s="1"/>
  <c r="H56" i="3"/>
  <c r="D56" i="3"/>
  <c r="B56" i="3"/>
  <c r="T55" i="3"/>
  <c r="P55" i="3"/>
  <c r="X55" i="3" s="1"/>
  <c r="Z55" i="3" s="1"/>
  <c r="L55" i="3"/>
  <c r="H55" i="3"/>
  <c r="D55" i="3"/>
  <c r="B55" i="3"/>
  <c r="T54" i="3"/>
  <c r="P54" i="3"/>
  <c r="X54" i="3" s="1"/>
  <c r="H54" i="3"/>
  <c r="D54" i="3"/>
  <c r="B54" i="3"/>
  <c r="T53" i="3"/>
  <c r="X53" i="3" s="1"/>
  <c r="P53" i="3"/>
  <c r="L53" i="3"/>
  <c r="H53" i="3"/>
  <c r="D53" i="3"/>
  <c r="B53" i="3"/>
  <c r="T52" i="3"/>
  <c r="P52" i="3"/>
  <c r="X52" i="3" s="1"/>
  <c r="Z52" i="3" s="1"/>
  <c r="N52" i="3"/>
  <c r="L52" i="3"/>
  <c r="H52" i="3"/>
  <c r="D52" i="3"/>
  <c r="B52" i="3"/>
  <c r="T51" i="3"/>
  <c r="P51" i="3"/>
  <c r="X51" i="3" s="1"/>
  <c r="Z51" i="3" s="1"/>
  <c r="L51" i="3"/>
  <c r="H51" i="3"/>
  <c r="D51" i="3"/>
  <c r="B51" i="3"/>
  <c r="T50" i="3"/>
  <c r="P50" i="3"/>
  <c r="X50" i="3" s="1"/>
  <c r="N50" i="3"/>
  <c r="H50" i="3"/>
  <c r="L50" i="3" s="1"/>
  <c r="D50" i="3"/>
  <c r="B50" i="3"/>
  <c r="T49" i="3"/>
  <c r="X49" i="3" s="1"/>
  <c r="P49" i="3"/>
  <c r="L49" i="3"/>
  <c r="H49" i="3"/>
  <c r="N49" i="3" s="1"/>
  <c r="D49" i="3"/>
  <c r="B49" i="3"/>
  <c r="Z48" i="3"/>
  <c r="T48" i="3"/>
  <c r="P48" i="3"/>
  <c r="X48" i="3" s="1"/>
  <c r="L48" i="3"/>
  <c r="N48" i="3" s="1"/>
  <c r="H48" i="3"/>
  <c r="D48" i="3"/>
  <c r="B48" i="3"/>
  <c r="X47" i="3"/>
  <c r="T47" i="3"/>
  <c r="Z47" i="3" s="1"/>
  <c r="P47" i="3"/>
  <c r="H47" i="3"/>
  <c r="H12" i="3" s="1"/>
  <c r="D47" i="3"/>
  <c r="B47" i="3"/>
  <c r="T46" i="3"/>
  <c r="P46" i="3"/>
  <c r="L46" i="3"/>
  <c r="N46" i="3" s="1"/>
  <c r="H46" i="3"/>
  <c r="D46" i="3"/>
  <c r="B46" i="3"/>
  <c r="T45" i="3"/>
  <c r="X45" i="3" s="1"/>
  <c r="P45" i="3"/>
  <c r="H45" i="3"/>
  <c r="D45" i="3"/>
  <c r="L45" i="3" s="1"/>
  <c r="B45" i="3"/>
  <c r="T44" i="3"/>
  <c r="P44" i="3"/>
  <c r="L44" i="3"/>
  <c r="H44" i="3"/>
  <c r="D44" i="3"/>
  <c r="B44" i="3"/>
  <c r="T43" i="3"/>
  <c r="X43" i="3" s="1"/>
  <c r="Z43" i="3" s="1"/>
  <c r="P43" i="3"/>
  <c r="H43" i="3"/>
  <c r="D43" i="3"/>
  <c r="B43" i="3"/>
  <c r="T42" i="3"/>
  <c r="P42" i="3"/>
  <c r="L42" i="3"/>
  <c r="N42" i="3" s="1"/>
  <c r="H42" i="3"/>
  <c r="D42" i="3"/>
  <c r="B42" i="3"/>
  <c r="T41" i="3"/>
  <c r="X41" i="3" s="1"/>
  <c r="P41" i="3"/>
  <c r="L41" i="3"/>
  <c r="H41" i="3"/>
  <c r="D41" i="3"/>
  <c r="B41" i="3"/>
  <c r="Z40" i="3"/>
  <c r="T40" i="3"/>
  <c r="P40" i="3"/>
  <c r="X40" i="3" s="1"/>
  <c r="H40" i="3"/>
  <c r="D40" i="3"/>
  <c r="B40" i="3"/>
  <c r="T39" i="3"/>
  <c r="P39" i="3"/>
  <c r="X39" i="3" s="1"/>
  <c r="Z39" i="3" s="1"/>
  <c r="L39" i="3"/>
  <c r="H39" i="3"/>
  <c r="D39" i="3"/>
  <c r="B39" i="3"/>
  <c r="T38" i="3"/>
  <c r="Z38" i="3" s="1"/>
  <c r="P38" i="3"/>
  <c r="X38" i="3" s="1"/>
  <c r="L38" i="3"/>
  <c r="H38" i="3"/>
  <c r="N38" i="3" s="1"/>
  <c r="D38" i="3"/>
  <c r="B38" i="3"/>
  <c r="T37" i="3"/>
  <c r="P37" i="3"/>
  <c r="X37" i="3" s="1"/>
  <c r="Z37" i="3" s="1"/>
  <c r="H37" i="3"/>
  <c r="D37" i="3"/>
  <c r="L37" i="3" s="1"/>
  <c r="B37" i="3"/>
  <c r="T36" i="3"/>
  <c r="P36" i="3"/>
  <c r="L36" i="3"/>
  <c r="N36" i="3" s="1"/>
  <c r="H36" i="3"/>
  <c r="D36" i="3"/>
  <c r="B36" i="3"/>
  <c r="T35" i="3"/>
  <c r="P35" i="3"/>
  <c r="L35" i="3"/>
  <c r="H35" i="3"/>
  <c r="D35" i="3"/>
  <c r="B35" i="3"/>
  <c r="Z34" i="3"/>
  <c r="T34" i="3"/>
  <c r="P34" i="3"/>
  <c r="X34" i="3" s="1"/>
  <c r="H34" i="3"/>
  <c r="D34" i="3"/>
  <c r="L34" i="3" s="1"/>
  <c r="B34" i="3"/>
  <c r="T33" i="3"/>
  <c r="P33" i="3"/>
  <c r="X33" i="3" s="1"/>
  <c r="Z33" i="3" s="1"/>
  <c r="L33" i="3"/>
  <c r="H33" i="3"/>
  <c r="D33" i="3"/>
  <c r="B33" i="3"/>
  <c r="T32" i="3"/>
  <c r="P32" i="3"/>
  <c r="N32" i="3"/>
  <c r="L32" i="3"/>
  <c r="H32" i="3"/>
  <c r="D32" i="3"/>
  <c r="B32" i="3"/>
  <c r="T31" i="3"/>
  <c r="P31" i="3"/>
  <c r="H31" i="3"/>
  <c r="D31" i="3"/>
  <c r="L31" i="3" s="1"/>
  <c r="N31" i="3" s="1"/>
  <c r="B31" i="3"/>
  <c r="T30" i="3"/>
  <c r="Z30" i="3" s="1"/>
  <c r="P30" i="3"/>
  <c r="X30" i="3" s="1"/>
  <c r="H30" i="3"/>
  <c r="D30" i="3"/>
  <c r="B30" i="3"/>
  <c r="T29" i="3"/>
  <c r="Z29" i="3" s="1"/>
  <c r="P29" i="3"/>
  <c r="X29" i="3" s="1"/>
  <c r="H29" i="3"/>
  <c r="D29" i="3"/>
  <c r="L29" i="3" s="1"/>
  <c r="B29" i="3"/>
  <c r="T28" i="3"/>
  <c r="P28" i="3"/>
  <c r="X28" i="3" s="1"/>
  <c r="Z28" i="3" s="1"/>
  <c r="H28" i="3"/>
  <c r="L28" i="3" s="1"/>
  <c r="D28" i="3"/>
  <c r="B28" i="3"/>
  <c r="X27" i="3"/>
  <c r="Z27" i="3" s="1"/>
  <c r="T27" i="3"/>
  <c r="P27" i="3"/>
  <c r="H27" i="3"/>
  <c r="D27" i="3"/>
  <c r="L27" i="3" s="1"/>
  <c r="B27" i="3"/>
  <c r="T26" i="3"/>
  <c r="P26" i="3"/>
  <c r="X26" i="3" s="1"/>
  <c r="Z26" i="3" s="1"/>
  <c r="H26" i="3"/>
  <c r="D26" i="3"/>
  <c r="L26" i="3" s="1"/>
  <c r="N26" i="3" s="1"/>
  <c r="B26" i="3"/>
  <c r="T25" i="3"/>
  <c r="P25" i="3"/>
  <c r="X25" i="3" s="1"/>
  <c r="Z25" i="3" s="1"/>
  <c r="H25" i="3"/>
  <c r="D25" i="3"/>
  <c r="L25" i="3" s="1"/>
  <c r="B25" i="3"/>
  <c r="T24" i="3"/>
  <c r="P24" i="3"/>
  <c r="X24" i="3" s="1"/>
  <c r="Z24" i="3" s="1"/>
  <c r="H24" i="3"/>
  <c r="D24" i="3"/>
  <c r="L24" i="3" s="1"/>
  <c r="B24" i="3"/>
  <c r="X23" i="3"/>
  <c r="Z23" i="3" s="1"/>
  <c r="T23" i="3"/>
  <c r="P23" i="3"/>
  <c r="H23" i="3"/>
  <c r="N23" i="3" s="1"/>
  <c r="D23" i="3"/>
  <c r="L23" i="3" s="1"/>
  <c r="B23" i="3"/>
  <c r="T22" i="3"/>
  <c r="P22" i="3"/>
  <c r="X22" i="3" s="1"/>
  <c r="Z22" i="3" s="1"/>
  <c r="H22" i="3"/>
  <c r="D22" i="3"/>
  <c r="L22" i="3" s="1"/>
  <c r="N22" i="3" s="1"/>
  <c r="B22" i="3"/>
  <c r="T21" i="3"/>
  <c r="P21" i="3"/>
  <c r="X21" i="3" s="1"/>
  <c r="Z21" i="3" s="1"/>
  <c r="H21" i="3"/>
  <c r="D21" i="3"/>
  <c r="L21" i="3" s="1"/>
  <c r="B21" i="3"/>
  <c r="T20" i="3"/>
  <c r="P20" i="3"/>
  <c r="X20" i="3" s="1"/>
  <c r="Z20" i="3" s="1"/>
  <c r="H20" i="3"/>
  <c r="D20" i="3"/>
  <c r="L20" i="3" s="1"/>
  <c r="B20" i="3"/>
  <c r="X19" i="3"/>
  <c r="Z19" i="3" s="1"/>
  <c r="T19" i="3"/>
  <c r="P19" i="3"/>
  <c r="H19" i="3"/>
  <c r="N19" i="3" s="1"/>
  <c r="D19" i="3"/>
  <c r="L19" i="3" s="1"/>
  <c r="B19" i="3"/>
  <c r="T18" i="3"/>
  <c r="P18" i="3"/>
  <c r="X18" i="3" s="1"/>
  <c r="Z18" i="3" s="1"/>
  <c r="H18" i="3"/>
  <c r="D18" i="3"/>
  <c r="L18" i="3" s="1"/>
  <c r="N18" i="3" s="1"/>
  <c r="B18" i="3"/>
  <c r="T17" i="3"/>
  <c r="P17" i="3"/>
  <c r="X17" i="3" s="1"/>
  <c r="Z17" i="3" s="1"/>
  <c r="H17" i="3"/>
  <c r="N17" i="3" s="1"/>
  <c r="D17" i="3"/>
  <c r="L17" i="3" s="1"/>
  <c r="B17" i="3"/>
  <c r="T16" i="3"/>
  <c r="P16" i="3"/>
  <c r="X16" i="3" s="1"/>
  <c r="Z16" i="3" s="1"/>
  <c r="H16" i="3"/>
  <c r="D16" i="3"/>
  <c r="L16" i="3" s="1"/>
  <c r="B16" i="3"/>
  <c r="X15" i="3"/>
  <c r="Z15" i="3" s="1"/>
  <c r="T15" i="3"/>
  <c r="P15" i="3"/>
  <c r="H15" i="3"/>
  <c r="D15" i="3"/>
  <c r="L15" i="3" s="1"/>
  <c r="B15" i="3"/>
  <c r="T14" i="3"/>
  <c r="P14" i="3"/>
  <c r="X14" i="3" s="1"/>
  <c r="Z14" i="3" s="1"/>
  <c r="N14" i="3"/>
  <c r="L14" i="3"/>
  <c r="H14" i="3"/>
  <c r="D14" i="3"/>
  <c r="B14" i="3"/>
  <c r="Z13" i="3"/>
  <c r="T13" i="3"/>
  <c r="T12" i="3" s="1"/>
  <c r="P13" i="3"/>
  <c r="P12" i="3" s="1"/>
  <c r="H13" i="3"/>
  <c r="N13" i="3" s="1"/>
  <c r="D13" i="3"/>
  <c r="D12" i="3" s="1"/>
  <c r="B13" i="3"/>
  <c r="D4" i="3"/>
  <c r="B39" i="112"/>
  <c r="H24" i="112"/>
  <c r="H22" i="112"/>
  <c r="H13" i="112"/>
  <c r="D5" i="112"/>
  <c r="P20" i="111"/>
  <c r="P16" i="111"/>
  <c r="D12" i="111"/>
  <c r="P24" i="110"/>
  <c r="P22" i="110"/>
  <c r="T20" i="110"/>
  <c r="T16" i="110"/>
  <c r="T13" i="110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P21" i="110"/>
  <c r="T15" i="110"/>
  <c r="P13" i="110"/>
  <c r="H12" i="110"/>
  <c r="B25" i="112"/>
  <c r="D24" i="112"/>
  <c r="D22" i="112"/>
  <c r="H20" i="112"/>
  <c r="H16" i="112"/>
  <c r="B13" i="112"/>
  <c r="B39" i="111"/>
  <c r="H24" i="111"/>
  <c r="H22" i="111"/>
  <c r="H13" i="111"/>
  <c r="D5" i="111"/>
  <c r="P20" i="110"/>
  <c r="P16" i="110"/>
  <c r="D12" i="110"/>
  <c r="B22" i="112"/>
  <c r="D21" i="112"/>
  <c r="H15" i="112"/>
  <c r="B38" i="111"/>
  <c r="D34" i="111"/>
  <c r="D33" i="111"/>
  <c r="D29" i="111"/>
  <c r="D25" i="111"/>
  <c r="H21" i="111"/>
  <c r="D13" i="111"/>
  <c r="D4" i="111"/>
  <c r="H34" i="110"/>
  <c r="H33" i="110"/>
  <c r="H29" i="110"/>
  <c r="H25" i="110"/>
  <c r="P15" i="110"/>
  <c r="D6" i="110"/>
  <c r="B21" i="112"/>
  <c r="D20" i="112"/>
  <c r="D16" i="112"/>
  <c r="B25" i="111"/>
  <c r="D24" i="111"/>
  <c r="D22" i="111"/>
  <c r="H20" i="111"/>
  <c r="H16" i="111"/>
  <c r="B13" i="111"/>
  <c r="B39" i="110"/>
  <c r="H24" i="110"/>
  <c r="H22" i="110"/>
  <c r="H13" i="110"/>
  <c r="D5" i="110"/>
  <c r="T34" i="112"/>
  <c r="T33" i="112"/>
  <c r="T29" i="112"/>
  <c r="T25" i="112"/>
  <c r="B16" i="112"/>
  <c r="D15" i="112"/>
  <c r="T12" i="112"/>
  <c r="B22" i="111"/>
  <c r="D21" i="111"/>
  <c r="H15" i="111"/>
  <c r="B38" i="110"/>
  <c r="D34" i="110"/>
  <c r="D33" i="110"/>
  <c r="D29" i="110"/>
  <c r="D25" i="110"/>
  <c r="H21" i="110"/>
  <c r="D13" i="110"/>
  <c r="D4" i="110"/>
  <c r="T24" i="112"/>
  <c r="T22" i="112"/>
  <c r="P12" i="112"/>
  <c r="B21" i="111"/>
  <c r="D20" i="111"/>
  <c r="D16" i="111"/>
  <c r="B25" i="110"/>
  <c r="D24" i="110"/>
  <c r="D22" i="110"/>
  <c r="H20" i="110"/>
  <c r="H16" i="110"/>
  <c r="B13" i="110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B22" i="110"/>
  <c r="D21" i="110"/>
  <c r="H15" i="110"/>
  <c r="P24" i="112"/>
  <c r="P22" i="112"/>
  <c r="T20" i="112"/>
  <c r="T16" i="112"/>
  <c r="T13" i="112"/>
  <c r="T24" i="111"/>
  <c r="T22" i="111"/>
  <c r="P12" i="111"/>
  <c r="B21" i="110"/>
  <c r="D20" i="110"/>
  <c r="D16" i="110"/>
  <c r="P21" i="112"/>
  <c r="T15" i="112"/>
  <c r="P13" i="112"/>
  <c r="H12" i="112"/>
  <c r="P34" i="111"/>
  <c r="P33" i="111"/>
  <c r="P29" i="111"/>
  <c r="P25" i="111"/>
  <c r="T21" i="111"/>
  <c r="T34" i="110"/>
  <c r="T33" i="110"/>
  <c r="T29" i="110"/>
  <c r="T25" i="110"/>
  <c r="B16" i="110"/>
  <c r="D15" i="110"/>
  <c r="T12" i="110"/>
  <c r="P20" i="112"/>
  <c r="P16" i="112"/>
  <c r="D12" i="112"/>
  <c r="P24" i="111"/>
  <c r="P22" i="111"/>
  <c r="T20" i="111"/>
  <c r="T16" i="111"/>
  <c r="T13" i="111"/>
  <c r="T24" i="110"/>
  <c r="T22" i="110"/>
  <c r="P12" i="110"/>
  <c r="P29" i="110"/>
  <c r="H34" i="112"/>
  <c r="P15" i="112"/>
  <c r="P21" i="111"/>
  <c r="H33" i="112"/>
  <c r="P25" i="110"/>
  <c r="D6" i="112"/>
  <c r="H29" i="112"/>
  <c r="T15" i="111"/>
  <c r="T21" i="110"/>
  <c r="H25" i="112"/>
  <c r="P13" i="111"/>
  <c r="H12" i="111"/>
  <c r="P34" i="110"/>
  <c r="P33" i="110"/>
  <c r="P34" i="53"/>
  <c r="P33" i="53"/>
  <c r="P29" i="53"/>
  <c r="P25" i="53"/>
  <c r="T21" i="53"/>
  <c r="T24" i="52"/>
  <c r="T22" i="52"/>
  <c r="P12" i="52"/>
  <c r="P24" i="53"/>
  <c r="P22" i="53"/>
  <c r="T20" i="53"/>
  <c r="T16" i="53"/>
  <c r="T13" i="53"/>
  <c r="P34" i="52"/>
  <c r="P33" i="52"/>
  <c r="P29" i="52"/>
  <c r="P25" i="52"/>
  <c r="T21" i="52"/>
  <c r="P21" i="53"/>
  <c r="T15" i="53"/>
  <c r="P13" i="53"/>
  <c r="H12" i="53"/>
  <c r="P24" i="52"/>
  <c r="P22" i="52"/>
  <c r="T20" i="52"/>
  <c r="T16" i="52"/>
  <c r="T13" i="52"/>
  <c r="P20" i="53"/>
  <c r="P16" i="53"/>
  <c r="D12" i="53"/>
  <c r="H34" i="53"/>
  <c r="H33" i="53"/>
  <c r="H29" i="53"/>
  <c r="H25" i="53"/>
  <c r="P15" i="53"/>
  <c r="D5" i="53"/>
  <c r="P20" i="52"/>
  <c r="P16" i="52"/>
  <c r="D12" i="52"/>
  <c r="B38" i="53"/>
  <c r="D34" i="53"/>
  <c r="D33" i="53"/>
  <c r="D29" i="53"/>
  <c r="D25" i="53"/>
  <c r="H21" i="53"/>
  <c r="D13" i="53"/>
  <c r="B39" i="52"/>
  <c r="H24" i="52"/>
  <c r="H22" i="52"/>
  <c r="H13" i="52"/>
  <c r="D4" i="52"/>
  <c r="B25" i="53"/>
  <c r="D24" i="53"/>
  <c r="D22" i="53"/>
  <c r="H20" i="53"/>
  <c r="H16" i="53"/>
  <c r="B22" i="53"/>
  <c r="D21" i="53"/>
  <c r="H15" i="53"/>
  <c r="B25" i="52"/>
  <c r="D24" i="52"/>
  <c r="D22" i="52"/>
  <c r="H20" i="52"/>
  <c r="H16" i="52"/>
  <c r="B13" i="52"/>
  <c r="T34" i="53"/>
  <c r="T33" i="53"/>
  <c r="T29" i="53"/>
  <c r="T25" i="53"/>
  <c r="B16" i="53"/>
  <c r="D15" i="53"/>
  <c r="T12" i="53"/>
  <c r="B21" i="52"/>
  <c r="D20" i="52"/>
  <c r="D16" i="52"/>
  <c r="T24" i="53"/>
  <c r="T22" i="53"/>
  <c r="P12" i="53"/>
  <c r="T34" i="52"/>
  <c r="T33" i="52"/>
  <c r="T29" i="52"/>
  <c r="T25" i="52"/>
  <c r="B16" i="52"/>
  <c r="D15" i="52"/>
  <c r="T12" i="52"/>
  <c r="B21" i="53"/>
  <c r="P13" i="52"/>
  <c r="P34" i="50"/>
  <c r="P33" i="50"/>
  <c r="P29" i="50"/>
  <c r="P25" i="50"/>
  <c r="T21" i="50"/>
  <c r="T24" i="49"/>
  <c r="T22" i="49"/>
  <c r="P12" i="49"/>
  <c r="B22" i="47"/>
  <c r="D21" i="47"/>
  <c r="H15" i="47"/>
  <c r="B25" i="46"/>
  <c r="D24" i="46"/>
  <c r="D22" i="46"/>
  <c r="H20" i="46"/>
  <c r="H16" i="46"/>
  <c r="B13" i="46"/>
  <c r="D4" i="53"/>
  <c r="H33" i="52"/>
  <c r="P24" i="50"/>
  <c r="P22" i="50"/>
  <c r="T20" i="50"/>
  <c r="T16" i="50"/>
  <c r="T13" i="50"/>
  <c r="P34" i="49"/>
  <c r="P33" i="49"/>
  <c r="P29" i="49"/>
  <c r="P25" i="49"/>
  <c r="T21" i="49"/>
  <c r="B21" i="47"/>
  <c r="D20" i="47"/>
  <c r="D16" i="47"/>
  <c r="B22" i="46"/>
  <c r="D21" i="46"/>
  <c r="H15" i="46"/>
  <c r="D20" i="53"/>
  <c r="B38" i="52"/>
  <c r="D33" i="52"/>
  <c r="D13" i="52"/>
  <c r="P21" i="50"/>
  <c r="T15" i="50"/>
  <c r="P13" i="50"/>
  <c r="H12" i="50"/>
  <c r="P24" i="49"/>
  <c r="P22" i="49"/>
  <c r="T20" i="49"/>
  <c r="T16" i="49"/>
  <c r="T13" i="49"/>
  <c r="B39" i="53"/>
  <c r="B22" i="52"/>
  <c r="P20" i="50"/>
  <c r="P16" i="50"/>
  <c r="D12" i="50"/>
  <c r="P21" i="49"/>
  <c r="T15" i="49"/>
  <c r="P13" i="49"/>
  <c r="H12" i="49"/>
  <c r="T24" i="47"/>
  <c r="T22" i="47"/>
  <c r="P12" i="47"/>
  <c r="T34" i="46"/>
  <c r="T33" i="46"/>
  <c r="T29" i="46"/>
  <c r="T25" i="46"/>
  <c r="B16" i="46"/>
  <c r="D15" i="46"/>
  <c r="T12" i="46"/>
  <c r="P21" i="52"/>
  <c r="H12" i="52"/>
  <c r="H34" i="50"/>
  <c r="H33" i="50"/>
  <c r="H29" i="50"/>
  <c r="H25" i="50"/>
  <c r="P15" i="50"/>
  <c r="D5" i="50"/>
  <c r="P20" i="49"/>
  <c r="P16" i="49"/>
  <c r="D12" i="49"/>
  <c r="P34" i="47"/>
  <c r="P33" i="47"/>
  <c r="P29" i="47"/>
  <c r="P25" i="47"/>
  <c r="H25" i="52"/>
  <c r="D5" i="52"/>
  <c r="B39" i="50"/>
  <c r="H24" i="50"/>
  <c r="H22" i="50"/>
  <c r="H13" i="50"/>
  <c r="D4" i="50"/>
  <c r="H34" i="49"/>
  <c r="H33" i="49"/>
  <c r="H29" i="49"/>
  <c r="H25" i="49"/>
  <c r="P15" i="49"/>
  <c r="D5" i="49"/>
  <c r="P24" i="47"/>
  <c r="P22" i="47"/>
  <c r="T20" i="47"/>
  <c r="T16" i="47"/>
  <c r="T13" i="47"/>
  <c r="P34" i="46"/>
  <c r="P33" i="46"/>
  <c r="P29" i="46"/>
  <c r="P25" i="46"/>
  <c r="T21" i="46"/>
  <c r="D16" i="53"/>
  <c r="D25" i="52"/>
  <c r="H21" i="52"/>
  <c r="B38" i="50"/>
  <c r="D34" i="50"/>
  <c r="D33" i="50"/>
  <c r="D29" i="50"/>
  <c r="D25" i="50"/>
  <c r="H21" i="50"/>
  <c r="D13" i="50"/>
  <c r="B39" i="49"/>
  <c r="H24" i="49"/>
  <c r="H22" i="49"/>
  <c r="H13" i="49"/>
  <c r="D4" i="49"/>
  <c r="P21" i="47"/>
  <c r="T15" i="47"/>
  <c r="P13" i="47"/>
  <c r="H12" i="47"/>
  <c r="P24" i="46"/>
  <c r="P22" i="46"/>
  <c r="T20" i="46"/>
  <c r="T16" i="46"/>
  <c r="T13" i="46"/>
  <c r="H24" i="53"/>
  <c r="D21" i="52"/>
  <c r="B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P20" i="47"/>
  <c r="P16" i="47"/>
  <c r="D12" i="47"/>
  <c r="P21" i="46"/>
  <c r="T15" i="46"/>
  <c r="P13" i="46"/>
  <c r="H12" i="46"/>
  <c r="H13" i="53"/>
  <c r="D34" i="52"/>
  <c r="D29" i="52"/>
  <c r="T34" i="50"/>
  <c r="T33" i="50"/>
  <c r="T29" i="50"/>
  <c r="T25" i="50"/>
  <c r="B16" i="50"/>
  <c r="D15" i="50"/>
  <c r="T12" i="50"/>
  <c r="B21" i="49"/>
  <c r="D20" i="49"/>
  <c r="D16" i="49"/>
  <c r="B38" i="47"/>
  <c r="D34" i="47"/>
  <c r="D33" i="47"/>
  <c r="D29" i="47"/>
  <c r="D25" i="47"/>
  <c r="H21" i="47"/>
  <c r="D13" i="47"/>
  <c r="B39" i="46"/>
  <c r="H24" i="46"/>
  <c r="H22" i="46"/>
  <c r="H13" i="46"/>
  <c r="D4" i="46"/>
  <c r="B13" i="53"/>
  <c r="H15" i="52"/>
  <c r="T24" i="50"/>
  <c r="T22" i="50"/>
  <c r="P12" i="50"/>
  <c r="T34" i="49"/>
  <c r="T33" i="49"/>
  <c r="T29" i="49"/>
  <c r="T25" i="49"/>
  <c r="B16" i="49"/>
  <c r="D15" i="49"/>
  <c r="T12" i="49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H29" i="52"/>
  <c r="D21" i="50"/>
  <c r="T21" i="47"/>
  <c r="T22" i="46"/>
  <c r="T34" i="44"/>
  <c r="T33" i="44"/>
  <c r="T29" i="44"/>
  <c r="T25" i="44"/>
  <c r="B16" i="44"/>
  <c r="D15" i="44"/>
  <c r="T12" i="44"/>
  <c r="B21" i="43"/>
  <c r="D20" i="43"/>
  <c r="D16" i="43"/>
  <c r="B38" i="41"/>
  <c r="D34" i="41"/>
  <c r="D33" i="41"/>
  <c r="D29" i="41"/>
  <c r="D25" i="41"/>
  <c r="H21" i="41"/>
  <c r="D13" i="41"/>
  <c r="B39" i="40"/>
  <c r="H24" i="40"/>
  <c r="H22" i="40"/>
  <c r="H13" i="40"/>
  <c r="B21" i="50"/>
  <c r="T33" i="47"/>
  <c r="T25" i="47"/>
  <c r="D5" i="47"/>
  <c r="T24" i="44"/>
  <c r="T22" i="44"/>
  <c r="P12" i="44"/>
  <c r="T34" i="43"/>
  <c r="T33" i="43"/>
  <c r="T29" i="43"/>
  <c r="T25" i="43"/>
  <c r="B16" i="43"/>
  <c r="D15" i="43"/>
  <c r="T12" i="43"/>
  <c r="B25" i="49"/>
  <c r="H16" i="49"/>
  <c r="H33" i="47"/>
  <c r="H25" i="47"/>
  <c r="D4" i="47"/>
  <c r="H33" i="46"/>
  <c r="P34" i="44"/>
  <c r="P33" i="44"/>
  <c r="P29" i="44"/>
  <c r="P25" i="44"/>
  <c r="T21" i="44"/>
  <c r="T24" i="43"/>
  <c r="T22" i="43"/>
  <c r="P12" i="43"/>
  <c r="D20" i="50"/>
  <c r="B16" i="47"/>
  <c r="P24" i="44"/>
  <c r="P22" i="44"/>
  <c r="T20" i="44"/>
  <c r="T16" i="44"/>
  <c r="T13" i="44"/>
  <c r="P34" i="43"/>
  <c r="P33" i="43"/>
  <c r="P29" i="43"/>
  <c r="P25" i="43"/>
  <c r="T21" i="43"/>
  <c r="B21" i="41"/>
  <c r="D20" i="41"/>
  <c r="D16" i="41"/>
  <c r="B22" i="40"/>
  <c r="D21" i="40"/>
  <c r="D24" i="49"/>
  <c r="P12" i="46"/>
  <c r="P21" i="44"/>
  <c r="T15" i="44"/>
  <c r="P13" i="44"/>
  <c r="H12" i="44"/>
  <c r="P24" i="43"/>
  <c r="P22" i="43"/>
  <c r="T20" i="43"/>
  <c r="T16" i="43"/>
  <c r="T13" i="43"/>
  <c r="T34" i="41"/>
  <c r="T33" i="41"/>
  <c r="T29" i="41"/>
  <c r="T15" i="52"/>
  <c r="H15" i="49"/>
  <c r="P15" i="47"/>
  <c r="P16" i="46"/>
  <c r="D12" i="46"/>
  <c r="P20" i="44"/>
  <c r="P16" i="44"/>
  <c r="D12" i="44"/>
  <c r="P21" i="43"/>
  <c r="T15" i="43"/>
  <c r="P13" i="43"/>
  <c r="H12" i="43"/>
  <c r="T24" i="41"/>
  <c r="T22" i="41"/>
  <c r="P12" i="41"/>
  <c r="T34" i="40"/>
  <c r="T33" i="40"/>
  <c r="T29" i="40"/>
  <c r="T25" i="40"/>
  <c r="B16" i="40"/>
  <c r="D15" i="40"/>
  <c r="T12" i="40"/>
  <c r="H22" i="53"/>
  <c r="P15" i="52"/>
  <c r="D22" i="49"/>
  <c r="B13" i="49"/>
  <c r="B39" i="47"/>
  <c r="H24" i="47"/>
  <c r="H25" i="46"/>
  <c r="D5" i="46"/>
  <c r="H34" i="44"/>
  <c r="H33" i="44"/>
  <c r="H29" i="44"/>
  <c r="H25" i="44"/>
  <c r="P15" i="44"/>
  <c r="D5" i="44"/>
  <c r="P20" i="43"/>
  <c r="P16" i="43"/>
  <c r="D12" i="43"/>
  <c r="P34" i="41"/>
  <c r="P33" i="41"/>
  <c r="P29" i="41"/>
  <c r="P25" i="41"/>
  <c r="T21" i="41"/>
  <c r="D16" i="50"/>
  <c r="B22" i="49"/>
  <c r="T29" i="47"/>
  <c r="D15" i="47"/>
  <c r="B21" i="46"/>
  <c r="D16" i="46"/>
  <c r="B39" i="44"/>
  <c r="H24" i="44"/>
  <c r="H22" i="44"/>
  <c r="H13" i="44"/>
  <c r="D4" i="44"/>
  <c r="H34" i="43"/>
  <c r="H33" i="43"/>
  <c r="H29" i="43"/>
  <c r="H25" i="43"/>
  <c r="P15" i="43"/>
  <c r="D5" i="43"/>
  <c r="H34" i="52"/>
  <c r="B22" i="50"/>
  <c r="H20" i="49"/>
  <c r="T34" i="47"/>
  <c r="H22" i="47"/>
  <c r="H13" i="47"/>
  <c r="H34" i="46"/>
  <c r="H29" i="46"/>
  <c r="P15" i="46"/>
  <c r="B22" i="44"/>
  <c r="D21" i="44"/>
  <c r="H15" i="44"/>
  <c r="B25" i="43"/>
  <c r="D24" i="43"/>
  <c r="D22" i="43"/>
  <c r="H20" i="43"/>
  <c r="H16" i="43"/>
  <c r="B13" i="43"/>
  <c r="H34" i="41"/>
  <c r="H33" i="41"/>
  <c r="H34" i="47"/>
  <c r="T12" i="47"/>
  <c r="D20" i="46"/>
  <c r="B21" i="44"/>
  <c r="D20" i="44"/>
  <c r="D16" i="44"/>
  <c r="B22" i="43"/>
  <c r="D21" i="43"/>
  <c r="H15" i="43"/>
  <c r="B39" i="41"/>
  <c r="H24" i="41"/>
  <c r="H22" i="41"/>
  <c r="H13" i="41"/>
  <c r="D4" i="41"/>
  <c r="H34" i="40"/>
  <c r="H33" i="40"/>
  <c r="H29" i="40"/>
  <c r="H25" i="40"/>
  <c r="P15" i="40"/>
  <c r="D5" i="40"/>
  <c r="D34" i="43"/>
  <c r="B25" i="41"/>
  <c r="T20" i="41"/>
  <c r="T12" i="41"/>
  <c r="P21" i="40"/>
  <c r="D20" i="40"/>
  <c r="H15" i="40"/>
  <c r="H29" i="47"/>
  <c r="T24" i="46"/>
  <c r="D25" i="44"/>
  <c r="H22" i="43"/>
  <c r="H13" i="43"/>
  <c r="P15" i="41"/>
  <c r="T22" i="40"/>
  <c r="P16" i="40"/>
  <c r="B25" i="44"/>
  <c r="H16" i="44"/>
  <c r="D33" i="43"/>
  <c r="D13" i="43"/>
  <c r="D22" i="41"/>
  <c r="P20" i="41"/>
  <c r="T16" i="41"/>
  <c r="P33" i="40"/>
  <c r="D25" i="40"/>
  <c r="H21" i="40"/>
  <c r="H12" i="40"/>
  <c r="D34" i="44"/>
  <c r="D4" i="43"/>
  <c r="P24" i="41"/>
  <c r="B22" i="41"/>
  <c r="H15" i="41"/>
  <c r="H12" i="41"/>
  <c r="B25" i="40"/>
  <c r="P22" i="40"/>
  <c r="H16" i="40"/>
  <c r="D12" i="40"/>
  <c r="H15" i="50"/>
  <c r="P20" i="46"/>
  <c r="D24" i="44"/>
  <c r="H21" i="43"/>
  <c r="H20" i="41"/>
  <c r="P16" i="41"/>
  <c r="D15" i="41"/>
  <c r="D12" i="41"/>
  <c r="B21" i="40"/>
  <c r="D16" i="40"/>
  <c r="T13" i="40"/>
  <c r="D4" i="40"/>
  <c r="D33" i="44"/>
  <c r="D13" i="44"/>
  <c r="D5" i="41"/>
  <c r="T24" i="40"/>
  <c r="P13" i="40"/>
  <c r="D22" i="44"/>
  <c r="B13" i="44"/>
  <c r="D29" i="43"/>
  <c r="P21" i="41"/>
  <c r="H16" i="41"/>
  <c r="T13" i="41"/>
  <c r="B38" i="40"/>
  <c r="P34" i="40"/>
  <c r="D33" i="40"/>
  <c r="P29" i="40"/>
  <c r="B38" i="43"/>
  <c r="B16" i="41"/>
  <c r="T15" i="40"/>
  <c r="B13" i="40"/>
  <c r="D21" i="49"/>
  <c r="D29" i="44"/>
  <c r="P20" i="40"/>
  <c r="H20" i="44"/>
  <c r="D25" i="43"/>
  <c r="H29" i="41"/>
  <c r="P22" i="41"/>
  <c r="D21" i="41"/>
  <c r="B13" i="41"/>
  <c r="D34" i="40"/>
  <c r="D29" i="40"/>
  <c r="P25" i="40"/>
  <c r="T21" i="40"/>
  <c r="B38" i="44"/>
  <c r="H24" i="43"/>
  <c r="H25" i="41"/>
  <c r="T15" i="41"/>
  <c r="D24" i="40"/>
  <c r="H20" i="40"/>
  <c r="T16" i="40"/>
  <c r="P12" i="40"/>
  <c r="H21" i="44"/>
  <c r="B22" i="38"/>
  <c r="D21" i="38"/>
  <c r="H15" i="38"/>
  <c r="B25" i="37"/>
  <c r="D24" i="37"/>
  <c r="D22" i="37"/>
  <c r="H20" i="37"/>
  <c r="H16" i="37"/>
  <c r="B13" i="37"/>
  <c r="B21" i="35"/>
  <c r="D20" i="35"/>
  <c r="D16" i="35"/>
  <c r="B22" i="34"/>
  <c r="D21" i="34"/>
  <c r="H15" i="34"/>
  <c r="B39" i="43"/>
  <c r="B21" i="38"/>
  <c r="D20" i="38"/>
  <c r="D16" i="38"/>
  <c r="B22" i="37"/>
  <c r="D21" i="37"/>
  <c r="H15" i="37"/>
  <c r="T34" i="35"/>
  <c r="T33" i="35"/>
  <c r="T29" i="35"/>
  <c r="T25" i="35"/>
  <c r="B16" i="35"/>
  <c r="D15" i="35"/>
  <c r="T12" i="35"/>
  <c r="B21" i="34"/>
  <c r="D20" i="34"/>
  <c r="D16" i="34"/>
  <c r="T34" i="38"/>
  <c r="T33" i="38"/>
  <c r="T29" i="38"/>
  <c r="T25" i="38"/>
  <c r="B16" i="38"/>
  <c r="D15" i="38"/>
  <c r="T12" i="38"/>
  <c r="B21" i="37"/>
  <c r="D20" i="37"/>
  <c r="D16" i="37"/>
  <c r="T24" i="35"/>
  <c r="T22" i="35"/>
  <c r="P12" i="35"/>
  <c r="T34" i="34"/>
  <c r="T33" i="34"/>
  <c r="T29" i="34"/>
  <c r="T25" i="34"/>
  <c r="B16" i="34"/>
  <c r="D15" i="34"/>
  <c r="T12" i="34"/>
  <c r="T24" i="38"/>
  <c r="T22" i="38"/>
  <c r="P12" i="38"/>
  <c r="T34" i="37"/>
  <c r="T33" i="37"/>
  <c r="T29" i="37"/>
  <c r="T25" i="37"/>
  <c r="B16" i="37"/>
  <c r="D15" i="37"/>
  <c r="T12" i="37"/>
  <c r="P34" i="35"/>
  <c r="P33" i="35"/>
  <c r="P29" i="35"/>
  <c r="P25" i="35"/>
  <c r="T21" i="35"/>
  <c r="T24" i="34"/>
  <c r="T22" i="34"/>
  <c r="P12" i="34"/>
  <c r="P34" i="38"/>
  <c r="P33" i="38"/>
  <c r="P29" i="38"/>
  <c r="P25" i="38"/>
  <c r="T21" i="38"/>
  <c r="T24" i="37"/>
  <c r="T22" i="37"/>
  <c r="P12" i="37"/>
  <c r="P24" i="40"/>
  <c r="P24" i="38"/>
  <c r="P22" i="38"/>
  <c r="T20" i="38"/>
  <c r="T16" i="38"/>
  <c r="T13" i="38"/>
  <c r="P34" i="37"/>
  <c r="P33" i="37"/>
  <c r="P29" i="37"/>
  <c r="P25" i="37"/>
  <c r="T21" i="37"/>
  <c r="P21" i="35"/>
  <c r="T15" i="35"/>
  <c r="P13" i="35"/>
  <c r="H12" i="35"/>
  <c r="P24" i="34"/>
  <c r="P22" i="34"/>
  <c r="T20" i="34"/>
  <c r="T16" i="34"/>
  <c r="T13" i="34"/>
  <c r="T25" i="41"/>
  <c r="D22" i="40"/>
  <c r="P21" i="38"/>
  <c r="T15" i="38"/>
  <c r="P13" i="38"/>
  <c r="H12" i="38"/>
  <c r="P24" i="37"/>
  <c r="P22" i="37"/>
  <c r="T20" i="37"/>
  <c r="T16" i="37"/>
  <c r="T13" i="37"/>
  <c r="P20" i="35"/>
  <c r="P16" i="35"/>
  <c r="D12" i="35"/>
  <c r="P21" i="34"/>
  <c r="T15" i="34"/>
  <c r="P13" i="34"/>
  <c r="H12" i="34"/>
  <c r="D24" i="41"/>
  <c r="T20" i="40"/>
  <c r="P20" i="38"/>
  <c r="P16" i="38"/>
  <c r="D12" i="38"/>
  <c r="P21" i="37"/>
  <c r="T15" i="37"/>
  <c r="P13" i="37"/>
  <c r="H12" i="37"/>
  <c r="H34" i="35"/>
  <c r="H33" i="35"/>
  <c r="H29" i="35"/>
  <c r="H25" i="35"/>
  <c r="P15" i="35"/>
  <c r="D5" i="35"/>
  <c r="P20" i="34"/>
  <c r="P16" i="34"/>
  <c r="D12" i="34"/>
  <c r="H34" i="38"/>
  <c r="H33" i="38"/>
  <c r="H29" i="38"/>
  <c r="H25" i="38"/>
  <c r="P15" i="38"/>
  <c r="D5" i="38"/>
  <c r="P20" i="37"/>
  <c r="P16" i="37"/>
  <c r="D12" i="37"/>
  <c r="B39" i="35"/>
  <c r="H24" i="35"/>
  <c r="H22" i="35"/>
  <c r="H13" i="35"/>
  <c r="D4" i="35"/>
  <c r="H34" i="34"/>
  <c r="H33" i="34"/>
  <c r="H29" i="34"/>
  <c r="H25" i="34"/>
  <c r="P15" i="34"/>
  <c r="D5" i="34"/>
  <c r="D13" i="40"/>
  <c r="B38" i="38"/>
  <c r="D34" i="38"/>
  <c r="D33" i="38"/>
  <c r="D29" i="38"/>
  <c r="D25" i="38"/>
  <c r="H21" i="38"/>
  <c r="D13" i="38"/>
  <c r="B39" i="37"/>
  <c r="H24" i="37"/>
  <c r="H22" i="37"/>
  <c r="H13" i="37"/>
  <c r="D4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P13" i="41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B22" i="35"/>
  <c r="D21" i="35"/>
  <c r="H15" i="35"/>
  <c r="B25" i="34"/>
  <c r="D24" i="34"/>
  <c r="D22" i="34"/>
  <c r="H20" i="34"/>
  <c r="H16" i="34"/>
  <c r="B13" i="34"/>
  <c r="H13" i="38"/>
  <c r="P22" i="35"/>
  <c r="T13" i="35"/>
  <c r="P29" i="34"/>
  <c r="H33" i="32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B21" i="29"/>
  <c r="D20" i="29"/>
  <c r="D16" i="29"/>
  <c r="B22" i="28"/>
  <c r="D21" i="28"/>
  <c r="H15" i="28"/>
  <c r="D4" i="38"/>
  <c r="D33" i="35"/>
  <c r="D13" i="35"/>
  <c r="B22" i="32"/>
  <c r="D21" i="32"/>
  <c r="H15" i="32"/>
  <c r="B25" i="31"/>
  <c r="D24" i="31"/>
  <c r="D22" i="31"/>
  <c r="H20" i="31"/>
  <c r="H16" i="31"/>
  <c r="B13" i="31"/>
  <c r="T34" i="29"/>
  <c r="T33" i="29"/>
  <c r="T29" i="29"/>
  <c r="T25" i="29"/>
  <c r="B16" i="29"/>
  <c r="D15" i="29"/>
  <c r="T12" i="29"/>
  <c r="B21" i="28"/>
  <c r="D20" i="28"/>
  <c r="D16" i="28"/>
  <c r="H34" i="32"/>
  <c r="D33" i="32"/>
  <c r="B21" i="32"/>
  <c r="D20" i="32"/>
  <c r="D16" i="32"/>
  <c r="B22" i="31"/>
  <c r="D21" i="31"/>
  <c r="H15" i="31"/>
  <c r="T24" i="29"/>
  <c r="T22" i="29"/>
  <c r="H34" i="37"/>
  <c r="P15" i="37"/>
  <c r="H21" i="35"/>
  <c r="B39" i="34"/>
  <c r="T29" i="32"/>
  <c r="T25" i="32"/>
  <c r="B16" i="32"/>
  <c r="D15" i="32"/>
  <c r="T12" i="32"/>
  <c r="B21" i="31"/>
  <c r="D20" i="31"/>
  <c r="D16" i="31"/>
  <c r="P34" i="29"/>
  <c r="P33" i="29"/>
  <c r="P29" i="29"/>
  <c r="P25" i="29"/>
  <c r="T21" i="29"/>
  <c r="T24" i="28"/>
  <c r="T22" i="28"/>
  <c r="P12" i="28"/>
  <c r="H33" i="37"/>
  <c r="T20" i="35"/>
  <c r="P25" i="34"/>
  <c r="D34" i="32"/>
  <c r="T24" i="32"/>
  <c r="T22" i="32"/>
  <c r="P12" i="32"/>
  <c r="T34" i="31"/>
  <c r="T33" i="31"/>
  <c r="T29" i="31"/>
  <c r="T25" i="31"/>
  <c r="B16" i="31"/>
  <c r="D15" i="31"/>
  <c r="T12" i="31"/>
  <c r="P24" i="29"/>
  <c r="P22" i="29"/>
  <c r="T20" i="29"/>
  <c r="T16" i="29"/>
  <c r="T13" i="29"/>
  <c r="P34" i="28"/>
  <c r="P33" i="28"/>
  <c r="P29" i="28"/>
  <c r="P25" i="28"/>
  <c r="T21" i="28"/>
  <c r="H24" i="38"/>
  <c r="D5" i="37"/>
  <c r="D29" i="35"/>
  <c r="P29" i="32"/>
  <c r="P25" i="32"/>
  <c r="T21" i="32"/>
  <c r="T24" i="31"/>
  <c r="T22" i="31"/>
  <c r="P12" i="31"/>
  <c r="H22" i="38"/>
  <c r="H29" i="37"/>
  <c r="P34" i="34"/>
  <c r="P24" i="32"/>
  <c r="P22" i="32"/>
  <c r="T20" i="32"/>
  <c r="T16" i="32"/>
  <c r="T13" i="32"/>
  <c r="P34" i="31"/>
  <c r="P33" i="31"/>
  <c r="P29" i="31"/>
  <c r="P25" i="31"/>
  <c r="T21" i="31"/>
  <c r="P20" i="29"/>
  <c r="P16" i="29"/>
  <c r="D12" i="29"/>
  <c r="P21" i="28"/>
  <c r="T15" i="28"/>
  <c r="P13" i="28"/>
  <c r="H12" i="28"/>
  <c r="B38" i="35"/>
  <c r="H24" i="34"/>
  <c r="B39" i="32"/>
  <c r="T33" i="32"/>
  <c r="P21" i="32"/>
  <c r="T15" i="32"/>
  <c r="P13" i="32"/>
  <c r="H12" i="32"/>
  <c r="P24" i="31"/>
  <c r="P22" i="31"/>
  <c r="T20" i="31"/>
  <c r="T16" i="31"/>
  <c r="T13" i="31"/>
  <c r="H34" i="29"/>
  <c r="H33" i="29"/>
  <c r="H29" i="29"/>
  <c r="H25" i="29"/>
  <c r="P15" i="29"/>
  <c r="D5" i="29"/>
  <c r="P20" i="28"/>
  <c r="P16" i="28"/>
  <c r="D12" i="28"/>
  <c r="H25" i="37"/>
  <c r="T16" i="35"/>
  <c r="P33" i="34"/>
  <c r="B38" i="32"/>
  <c r="P20" i="32"/>
  <c r="P16" i="32"/>
  <c r="D12" i="32"/>
  <c r="P21" i="31"/>
  <c r="P24" i="35"/>
  <c r="T21" i="34"/>
  <c r="H24" i="32"/>
  <c r="H22" i="32"/>
  <c r="H13" i="32"/>
  <c r="D4" i="32"/>
  <c r="H34" i="31"/>
  <c r="H33" i="31"/>
  <c r="H29" i="31"/>
  <c r="H25" i="31"/>
  <c r="P15" i="31"/>
  <c r="D5" i="31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D34" i="35"/>
  <c r="D4" i="34"/>
  <c r="P34" i="32"/>
  <c r="D29" i="32"/>
  <c r="D25" i="32"/>
  <c r="H21" i="32"/>
  <c r="D13" i="32"/>
  <c r="B39" i="31"/>
  <c r="H24" i="31"/>
  <c r="H22" i="31"/>
  <c r="H13" i="31"/>
  <c r="D4" i="31"/>
  <c r="B22" i="29"/>
  <c r="D21" i="29"/>
  <c r="H15" i="29"/>
  <c r="B25" i="28"/>
  <c r="D24" i="28"/>
  <c r="D22" i="28"/>
  <c r="H20" i="28"/>
  <c r="H16" i="28"/>
  <c r="B13" i="28"/>
  <c r="P13" i="31"/>
  <c r="H25" i="28"/>
  <c r="D5" i="28"/>
  <c r="H34" i="26"/>
  <c r="H33" i="26"/>
  <c r="H29" i="26"/>
  <c r="H25" i="26"/>
  <c r="P15" i="26"/>
  <c r="D5" i="26"/>
  <c r="P20" i="25"/>
  <c r="P16" i="25"/>
  <c r="D12" i="25"/>
  <c r="B22" i="23"/>
  <c r="D21" i="23"/>
  <c r="H15" i="23"/>
  <c r="B25" i="22"/>
  <c r="D24" i="22"/>
  <c r="D22" i="22"/>
  <c r="H20" i="22"/>
  <c r="H16" i="22"/>
  <c r="B13" i="22"/>
  <c r="H22" i="34"/>
  <c r="B39" i="29"/>
  <c r="H24" i="29"/>
  <c r="D4" i="28"/>
  <c r="B39" i="26"/>
  <c r="H24" i="26"/>
  <c r="H22" i="26"/>
  <c r="H13" i="26"/>
  <c r="D4" i="26"/>
  <c r="H34" i="25"/>
  <c r="H33" i="25"/>
  <c r="H29" i="25"/>
  <c r="H25" i="25"/>
  <c r="P15" i="25"/>
  <c r="D5" i="25"/>
  <c r="H13" i="34"/>
  <c r="H12" i="31"/>
  <c r="B38" i="29"/>
  <c r="T34" i="28"/>
  <c r="T29" i="28"/>
  <c r="B16" i="28"/>
  <c r="B38" i="26"/>
  <c r="D34" i="26"/>
  <c r="D33" i="26"/>
  <c r="D29" i="26"/>
  <c r="D25" i="26"/>
  <c r="H21" i="26"/>
  <c r="D13" i="26"/>
  <c r="B39" i="25"/>
  <c r="H24" i="25"/>
  <c r="H22" i="25"/>
  <c r="H13" i="25"/>
  <c r="D4" i="25"/>
  <c r="D12" i="31"/>
  <c r="P13" i="29"/>
  <c r="P24" i="28"/>
  <c r="T20" i="28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T24" i="23"/>
  <c r="T22" i="23"/>
  <c r="P12" i="23"/>
  <c r="T34" i="22"/>
  <c r="T33" i="22"/>
  <c r="H22" i="29"/>
  <c r="H13" i="29"/>
  <c r="H34" i="28"/>
  <c r="H29" i="28"/>
  <c r="P15" i="28"/>
  <c r="B22" i="26"/>
  <c r="D21" i="26"/>
  <c r="H15" i="26"/>
  <c r="B25" i="25"/>
  <c r="D24" i="25"/>
  <c r="D22" i="25"/>
  <c r="H20" i="25"/>
  <c r="H16" i="25"/>
  <c r="B13" i="25"/>
  <c r="P34" i="23"/>
  <c r="P33" i="23"/>
  <c r="P29" i="23"/>
  <c r="P25" i="23"/>
  <c r="T21" i="23"/>
  <c r="T24" i="22"/>
  <c r="T22" i="22"/>
  <c r="T34" i="32"/>
  <c r="P15" i="32"/>
  <c r="D29" i="29"/>
  <c r="D13" i="29"/>
  <c r="H24" i="28"/>
  <c r="B21" i="26"/>
  <c r="D20" i="26"/>
  <c r="B39" i="38"/>
  <c r="P33" i="32"/>
  <c r="P20" i="31"/>
  <c r="P12" i="29"/>
  <c r="T33" i="28"/>
  <c r="D15" i="28"/>
  <c r="T34" i="26"/>
  <c r="T33" i="26"/>
  <c r="T29" i="26"/>
  <c r="T25" i="26"/>
  <c r="B16" i="26"/>
  <c r="D15" i="26"/>
  <c r="T12" i="26"/>
  <c r="B21" i="25"/>
  <c r="D20" i="25"/>
  <c r="D16" i="25"/>
  <c r="P21" i="23"/>
  <c r="T15" i="23"/>
  <c r="P13" i="23"/>
  <c r="H12" i="23"/>
  <c r="P24" i="22"/>
  <c r="P22" i="22"/>
  <c r="T20" i="22"/>
  <c r="T16" i="22"/>
  <c r="T13" i="22"/>
  <c r="D25" i="35"/>
  <c r="H25" i="32"/>
  <c r="T15" i="31"/>
  <c r="T25" i="28"/>
  <c r="T12" i="28"/>
  <c r="P21" i="26"/>
  <c r="T15" i="26"/>
  <c r="P13" i="26"/>
  <c r="H12" i="26"/>
  <c r="P24" i="25"/>
  <c r="P22" i="25"/>
  <c r="T20" i="25"/>
  <c r="T16" i="25"/>
  <c r="T13" i="25"/>
  <c r="B38" i="23"/>
  <c r="D34" i="23"/>
  <c r="D33" i="23"/>
  <c r="D29" i="23"/>
  <c r="D25" i="23"/>
  <c r="H21" i="23"/>
  <c r="D13" i="23"/>
  <c r="B39" i="22"/>
  <c r="H24" i="22"/>
  <c r="H22" i="22"/>
  <c r="H13" i="22"/>
  <c r="D33" i="29"/>
  <c r="D25" i="29"/>
  <c r="T15" i="29"/>
  <c r="T16" i="28"/>
  <c r="P20" i="26"/>
  <c r="P16" i="26"/>
  <c r="D12" i="26"/>
  <c r="P21" i="25"/>
  <c r="T15" i="25"/>
  <c r="P13" i="25"/>
  <c r="H12" i="25"/>
  <c r="P12" i="25"/>
  <c r="T33" i="23"/>
  <c r="P24" i="23"/>
  <c r="P16" i="23"/>
  <c r="D15" i="23"/>
  <c r="B38" i="22"/>
  <c r="D29" i="22"/>
  <c r="P25" i="22"/>
  <c r="T21" i="22"/>
  <c r="T15" i="22"/>
  <c r="D13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H34" i="17"/>
  <c r="H33" i="17"/>
  <c r="H29" i="17"/>
  <c r="H25" i="17"/>
  <c r="H21" i="29"/>
  <c r="P25" i="25"/>
  <c r="T21" i="25"/>
  <c r="H20" i="23"/>
  <c r="T13" i="23"/>
  <c r="H34" i="22"/>
  <c r="P21" i="22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B39" i="17"/>
  <c r="H24" i="17"/>
  <c r="H22" i="17"/>
  <c r="H13" i="17"/>
  <c r="D4" i="17"/>
  <c r="H34" i="16"/>
  <c r="H33" i="16"/>
  <c r="H29" i="16"/>
  <c r="H25" i="16"/>
  <c r="P15" i="16"/>
  <c r="D5" i="16"/>
  <c r="P22" i="28"/>
  <c r="P33" i="26"/>
  <c r="P25" i="26"/>
  <c r="D21" i="25"/>
  <c r="T29" i="23"/>
  <c r="D20" i="23"/>
  <c r="D34" i="22"/>
  <c r="D20" i="22"/>
  <c r="P15" i="22"/>
  <c r="B22" i="20"/>
  <c r="D21" i="20"/>
  <c r="H15" i="20"/>
  <c r="B25" i="19"/>
  <c r="D24" i="19"/>
  <c r="D22" i="19"/>
  <c r="H20" i="19"/>
  <c r="H16" i="19"/>
  <c r="B13" i="19"/>
  <c r="H29" i="32"/>
  <c r="T20" i="26"/>
  <c r="T34" i="25"/>
  <c r="T29" i="25"/>
  <c r="B16" i="25"/>
  <c r="H33" i="23"/>
  <c r="H24" i="23"/>
  <c r="H16" i="23"/>
  <c r="H25" i="22"/>
  <c r="T12" i="22"/>
  <c r="B21" i="20"/>
  <c r="D20" i="20"/>
  <c r="D16" i="20"/>
  <c r="B22" i="19"/>
  <c r="D21" i="19"/>
  <c r="H15" i="19"/>
  <c r="H22" i="28"/>
  <c r="T24" i="26"/>
  <c r="T24" i="25"/>
  <c r="T25" i="23"/>
  <c r="D24" i="23"/>
  <c r="D16" i="23"/>
  <c r="H13" i="23"/>
  <c r="D25" i="22"/>
  <c r="H21" i="22"/>
  <c r="P16" i="22"/>
  <c r="H15" i="22"/>
  <c r="P12" i="22"/>
  <c r="T34" i="20"/>
  <c r="T33" i="20"/>
  <c r="T29" i="20"/>
  <c r="T25" i="20"/>
  <c r="B16" i="20"/>
  <c r="D15" i="20"/>
  <c r="T12" i="20"/>
  <c r="B21" i="19"/>
  <c r="D20" i="19"/>
  <c r="D16" i="19"/>
  <c r="B22" i="17"/>
  <c r="D21" i="17"/>
  <c r="H15" i="17"/>
  <c r="B25" i="16"/>
  <c r="D24" i="16"/>
  <c r="D22" i="16"/>
  <c r="H20" i="16"/>
  <c r="H16" i="16"/>
  <c r="B13" i="16"/>
  <c r="D5" i="32"/>
  <c r="H12" i="29"/>
  <c r="T13" i="26"/>
  <c r="P34" i="25"/>
  <c r="P29" i="25"/>
  <c r="T34" i="23"/>
  <c r="H29" i="23"/>
  <c r="B16" i="23"/>
  <c r="B13" i="23"/>
  <c r="P33" i="22"/>
  <c r="D21" i="22"/>
  <c r="T24" i="20"/>
  <c r="T22" i="20"/>
  <c r="P12" i="20"/>
  <c r="T34" i="19"/>
  <c r="T33" i="19"/>
  <c r="T29" i="19"/>
  <c r="T25" i="19"/>
  <c r="B16" i="19"/>
  <c r="D15" i="19"/>
  <c r="T12" i="19"/>
  <c r="D34" i="29"/>
  <c r="D4" i="29"/>
  <c r="P24" i="26"/>
  <c r="H15" i="25"/>
  <c r="B21" i="22"/>
  <c r="D15" i="22"/>
  <c r="H12" i="22"/>
  <c r="P34" i="20"/>
  <c r="P33" i="20"/>
  <c r="P29" i="20"/>
  <c r="P25" i="20"/>
  <c r="T21" i="20"/>
  <c r="T24" i="19"/>
  <c r="T22" i="19"/>
  <c r="P12" i="19"/>
  <c r="T34" i="17"/>
  <c r="T33" i="17"/>
  <c r="T29" i="17"/>
  <c r="T25" i="17"/>
  <c r="B16" i="17"/>
  <c r="T13" i="28"/>
  <c r="P29" i="26"/>
  <c r="T22" i="25"/>
  <c r="H34" i="23"/>
  <c r="P15" i="23"/>
  <c r="H33" i="22"/>
  <c r="P29" i="22"/>
  <c r="D16" i="22"/>
  <c r="D5" i="22"/>
  <c r="P21" i="20"/>
  <c r="T15" i="20"/>
  <c r="P13" i="20"/>
  <c r="H12" i="20"/>
  <c r="P24" i="19"/>
  <c r="P22" i="19"/>
  <c r="T20" i="19"/>
  <c r="T16" i="19"/>
  <c r="T13" i="19"/>
  <c r="P34" i="17"/>
  <c r="P33" i="17"/>
  <c r="P29" i="17"/>
  <c r="P25" i="17"/>
  <c r="T21" i="17"/>
  <c r="T24" i="16"/>
  <c r="T22" i="16"/>
  <c r="P12" i="16"/>
  <c r="P16" i="31"/>
  <c r="H13" i="28"/>
  <c r="D16" i="26"/>
  <c r="B22" i="25"/>
  <c r="H22" i="23"/>
  <c r="P20" i="23"/>
  <c r="D5" i="23"/>
  <c r="P34" i="22"/>
  <c r="P20" i="22"/>
  <c r="H34" i="20"/>
  <c r="H33" i="20"/>
  <c r="H29" i="20"/>
  <c r="H25" i="20"/>
  <c r="P15" i="20"/>
  <c r="D5" i="20"/>
  <c r="P20" i="19"/>
  <c r="P16" i="19"/>
  <c r="D12" i="19"/>
  <c r="P21" i="17"/>
  <c r="T15" i="17"/>
  <c r="P13" i="17"/>
  <c r="H12" i="17"/>
  <c r="P24" i="16"/>
  <c r="P22" i="16"/>
  <c r="T20" i="16"/>
  <c r="T16" i="16"/>
  <c r="T13" i="16"/>
  <c r="P21" i="29"/>
  <c r="P34" i="26"/>
  <c r="T21" i="26"/>
  <c r="T25" i="25"/>
  <c r="T12" i="25"/>
  <c r="D22" i="23"/>
  <c r="T16" i="23"/>
  <c r="D4" i="23"/>
  <c r="H29" i="22"/>
  <c r="T25" i="22"/>
  <c r="B39" i="20"/>
  <c r="H24" i="20"/>
  <c r="H22" i="20"/>
  <c r="H13" i="20"/>
  <c r="D4" i="20"/>
  <c r="H34" i="19"/>
  <c r="H33" i="19"/>
  <c r="H29" i="19"/>
  <c r="H25" i="19"/>
  <c r="P15" i="19"/>
  <c r="D5" i="19"/>
  <c r="P20" i="17"/>
  <c r="P16" i="17"/>
  <c r="D12" i="17"/>
  <c r="P21" i="16"/>
  <c r="T15" i="16"/>
  <c r="P13" i="16"/>
  <c r="H12" i="16"/>
  <c r="D4" i="22"/>
  <c r="T20" i="20"/>
  <c r="P25" i="19"/>
  <c r="D29" i="17"/>
  <c r="D33" i="16"/>
  <c r="T25" i="16"/>
  <c r="D16" i="16"/>
  <c r="D13" i="16"/>
  <c r="P20" i="14"/>
  <c r="P16" i="14"/>
  <c r="D12" i="14"/>
  <c r="P21" i="13"/>
  <c r="T15" i="13"/>
  <c r="P13" i="13"/>
  <c r="H12" i="13"/>
  <c r="T12" i="23"/>
  <c r="P20" i="20"/>
  <c r="T24" i="17"/>
  <c r="H21" i="17"/>
  <c r="D5" i="17"/>
  <c r="T34" i="16"/>
  <c r="P25" i="16"/>
  <c r="H21" i="16"/>
  <c r="B16" i="16"/>
  <c r="H34" i="14"/>
  <c r="H33" i="14"/>
  <c r="H29" i="14"/>
  <c r="H25" i="14"/>
  <c r="P15" i="14"/>
  <c r="D5" i="14"/>
  <c r="P20" i="13"/>
  <c r="P16" i="13"/>
  <c r="D12" i="13"/>
  <c r="T22" i="26"/>
  <c r="D12" i="23"/>
  <c r="B22" i="22"/>
  <c r="P34" i="19"/>
  <c r="D33" i="17"/>
  <c r="P24" i="17"/>
  <c r="B39" i="16"/>
  <c r="P34" i="16"/>
  <c r="D29" i="16"/>
  <c r="D21" i="16"/>
  <c r="B39" i="14"/>
  <c r="H24" i="14"/>
  <c r="H22" i="14"/>
  <c r="H13" i="14"/>
  <c r="D4" i="14"/>
  <c r="H34" i="13"/>
  <c r="H33" i="13"/>
  <c r="H29" i="13"/>
  <c r="H25" i="13"/>
  <c r="P15" i="13"/>
  <c r="D5" i="13"/>
  <c r="P22" i="26"/>
  <c r="H25" i="23"/>
  <c r="T15" i="19"/>
  <c r="B21" i="17"/>
  <c r="D15" i="17"/>
  <c r="B38" i="16"/>
  <c r="B21" i="16"/>
  <c r="T12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D15" i="25"/>
  <c r="B25" i="23"/>
  <c r="T16" i="20"/>
  <c r="P33" i="19"/>
  <c r="D24" i="17"/>
  <c r="T16" i="17"/>
  <c r="D25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T16" i="26"/>
  <c r="P22" i="23"/>
  <c r="P16" i="20"/>
  <c r="P13" i="19"/>
  <c r="T20" i="17"/>
  <c r="T13" i="17"/>
  <c r="D34" i="16"/>
  <c r="H22" i="16"/>
  <c r="D12" i="16"/>
  <c r="B22" i="14"/>
  <c r="D21" i="14"/>
  <c r="H15" i="14"/>
  <c r="B25" i="13"/>
  <c r="D24" i="13"/>
  <c r="D22" i="13"/>
  <c r="H20" i="13"/>
  <c r="H16" i="13"/>
  <c r="B13" i="13"/>
  <c r="P12" i="26"/>
  <c r="D33" i="22"/>
  <c r="P24" i="20"/>
  <c r="T21" i="19"/>
  <c r="T22" i="17"/>
  <c r="P20" i="16"/>
  <c r="H15" i="16"/>
  <c r="D4" i="16"/>
  <c r="B21" i="14"/>
  <c r="D20" i="14"/>
  <c r="D16" i="14"/>
  <c r="B22" i="13"/>
  <c r="D21" i="13"/>
  <c r="H15" i="13"/>
  <c r="B39" i="23"/>
  <c r="B21" i="23"/>
  <c r="T29" i="22"/>
  <c r="P21" i="19"/>
  <c r="H12" i="19"/>
  <c r="P22" i="17"/>
  <c r="H20" i="17"/>
  <c r="H16" i="17"/>
  <c r="D13" i="17"/>
  <c r="B22" i="16"/>
  <c r="T34" i="14"/>
  <c r="T33" i="14"/>
  <c r="T29" i="14"/>
  <c r="T25" i="14"/>
  <c r="B16" i="14"/>
  <c r="D15" i="14"/>
  <c r="T12" i="14"/>
  <c r="B21" i="13"/>
  <c r="D20" i="13"/>
  <c r="D16" i="13"/>
  <c r="T33" i="25"/>
  <c r="T20" i="23"/>
  <c r="B16" i="22"/>
  <c r="P22" i="20"/>
  <c r="T13" i="20"/>
  <c r="P29" i="19"/>
  <c r="D20" i="17"/>
  <c r="D16" i="17"/>
  <c r="B13" i="17"/>
  <c r="T33" i="16"/>
  <c r="P16" i="16"/>
  <c r="D15" i="16"/>
  <c r="T24" i="14"/>
  <c r="T22" i="14"/>
  <c r="P12" i="14"/>
  <c r="T34" i="13"/>
  <c r="T33" i="13"/>
  <c r="T29" i="13"/>
  <c r="T25" i="13"/>
  <c r="B16" i="13"/>
  <c r="D15" i="13"/>
  <c r="T12" i="13"/>
  <c r="H33" i="28"/>
  <c r="P13" i="22"/>
  <c r="D25" i="17"/>
  <c r="T12" i="17"/>
  <c r="T29" i="16"/>
  <c r="H24" i="16"/>
  <c r="T21" i="16"/>
  <c r="D20" i="16"/>
  <c r="P24" i="14"/>
  <c r="P22" i="14"/>
  <c r="T20" i="14"/>
  <c r="T16" i="14"/>
  <c r="T13" i="14"/>
  <c r="P34" i="13"/>
  <c r="P33" i="13"/>
  <c r="P29" i="13"/>
  <c r="P25" i="13"/>
  <c r="T21" i="13"/>
  <c r="D12" i="22"/>
  <c r="D12" i="20"/>
  <c r="B38" i="17"/>
  <c r="B25" i="17"/>
  <c r="P15" i="17"/>
  <c r="P12" i="17"/>
  <c r="P29" i="16"/>
  <c r="H13" i="16"/>
  <c r="P21" i="14"/>
  <c r="T15" i="14"/>
  <c r="P13" i="14"/>
  <c r="H12" i="14"/>
  <c r="P24" i="13"/>
  <c r="P22" i="13"/>
  <c r="T20" i="13"/>
  <c r="T16" i="13"/>
  <c r="T13" i="13"/>
  <c r="P33" i="25"/>
  <c r="T24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B25" i="8"/>
  <c r="D24" i="8"/>
  <c r="D22" i="8"/>
  <c r="H20" i="8"/>
  <c r="H16" i="8"/>
  <c r="B13" i="8"/>
  <c r="B38" i="7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D22" i="17"/>
  <c r="T22" i="13"/>
  <c r="B22" i="11"/>
  <c r="D21" i="11"/>
  <c r="H15" i="11"/>
  <c r="B25" i="10"/>
  <c r="D24" i="10"/>
  <c r="D22" i="10"/>
  <c r="H20" i="10"/>
  <c r="H16" i="10"/>
  <c r="B13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P34" i="14"/>
  <c r="B21" i="11"/>
  <c r="D20" i="11"/>
  <c r="D16" i="11"/>
  <c r="B22" i="10"/>
  <c r="D21" i="10"/>
  <c r="H15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P33" i="14"/>
  <c r="T34" i="11"/>
  <c r="T33" i="11"/>
  <c r="T29" i="11"/>
  <c r="T25" i="11"/>
  <c r="B16" i="11"/>
  <c r="D15" i="11"/>
  <c r="T12" i="11"/>
  <c r="B21" i="10"/>
  <c r="D20" i="10"/>
  <c r="D16" i="10"/>
  <c r="T34" i="8"/>
  <c r="T33" i="8"/>
  <c r="T29" i="8"/>
  <c r="T25" i="8"/>
  <c r="B16" i="8"/>
  <c r="D15" i="8"/>
  <c r="T12" i="8"/>
  <c r="B21" i="7"/>
  <c r="D20" i="7"/>
  <c r="D16" i="7"/>
  <c r="P20" i="5"/>
  <c r="P16" i="5"/>
  <c r="D12" i="5"/>
  <c r="P21" i="4"/>
  <c r="T15" i="4"/>
  <c r="P13" i="4"/>
  <c r="H12" i="4"/>
  <c r="T24" i="11"/>
  <c r="T22" i="11"/>
  <c r="P12" i="11"/>
  <c r="T34" i="10"/>
  <c r="T33" i="10"/>
  <c r="T29" i="10"/>
  <c r="T25" i="10"/>
  <c r="B16" i="10"/>
  <c r="D15" i="10"/>
  <c r="T12" i="10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P29" i="14"/>
  <c r="P34" i="11"/>
  <c r="P33" i="11"/>
  <c r="P29" i="11"/>
  <c r="P25" i="11"/>
  <c r="T21" i="11"/>
  <c r="T24" i="10"/>
  <c r="T22" i="10"/>
  <c r="P12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P12" i="13"/>
  <c r="P20" i="11"/>
  <c r="P16" i="11"/>
  <c r="D12" i="11"/>
  <c r="P21" i="10"/>
  <c r="T15" i="10"/>
  <c r="P13" i="10"/>
  <c r="H12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D34" i="17"/>
  <c r="T21" i="14"/>
  <c r="B39" i="11"/>
  <c r="H24" i="11"/>
  <c r="H22" i="11"/>
  <c r="H13" i="11"/>
  <c r="D4" i="11"/>
  <c r="H34" i="10"/>
  <c r="H33" i="10"/>
  <c r="H29" i="10"/>
  <c r="H25" i="10"/>
  <c r="P15" i="10"/>
  <c r="D5" i="10"/>
  <c r="B39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B38" i="11"/>
  <c r="D34" i="11"/>
  <c r="D33" i="11"/>
  <c r="D29" i="11"/>
  <c r="D25" i="11"/>
  <c r="H21" i="11"/>
  <c r="D13" i="11"/>
  <c r="B39" i="10"/>
  <c r="H24" i="10"/>
  <c r="H22" i="10"/>
  <c r="H13" i="10"/>
  <c r="D4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P22" i="10"/>
  <c r="T16" i="10"/>
  <c r="P13" i="8"/>
  <c r="T20" i="7"/>
  <c r="T13" i="7"/>
  <c r="D16" i="5"/>
  <c r="B22" i="4"/>
  <c r="B39" i="28"/>
  <c r="P24" i="10"/>
  <c r="H29" i="11"/>
  <c r="P16" i="10"/>
  <c r="H33" i="8"/>
  <c r="H25" i="8"/>
  <c r="P20" i="7"/>
  <c r="D34" i="5"/>
  <c r="H21" i="5"/>
  <c r="P34" i="10"/>
  <c r="T21" i="10"/>
  <c r="P24" i="8"/>
  <c r="D34" i="4"/>
  <c r="H21" i="4"/>
  <c r="H12" i="11"/>
  <c r="P21" i="11"/>
  <c r="T15" i="11"/>
  <c r="H12" i="8"/>
  <c r="P24" i="7"/>
  <c r="B21" i="5"/>
  <c r="D21" i="4"/>
  <c r="H15" i="4"/>
  <c r="H34" i="11"/>
  <c r="P15" i="11"/>
  <c r="D5" i="8"/>
  <c r="D12" i="7"/>
  <c r="D33" i="5"/>
  <c r="D25" i="5"/>
  <c r="D13" i="5"/>
  <c r="H13" i="4"/>
  <c r="P21" i="8"/>
  <c r="T20" i="11"/>
  <c r="T13" i="11"/>
  <c r="P33" i="10"/>
  <c r="P25" i="10"/>
  <c r="P22" i="8"/>
  <c r="T16" i="8"/>
  <c r="P29" i="7"/>
  <c r="B25" i="5"/>
  <c r="H20" i="5"/>
  <c r="B13" i="5"/>
  <c r="D33" i="4"/>
  <c r="D25" i="4"/>
  <c r="D13" i="4"/>
  <c r="P33" i="16"/>
  <c r="P25" i="14"/>
  <c r="P13" i="11"/>
  <c r="T20" i="10"/>
  <c r="T13" i="10"/>
  <c r="P22" i="7"/>
  <c r="T16" i="7"/>
  <c r="D20" i="5"/>
  <c r="H33" i="11"/>
  <c r="H25" i="11"/>
  <c r="P20" i="10"/>
  <c r="H29" i="8"/>
  <c r="P16" i="7"/>
  <c r="B38" i="5"/>
  <c r="B39" i="4"/>
  <c r="H24" i="4"/>
  <c r="D4" i="4"/>
  <c r="P24" i="11"/>
  <c r="P34" i="7"/>
  <c r="T21" i="7"/>
  <c r="D24" i="5"/>
  <c r="B38" i="4"/>
  <c r="D5" i="11"/>
  <c r="D12" i="10"/>
  <c r="H34" i="8"/>
  <c r="P15" i="8"/>
  <c r="D29" i="5"/>
  <c r="H22" i="4"/>
  <c r="P22" i="11"/>
  <c r="T16" i="11"/>
  <c r="P29" i="10"/>
  <c r="T20" i="8"/>
  <c r="T13" i="8"/>
  <c r="P33" i="7"/>
  <c r="P25" i="7"/>
  <c r="D22" i="5"/>
  <c r="H16" i="5"/>
  <c r="D29" i="4"/>
  <c r="T15" i="8"/>
  <c r="Z15" i="8" l="1"/>
  <c r="L29" i="4"/>
  <c r="N16" i="5"/>
  <c r="L22" i="5"/>
  <c r="X25" i="7"/>
  <c r="X33" i="7"/>
  <c r="Z13" i="8"/>
  <c r="Z20" i="8"/>
  <c r="X29" i="10"/>
  <c r="Z16" i="11"/>
  <c r="X22" i="11"/>
  <c r="N22" i="4"/>
  <c r="L29" i="5"/>
  <c r="X15" i="8"/>
  <c r="N34" i="8"/>
  <c r="F24" i="10"/>
  <c r="F22" i="10"/>
  <c r="F21" i="10"/>
  <c r="F20" i="10"/>
  <c r="F18" i="10"/>
  <c r="F16" i="10"/>
  <c r="D18" i="10"/>
  <c r="F15" i="10"/>
  <c r="F36" i="10"/>
  <c r="F34" i="10"/>
  <c r="F33" i="10"/>
  <c r="F31" i="10"/>
  <c r="F29" i="10"/>
  <c r="F27" i="10"/>
  <c r="F25" i="10"/>
  <c r="L12" i="10"/>
  <c r="L24" i="5"/>
  <c r="Z21" i="7"/>
  <c r="X34" i="7"/>
  <c r="X24" i="11"/>
  <c r="N24" i="4"/>
  <c r="X16" i="7"/>
  <c r="N29" i="8"/>
  <c r="X20" i="10"/>
  <c r="N25" i="11"/>
  <c r="N33" i="11"/>
  <c r="L20" i="5"/>
  <c r="Z16" i="7"/>
  <c r="X22" i="7"/>
  <c r="Z13" i="10"/>
  <c r="Z20" i="10"/>
  <c r="X13" i="11"/>
  <c r="X25" i="14"/>
  <c r="X33" i="16"/>
  <c r="L13" i="4"/>
  <c r="L25" i="4"/>
  <c r="L33" i="4"/>
  <c r="N20" i="5"/>
  <c r="X29" i="7"/>
  <c r="Z16" i="8"/>
  <c r="X22" i="8"/>
  <c r="X25" i="10"/>
  <c r="X33" i="10"/>
  <c r="Z13" i="11"/>
  <c r="Z20" i="11"/>
  <c r="X21" i="8"/>
  <c r="N13" i="4"/>
  <c r="L13" i="5"/>
  <c r="L25" i="5"/>
  <c r="L33" i="5"/>
  <c r="F24" i="7"/>
  <c r="F22" i="7"/>
  <c r="F21" i="7"/>
  <c r="F20" i="7"/>
  <c r="F18" i="7"/>
  <c r="F16" i="7"/>
  <c r="D18" i="7"/>
  <c r="F15" i="7"/>
  <c r="F36" i="7"/>
  <c r="F34" i="7"/>
  <c r="F33" i="7"/>
  <c r="F31" i="7"/>
  <c r="F29" i="7"/>
  <c r="F27" i="7"/>
  <c r="F25" i="7"/>
  <c r="L12" i="7"/>
  <c r="X15" i="11"/>
  <c r="N34" i="11"/>
  <c r="N15" i="4"/>
  <c r="L21" i="4"/>
  <c r="X24" i="7"/>
  <c r="H18" i="8"/>
  <c r="J15" i="8"/>
  <c r="N12" i="8"/>
  <c r="J36" i="8"/>
  <c r="J34" i="8"/>
  <c r="J33" i="8"/>
  <c r="J31" i="8"/>
  <c r="J29" i="8"/>
  <c r="J27" i="8"/>
  <c r="J25" i="8"/>
  <c r="J21" i="8"/>
  <c r="J20" i="8"/>
  <c r="J18" i="8"/>
  <c r="J16" i="8"/>
  <c r="J24" i="8"/>
  <c r="J22" i="8"/>
  <c r="Z15" i="11"/>
  <c r="X21" i="11"/>
  <c r="H18" i="11"/>
  <c r="J15" i="11"/>
  <c r="N12" i="11"/>
  <c r="J36" i="11"/>
  <c r="J34" i="11"/>
  <c r="J33" i="11"/>
  <c r="J31" i="11"/>
  <c r="J29" i="11"/>
  <c r="J27" i="11"/>
  <c r="J25" i="11"/>
  <c r="J21" i="11"/>
  <c r="J20" i="11"/>
  <c r="J18" i="11"/>
  <c r="J16" i="11"/>
  <c r="J22" i="11"/>
  <c r="J24" i="11"/>
  <c r="N21" i="4"/>
  <c r="L34" i="4"/>
  <c r="X24" i="8"/>
  <c r="Z21" i="10"/>
  <c r="X34" i="10"/>
  <c r="N21" i="5"/>
  <c r="L34" i="5"/>
  <c r="X20" i="7"/>
  <c r="N25" i="8"/>
  <c r="N33" i="8"/>
  <c r="X16" i="10"/>
  <c r="N29" i="11"/>
  <c r="X24" i="10"/>
  <c r="L16" i="5"/>
  <c r="Z13" i="7"/>
  <c r="Z20" i="7"/>
  <c r="X13" i="8"/>
  <c r="Z16" i="10"/>
  <c r="X22" i="10"/>
  <c r="V21" i="4"/>
  <c r="V20" i="4"/>
  <c r="V18" i="4"/>
  <c r="V16" i="4"/>
  <c r="T18" i="4"/>
  <c r="V15" i="4"/>
  <c r="V36" i="4"/>
  <c r="V34" i="4"/>
  <c r="V33" i="4"/>
  <c r="V31" i="4"/>
  <c r="V29" i="4"/>
  <c r="V27" i="4"/>
  <c r="V25" i="4"/>
  <c r="V24" i="4"/>
  <c r="V22" i="4"/>
  <c r="Z12" i="4"/>
  <c r="L15" i="4"/>
  <c r="Z25" i="4"/>
  <c r="Z29" i="4"/>
  <c r="Z33" i="4"/>
  <c r="Z34" i="4"/>
  <c r="R24" i="5"/>
  <c r="R22" i="5"/>
  <c r="R21" i="5"/>
  <c r="R20" i="5"/>
  <c r="R18" i="5"/>
  <c r="R16" i="5"/>
  <c r="P18" i="5"/>
  <c r="R15" i="5"/>
  <c r="R36" i="5"/>
  <c r="R34" i="5"/>
  <c r="R33" i="5"/>
  <c r="R31" i="5"/>
  <c r="R29" i="5"/>
  <c r="R27" i="5"/>
  <c r="R25" i="5"/>
  <c r="X12" i="5"/>
  <c r="Z22" i="5"/>
  <c r="Z24" i="5"/>
  <c r="N13" i="7"/>
  <c r="N22" i="7"/>
  <c r="N24" i="7"/>
  <c r="L13" i="8"/>
  <c r="N21" i="8"/>
  <c r="L25" i="8"/>
  <c r="L29" i="8"/>
  <c r="L33" i="8"/>
  <c r="L34" i="8"/>
  <c r="N13" i="10"/>
  <c r="N22" i="10"/>
  <c r="N24" i="10"/>
  <c r="L13" i="11"/>
  <c r="N21" i="11"/>
  <c r="L25" i="11"/>
  <c r="L29" i="11"/>
  <c r="L33" i="11"/>
  <c r="L34" i="11"/>
  <c r="L16" i="4"/>
  <c r="L20" i="4"/>
  <c r="V20" i="5"/>
  <c r="V18" i="5"/>
  <c r="V16" i="5"/>
  <c r="T18" i="5"/>
  <c r="V15" i="5"/>
  <c r="Z12" i="5"/>
  <c r="V24" i="5"/>
  <c r="V22" i="5"/>
  <c r="V21" i="5"/>
  <c r="V34" i="5"/>
  <c r="V27" i="5"/>
  <c r="V36" i="5"/>
  <c r="V33" i="5"/>
  <c r="V25" i="5"/>
  <c r="V31" i="5"/>
  <c r="V29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X15" i="10"/>
  <c r="N25" i="10"/>
  <c r="N29" i="10"/>
  <c r="N33" i="10"/>
  <c r="N34" i="10"/>
  <c r="N13" i="11"/>
  <c r="N22" i="11"/>
  <c r="N24" i="11"/>
  <c r="Z21" i="14"/>
  <c r="L34" i="17"/>
  <c r="N16" i="4"/>
  <c r="N20" i="4"/>
  <c r="L22" i="4"/>
  <c r="L24" i="4"/>
  <c r="N15" i="5"/>
  <c r="L21" i="5"/>
  <c r="J20" i="7"/>
  <c r="J18" i="7"/>
  <c r="J16" i="7"/>
  <c r="H18" i="7"/>
  <c r="J15" i="7"/>
  <c r="J24" i="7"/>
  <c r="J22" i="7"/>
  <c r="J21" i="7"/>
  <c r="J33" i="7"/>
  <c r="J25" i="7"/>
  <c r="N12" i="7"/>
  <c r="J31" i="7"/>
  <c r="J36" i="7"/>
  <c r="J29" i="7"/>
  <c r="J34" i="7"/>
  <c r="J27" i="7"/>
  <c r="X13" i="7"/>
  <c r="Z15" i="7"/>
  <c r="X21" i="7"/>
  <c r="F21" i="8"/>
  <c r="F20" i="8"/>
  <c r="F18" i="8"/>
  <c r="F16" i="8"/>
  <c r="D18" i="8"/>
  <c r="F15" i="8"/>
  <c r="F36" i="8"/>
  <c r="F34" i="8"/>
  <c r="F33" i="8"/>
  <c r="F31" i="8"/>
  <c r="F29" i="8"/>
  <c r="F27" i="8"/>
  <c r="F25" i="8"/>
  <c r="F24" i="8"/>
  <c r="F22" i="8"/>
  <c r="L12" i="8"/>
  <c r="X16" i="8"/>
  <c r="X20" i="8"/>
  <c r="J20" i="10"/>
  <c r="J18" i="10"/>
  <c r="J16" i="10"/>
  <c r="H18" i="10"/>
  <c r="J15" i="10"/>
  <c r="J24" i="10"/>
  <c r="J22" i="10"/>
  <c r="J21" i="10"/>
  <c r="J36" i="10"/>
  <c r="J29" i="10"/>
  <c r="J34" i="10"/>
  <c r="J27" i="10"/>
  <c r="J33" i="10"/>
  <c r="J25" i="10"/>
  <c r="N12" i="10"/>
  <c r="J31" i="10"/>
  <c r="X13" i="10"/>
  <c r="Z15" i="10"/>
  <c r="X21" i="10"/>
  <c r="F21" i="11"/>
  <c r="F20" i="11"/>
  <c r="F18" i="11"/>
  <c r="F16" i="11"/>
  <c r="D18" i="11"/>
  <c r="F15" i="11"/>
  <c r="F36" i="11"/>
  <c r="F34" i="11"/>
  <c r="F33" i="11"/>
  <c r="F31" i="11"/>
  <c r="F29" i="11"/>
  <c r="F27" i="11"/>
  <c r="F25" i="11"/>
  <c r="F24" i="11"/>
  <c r="F22" i="11"/>
  <c r="L12" i="11"/>
  <c r="X16" i="11"/>
  <c r="X20" i="11"/>
  <c r="R20" i="13"/>
  <c r="R18" i="13"/>
  <c r="R16" i="13"/>
  <c r="P18" i="13"/>
  <c r="R15" i="13"/>
  <c r="X12" i="13"/>
  <c r="R24" i="13"/>
  <c r="R22" i="13"/>
  <c r="R21" i="13"/>
  <c r="R36" i="13"/>
  <c r="R31" i="13"/>
  <c r="R27" i="13"/>
  <c r="R25" i="13"/>
  <c r="R33" i="13"/>
  <c r="R34" i="13"/>
  <c r="R29" i="13"/>
  <c r="X15" i="4"/>
  <c r="N25" i="4"/>
  <c r="N29" i="4"/>
  <c r="N33" i="4"/>
  <c r="N34" i="4"/>
  <c r="N13" i="5"/>
  <c r="N22" i="5"/>
  <c r="N24" i="5"/>
  <c r="X12" i="7"/>
  <c r="R36" i="7"/>
  <c r="R34" i="7"/>
  <c r="R33" i="7"/>
  <c r="R31" i="7"/>
  <c r="R29" i="7"/>
  <c r="R27" i="7"/>
  <c r="R25" i="7"/>
  <c r="R20" i="7"/>
  <c r="R18" i="7"/>
  <c r="R16" i="7"/>
  <c r="R24" i="7"/>
  <c r="R21" i="7"/>
  <c r="P18" i="7"/>
  <c r="R22" i="7"/>
  <c r="R15" i="7"/>
  <c r="Z22" i="7"/>
  <c r="Z24" i="7"/>
  <c r="Z21" i="8"/>
  <c r="X25" i="8"/>
  <c r="X29" i="8"/>
  <c r="X33" i="8"/>
  <c r="X34" i="8"/>
  <c r="X12" i="10"/>
  <c r="R36" i="10"/>
  <c r="R34" i="10"/>
  <c r="R33" i="10"/>
  <c r="R31" i="10"/>
  <c r="R29" i="10"/>
  <c r="R27" i="10"/>
  <c r="R25" i="10"/>
  <c r="R20" i="10"/>
  <c r="R18" i="10"/>
  <c r="R16" i="10"/>
  <c r="R21" i="10"/>
  <c r="R15" i="10"/>
  <c r="R24" i="10"/>
  <c r="P18" i="10"/>
  <c r="R22" i="10"/>
  <c r="Z22" i="10"/>
  <c r="Z24" i="10"/>
  <c r="Z21" i="11"/>
  <c r="X25" i="11"/>
  <c r="X29" i="11"/>
  <c r="X33" i="11"/>
  <c r="X34" i="11"/>
  <c r="X29" i="14"/>
  <c r="L12" i="4"/>
  <c r="F21" i="4"/>
  <c r="D18" i="4"/>
  <c r="F15" i="4"/>
  <c r="F16" i="4"/>
  <c r="F18" i="4"/>
  <c r="F34" i="4"/>
  <c r="F27" i="4"/>
  <c r="F33" i="4"/>
  <c r="F25" i="4"/>
  <c r="F20" i="4"/>
  <c r="F31" i="4"/>
  <c r="F24" i="4"/>
  <c r="F36" i="4"/>
  <c r="F29" i="4"/>
  <c r="F22" i="4"/>
  <c r="X16" i="4"/>
  <c r="X20" i="4"/>
  <c r="X15" i="5"/>
  <c r="N25" i="5"/>
  <c r="N29" i="5"/>
  <c r="N33" i="5"/>
  <c r="N34" i="5"/>
  <c r="Z12" i="7"/>
  <c r="V36" i="7"/>
  <c r="V34" i="7"/>
  <c r="V33" i="7"/>
  <c r="V31" i="7"/>
  <c r="V29" i="7"/>
  <c r="V27" i="7"/>
  <c r="V25" i="7"/>
  <c r="V24" i="7"/>
  <c r="V22" i="7"/>
  <c r="V21" i="7"/>
  <c r="V15" i="7"/>
  <c r="V18" i="7"/>
  <c r="T18" i="7"/>
  <c r="V16" i="7"/>
  <c r="V20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4" i="8"/>
  <c r="R22" i="8"/>
  <c r="P18" i="8"/>
  <c r="R15" i="8"/>
  <c r="R20" i="8"/>
  <c r="R18" i="8"/>
  <c r="R16" i="8"/>
  <c r="R21" i="8"/>
  <c r="Z22" i="8"/>
  <c r="Z24" i="8"/>
  <c r="Z12" i="10"/>
  <c r="V36" i="10"/>
  <c r="V34" i="10"/>
  <c r="V33" i="10"/>
  <c r="V31" i="10"/>
  <c r="V29" i="10"/>
  <c r="V27" i="10"/>
  <c r="V25" i="10"/>
  <c r="V24" i="10"/>
  <c r="V22" i="10"/>
  <c r="V21" i="10"/>
  <c r="V15" i="10"/>
  <c r="V20" i="10"/>
  <c r="T18" i="10"/>
  <c r="V18" i="10"/>
  <c r="V16" i="10"/>
  <c r="L15" i="10"/>
  <c r="Z25" i="10"/>
  <c r="Z29" i="10"/>
  <c r="Z33" i="10"/>
  <c r="Z34" i="10"/>
  <c r="X12" i="11"/>
  <c r="R36" i="11"/>
  <c r="R34" i="11"/>
  <c r="R33" i="11"/>
  <c r="R31" i="11"/>
  <c r="R29" i="11"/>
  <c r="R27" i="11"/>
  <c r="R25" i="11"/>
  <c r="R24" i="11"/>
  <c r="R22" i="11"/>
  <c r="P18" i="11"/>
  <c r="R15" i="11"/>
  <c r="R16" i="11"/>
  <c r="R21" i="11"/>
  <c r="R18" i="11"/>
  <c r="R20" i="11"/>
  <c r="Z22" i="11"/>
  <c r="Z24" i="11"/>
  <c r="N12" i="4"/>
  <c r="J36" i="4"/>
  <c r="J34" i="4"/>
  <c r="J33" i="4"/>
  <c r="J31" i="4"/>
  <c r="J29" i="4"/>
  <c r="J27" i="4"/>
  <c r="J25" i="4"/>
  <c r="J24" i="4"/>
  <c r="J22" i="4"/>
  <c r="H18" i="4"/>
  <c r="J15" i="4"/>
  <c r="J21" i="4"/>
  <c r="J20" i="4"/>
  <c r="J18" i="4"/>
  <c r="J16" i="4"/>
  <c r="X13" i="4"/>
  <c r="Z15" i="4"/>
  <c r="X21" i="4"/>
  <c r="L12" i="5"/>
  <c r="F36" i="5"/>
  <c r="F34" i="5"/>
  <c r="F33" i="5"/>
  <c r="F31" i="5"/>
  <c r="F29" i="5"/>
  <c r="F27" i="5"/>
  <c r="F25" i="5"/>
  <c r="F20" i="5"/>
  <c r="F18" i="5"/>
  <c r="F16" i="5"/>
  <c r="F21" i="5"/>
  <c r="F15" i="5"/>
  <c r="F24" i="5"/>
  <c r="D18" i="5"/>
  <c r="F22" i="5"/>
  <c r="X16" i="5"/>
  <c r="X20" i="5"/>
  <c r="L16" i="7"/>
  <c r="L20" i="7"/>
  <c r="Z12" i="8"/>
  <c r="V36" i="8"/>
  <c r="V34" i="8"/>
  <c r="V33" i="8"/>
  <c r="V31" i="8"/>
  <c r="V29" i="8"/>
  <c r="V27" i="8"/>
  <c r="V25" i="8"/>
  <c r="V24" i="8"/>
  <c r="V22" i="8"/>
  <c r="V21" i="8"/>
  <c r="V20" i="8"/>
  <c r="V18" i="8"/>
  <c r="V16" i="8"/>
  <c r="T18" i="8"/>
  <c r="V15" i="8"/>
  <c r="L15" i="8"/>
  <c r="Z25" i="8"/>
  <c r="Z29" i="8"/>
  <c r="Z33" i="8"/>
  <c r="Z34" i="8"/>
  <c r="L16" i="10"/>
  <c r="L20" i="10"/>
  <c r="Z12" i="11"/>
  <c r="V36" i="11"/>
  <c r="V34" i="11"/>
  <c r="V33" i="11"/>
  <c r="V31" i="11"/>
  <c r="V29" i="11"/>
  <c r="V27" i="11"/>
  <c r="V25" i="11"/>
  <c r="V24" i="11"/>
  <c r="V22" i="11"/>
  <c r="V21" i="11"/>
  <c r="V20" i="11"/>
  <c r="V18" i="11"/>
  <c r="V16" i="11"/>
  <c r="V15" i="11"/>
  <c r="T18" i="11"/>
  <c r="L15" i="11"/>
  <c r="Z25" i="11"/>
  <c r="Z29" i="11"/>
  <c r="Z33" i="11"/>
  <c r="Z34" i="11"/>
  <c r="X33" i="14"/>
  <c r="Z13" i="4"/>
  <c r="Z16" i="4"/>
  <c r="Z20" i="4"/>
  <c r="X22" i="4"/>
  <c r="X24" i="4"/>
  <c r="N12" i="5"/>
  <c r="J36" i="5"/>
  <c r="J34" i="5"/>
  <c r="J33" i="5"/>
  <c r="J31" i="5"/>
  <c r="J29" i="5"/>
  <c r="J27" i="5"/>
  <c r="J25" i="5"/>
  <c r="J24" i="5"/>
  <c r="J22" i="5"/>
  <c r="J21" i="5"/>
  <c r="J15" i="5"/>
  <c r="J20" i="5"/>
  <c r="J18" i="5"/>
  <c r="H18" i="5"/>
  <c r="J16" i="5"/>
  <c r="X13" i="5"/>
  <c r="Z15" i="5"/>
  <c r="X21" i="5"/>
  <c r="N15" i="7"/>
  <c r="L21" i="7"/>
  <c r="L16" i="8"/>
  <c r="L20" i="8"/>
  <c r="N15" i="10"/>
  <c r="L21" i="10"/>
  <c r="L16" i="11"/>
  <c r="L20" i="11"/>
  <c r="X34" i="14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N16" i="10"/>
  <c r="N20" i="10"/>
  <c r="L22" i="10"/>
  <c r="L24" i="10"/>
  <c r="N15" i="11"/>
  <c r="L21" i="11"/>
  <c r="Z22" i="13"/>
  <c r="L22" i="17"/>
  <c r="R36" i="4"/>
  <c r="R34" i="4"/>
  <c r="R33" i="4"/>
  <c r="R31" i="4"/>
  <c r="R29" i="4"/>
  <c r="R27" i="4"/>
  <c r="R25" i="4"/>
  <c r="R24" i="4"/>
  <c r="R22" i="4"/>
  <c r="R21" i="4"/>
  <c r="R20" i="4"/>
  <c r="R18" i="4"/>
  <c r="R16" i="4"/>
  <c r="P18" i="4"/>
  <c r="R15" i="4"/>
  <c r="X12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L13" i="10"/>
  <c r="N21" i="10"/>
  <c r="L25" i="10"/>
  <c r="L29" i="10"/>
  <c r="L33" i="10"/>
  <c r="L34" i="10"/>
  <c r="N16" i="11"/>
  <c r="N20" i="11"/>
  <c r="L22" i="11"/>
  <c r="L24" i="11"/>
  <c r="Z24" i="13"/>
  <c r="X33" i="25"/>
  <c r="Z13" i="13"/>
  <c r="Z16" i="13"/>
  <c r="Z20" i="13"/>
  <c r="X22" i="13"/>
  <c r="X24" i="13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H18" i="14"/>
  <c r="J15" i="14"/>
  <c r="N12" i="14"/>
  <c r="X13" i="14"/>
  <c r="Z15" i="14"/>
  <c r="X21" i="14"/>
  <c r="N13" i="16"/>
  <c r="X29" i="16"/>
  <c r="R24" i="17"/>
  <c r="R22" i="17"/>
  <c r="R20" i="17"/>
  <c r="R18" i="17"/>
  <c r="R16" i="17"/>
  <c r="P18" i="17"/>
  <c r="R15" i="17"/>
  <c r="R33" i="17"/>
  <c r="R21" i="17"/>
  <c r="R36" i="17"/>
  <c r="R27" i="17"/>
  <c r="R31" i="17"/>
  <c r="R34" i="17"/>
  <c r="R25" i="17"/>
  <c r="R29" i="17"/>
  <c r="X12" i="17"/>
  <c r="X15" i="17"/>
  <c r="F24" i="20"/>
  <c r="F22" i="20"/>
  <c r="F21" i="20"/>
  <c r="F20" i="20"/>
  <c r="F18" i="20"/>
  <c r="F16" i="20"/>
  <c r="D18" i="20"/>
  <c r="F15" i="20"/>
  <c r="F36" i="20"/>
  <c r="F34" i="20"/>
  <c r="F33" i="20"/>
  <c r="F31" i="20"/>
  <c r="F29" i="20"/>
  <c r="F27" i="20"/>
  <c r="F25" i="20"/>
  <c r="L12" i="20"/>
  <c r="F21" i="22"/>
  <c r="L12" i="22"/>
  <c r="F36" i="22"/>
  <c r="F34" i="22"/>
  <c r="F33" i="22"/>
  <c r="F31" i="22"/>
  <c r="F29" i="22"/>
  <c r="F27" i="22"/>
  <c r="F25" i="22"/>
  <c r="F24" i="22"/>
  <c r="F20" i="22"/>
  <c r="F15" i="22"/>
  <c r="F22" i="22"/>
  <c r="F18" i="22"/>
  <c r="D18" i="22"/>
  <c r="F16" i="22"/>
  <c r="Z21" i="13"/>
  <c r="X25" i="13"/>
  <c r="X29" i="13"/>
  <c r="X33" i="13"/>
  <c r="X34" i="13"/>
  <c r="Z13" i="14"/>
  <c r="Z16" i="14"/>
  <c r="Z20" i="14"/>
  <c r="X22" i="14"/>
  <c r="X24" i="14"/>
  <c r="L20" i="16"/>
  <c r="Z21" i="16"/>
  <c r="N24" i="16"/>
  <c r="Z29" i="16"/>
  <c r="Z12" i="17"/>
  <c r="V24" i="17"/>
  <c r="V22" i="17"/>
  <c r="V20" i="17"/>
  <c r="V18" i="17"/>
  <c r="V16" i="17"/>
  <c r="V36" i="17"/>
  <c r="V27" i="17"/>
  <c r="V31" i="17"/>
  <c r="V34" i="17"/>
  <c r="V25" i="17"/>
  <c r="T18" i="17"/>
  <c r="V15" i="17"/>
  <c r="V33" i="17"/>
  <c r="V21" i="17"/>
  <c r="V29" i="17"/>
  <c r="L25" i="17"/>
  <c r="X13" i="22"/>
  <c r="N33" i="28"/>
  <c r="Z12" i="13"/>
  <c r="V36" i="13"/>
  <c r="V34" i="13"/>
  <c r="V33" i="13"/>
  <c r="V31" i="13"/>
  <c r="V29" i="13"/>
  <c r="V27" i="13"/>
  <c r="V25" i="13"/>
  <c r="V24" i="13"/>
  <c r="V22" i="13"/>
  <c r="V20" i="13"/>
  <c r="V18" i="13"/>
  <c r="V16" i="13"/>
  <c r="T18" i="13"/>
  <c r="V15" i="13"/>
  <c r="V21" i="13"/>
  <c r="L15" i="13"/>
  <c r="Z25" i="13"/>
  <c r="Z29" i="13"/>
  <c r="Z33" i="13"/>
  <c r="Z34" i="13"/>
  <c r="P18" i="14"/>
  <c r="R15" i="14"/>
  <c r="X12" i="14"/>
  <c r="R36" i="14"/>
  <c r="R34" i="14"/>
  <c r="R33" i="14"/>
  <c r="R31" i="14"/>
  <c r="R29" i="14"/>
  <c r="R27" i="14"/>
  <c r="R25" i="14"/>
  <c r="R21" i="14"/>
  <c r="R20" i="14"/>
  <c r="R18" i="14"/>
  <c r="R16" i="14"/>
  <c r="R24" i="14"/>
  <c r="R22" i="14"/>
  <c r="Z22" i="14"/>
  <c r="Z24" i="14"/>
  <c r="L15" i="16"/>
  <c r="X16" i="16"/>
  <c r="Z33" i="16"/>
  <c r="L16" i="17"/>
  <c r="L20" i="17"/>
  <c r="X29" i="19"/>
  <c r="Z13" i="20"/>
  <c r="X22" i="20"/>
  <c r="Z20" i="23"/>
  <c r="Z33" i="25"/>
  <c r="L16" i="13"/>
  <c r="L20" i="13"/>
  <c r="Z12" i="14"/>
  <c r="V36" i="14"/>
  <c r="V34" i="14"/>
  <c r="V33" i="14"/>
  <c r="V31" i="14"/>
  <c r="V29" i="14"/>
  <c r="V27" i="14"/>
  <c r="V25" i="14"/>
  <c r="V24" i="14"/>
  <c r="V22" i="14"/>
  <c r="V21" i="14"/>
  <c r="T18" i="14"/>
  <c r="V15" i="14"/>
  <c r="V18" i="14"/>
  <c r="V16" i="14"/>
  <c r="V20" i="14"/>
  <c r="L15" i="14"/>
  <c r="Z25" i="14"/>
  <c r="Z29" i="14"/>
  <c r="Z33" i="14"/>
  <c r="Z34" i="14"/>
  <c r="L13" i="17"/>
  <c r="N16" i="17"/>
  <c r="N20" i="17"/>
  <c r="X22" i="17"/>
  <c r="J21" i="19"/>
  <c r="J20" i="19"/>
  <c r="J18" i="19"/>
  <c r="J16" i="19"/>
  <c r="H18" i="19"/>
  <c r="J15" i="19"/>
  <c r="J36" i="19"/>
  <c r="J34" i="19"/>
  <c r="J33" i="19"/>
  <c r="J31" i="19"/>
  <c r="J29" i="19"/>
  <c r="J27" i="19"/>
  <c r="J25" i="19"/>
  <c r="J24" i="19"/>
  <c r="J22" i="19"/>
  <c r="N12" i="19"/>
  <c r="X21" i="19"/>
  <c r="Z29" i="22"/>
  <c r="N15" i="13"/>
  <c r="L21" i="13"/>
  <c r="L16" i="14"/>
  <c r="L20" i="14"/>
  <c r="N15" i="16"/>
  <c r="X20" i="16"/>
  <c r="Z22" i="17"/>
  <c r="Z21" i="19"/>
  <c r="X24" i="20"/>
  <c r="L33" i="22"/>
  <c r="R20" i="26"/>
  <c r="R18" i="26"/>
  <c r="R16" i="26"/>
  <c r="P18" i="26"/>
  <c r="R15" i="26"/>
  <c r="R21" i="26"/>
  <c r="R33" i="26"/>
  <c r="R25" i="26"/>
  <c r="R31" i="26"/>
  <c r="R24" i="26"/>
  <c r="X12" i="26"/>
  <c r="R22" i="26"/>
  <c r="R34" i="26"/>
  <c r="R27" i="26"/>
  <c r="R29" i="26"/>
  <c r="R36" i="26"/>
  <c r="N16" i="13"/>
  <c r="N20" i="13"/>
  <c r="L22" i="13"/>
  <c r="L24" i="13"/>
  <c r="N15" i="14"/>
  <c r="L21" i="14"/>
  <c r="F21" i="16"/>
  <c r="L12" i="16"/>
  <c r="F29" i="16"/>
  <c r="F25" i="16"/>
  <c r="F34" i="16"/>
  <c r="F18" i="16"/>
  <c r="D18" i="16"/>
  <c r="F31" i="16"/>
  <c r="F22" i="16"/>
  <c r="F15" i="16"/>
  <c r="F27" i="16"/>
  <c r="F33" i="16"/>
  <c r="F24" i="16"/>
  <c r="F16" i="16"/>
  <c r="F36" i="16"/>
  <c r="F20" i="16"/>
  <c r="N22" i="16"/>
  <c r="L34" i="16"/>
  <c r="Z13" i="17"/>
  <c r="Z20" i="17"/>
  <c r="X13" i="19"/>
  <c r="X16" i="20"/>
  <c r="X22" i="23"/>
  <c r="Z16" i="26"/>
  <c r="L13" i="13"/>
  <c r="N21" i="13"/>
  <c r="L25" i="13"/>
  <c r="L29" i="13"/>
  <c r="L33" i="13"/>
  <c r="L34" i="13"/>
  <c r="N16" i="14"/>
  <c r="N20" i="14"/>
  <c r="L22" i="14"/>
  <c r="L24" i="14"/>
  <c r="L25" i="16"/>
  <c r="Z16" i="17"/>
  <c r="L24" i="17"/>
  <c r="X33" i="19"/>
  <c r="Z16" i="20"/>
  <c r="L15" i="25"/>
  <c r="N13" i="13"/>
  <c r="N22" i="13"/>
  <c r="N24" i="13"/>
  <c r="L13" i="14"/>
  <c r="N21" i="14"/>
  <c r="L25" i="14"/>
  <c r="L29" i="14"/>
  <c r="L33" i="14"/>
  <c r="L34" i="14"/>
  <c r="V21" i="16"/>
  <c r="T18" i="16"/>
  <c r="V15" i="16"/>
  <c r="V34" i="16"/>
  <c r="V18" i="16"/>
  <c r="Z12" i="16"/>
  <c r="V31" i="16"/>
  <c r="V22" i="16"/>
  <c r="V27" i="16"/>
  <c r="V36" i="16"/>
  <c r="V20" i="16"/>
  <c r="V33" i="16"/>
  <c r="V24" i="16"/>
  <c r="V16" i="16"/>
  <c r="V25" i="16"/>
  <c r="V29" i="16"/>
  <c r="L15" i="17"/>
  <c r="Z15" i="19"/>
  <c r="N25" i="23"/>
  <c r="X22" i="26"/>
  <c r="X15" i="13"/>
  <c r="N25" i="13"/>
  <c r="N29" i="13"/>
  <c r="N33" i="13"/>
  <c r="N34" i="13"/>
  <c r="N13" i="14"/>
  <c r="N22" i="14"/>
  <c r="N24" i="14"/>
  <c r="L21" i="16"/>
  <c r="L29" i="16"/>
  <c r="X34" i="16"/>
  <c r="X24" i="17"/>
  <c r="L33" i="17"/>
  <c r="X34" i="19"/>
  <c r="F20" i="23"/>
  <c r="F18" i="23"/>
  <c r="F16" i="23"/>
  <c r="F24" i="23"/>
  <c r="F22" i="23"/>
  <c r="F27" i="23"/>
  <c r="F36" i="23"/>
  <c r="F33" i="23"/>
  <c r="F29" i="23"/>
  <c r="F21" i="23"/>
  <c r="F25" i="23"/>
  <c r="L12" i="23"/>
  <c r="F31" i="23"/>
  <c r="F15" i="23"/>
  <c r="F34" i="23"/>
  <c r="D18" i="23"/>
  <c r="Z22" i="26"/>
  <c r="F36" i="13"/>
  <c r="F34" i="13"/>
  <c r="F33" i="13"/>
  <c r="F31" i="13"/>
  <c r="F29" i="13"/>
  <c r="F27" i="13"/>
  <c r="F25" i="13"/>
  <c r="F24" i="13"/>
  <c r="F22" i="13"/>
  <c r="F21" i="13"/>
  <c r="F20" i="13"/>
  <c r="F18" i="13"/>
  <c r="F16" i="13"/>
  <c r="D18" i="13"/>
  <c r="F15" i="13"/>
  <c r="L12" i="13"/>
  <c r="X16" i="13"/>
  <c r="X20" i="13"/>
  <c r="X15" i="14"/>
  <c r="N25" i="14"/>
  <c r="N29" i="14"/>
  <c r="N33" i="14"/>
  <c r="N34" i="14"/>
  <c r="N21" i="16"/>
  <c r="X25" i="16"/>
  <c r="Z34" i="16"/>
  <c r="N21" i="17"/>
  <c r="Z24" i="17"/>
  <c r="X20" i="20"/>
  <c r="Z12" i="23"/>
  <c r="V21" i="23"/>
  <c r="V20" i="23"/>
  <c r="V18" i="23"/>
  <c r="V16" i="23"/>
  <c r="V29" i="23"/>
  <c r="V25" i="23"/>
  <c r="V34" i="23"/>
  <c r="T18" i="23"/>
  <c r="V31" i="23"/>
  <c r="V22" i="23"/>
  <c r="V15" i="23"/>
  <c r="V27" i="23"/>
  <c r="V33" i="23"/>
  <c r="V24" i="23"/>
  <c r="V36" i="23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H18" i="13"/>
  <c r="J15" i="13"/>
  <c r="N12" i="13"/>
  <c r="X13" i="13"/>
  <c r="Z15" i="13"/>
  <c r="X21" i="13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D18" i="14"/>
  <c r="F15" i="14"/>
  <c r="L12" i="14"/>
  <c r="X16" i="14"/>
  <c r="X20" i="14"/>
  <c r="L13" i="16"/>
  <c r="L16" i="16"/>
  <c r="Z25" i="16"/>
  <c r="L33" i="16"/>
  <c r="L29" i="17"/>
  <c r="X25" i="19"/>
  <c r="Z20" i="20"/>
  <c r="J24" i="16"/>
  <c r="J22" i="16"/>
  <c r="H18" i="16"/>
  <c r="J15" i="16"/>
  <c r="J29" i="16"/>
  <c r="J21" i="16"/>
  <c r="J25" i="16"/>
  <c r="J34" i="16"/>
  <c r="J18" i="16"/>
  <c r="N12" i="16"/>
  <c r="J31" i="16"/>
  <c r="J27" i="16"/>
  <c r="J36" i="16"/>
  <c r="J20" i="16"/>
  <c r="J33" i="16"/>
  <c r="J16" i="16"/>
  <c r="X13" i="16"/>
  <c r="Z15" i="16"/>
  <c r="X21" i="16"/>
  <c r="F36" i="17"/>
  <c r="F34" i="17"/>
  <c r="F33" i="17"/>
  <c r="F31" i="17"/>
  <c r="F29" i="17"/>
  <c r="F27" i="17"/>
  <c r="F25" i="17"/>
  <c r="F20" i="17"/>
  <c r="F18" i="17"/>
  <c r="F16" i="17"/>
  <c r="L12" i="17"/>
  <c r="F21" i="17"/>
  <c r="D18" i="17"/>
  <c r="F15" i="17"/>
  <c r="F24" i="17"/>
  <c r="F22" i="17"/>
  <c r="X16" i="17"/>
  <c r="X20" i="17"/>
  <c r="X15" i="19"/>
  <c r="N25" i="19"/>
  <c r="N29" i="19"/>
  <c r="N33" i="19"/>
  <c r="N34" i="19"/>
  <c r="N13" i="20"/>
  <c r="N22" i="20"/>
  <c r="N24" i="20"/>
  <c r="Z25" i="22"/>
  <c r="N29" i="22"/>
  <c r="Z16" i="23"/>
  <c r="L22" i="23"/>
  <c r="V36" i="25"/>
  <c r="V34" i="25"/>
  <c r="V33" i="25"/>
  <c r="V31" i="25"/>
  <c r="V29" i="25"/>
  <c r="V27" i="25"/>
  <c r="V25" i="25"/>
  <c r="T18" i="25"/>
  <c r="V15" i="25"/>
  <c r="V21" i="25"/>
  <c r="V16" i="25"/>
  <c r="V24" i="25"/>
  <c r="V20" i="25"/>
  <c r="Z12" i="25"/>
  <c r="V22" i="25"/>
  <c r="V18" i="25"/>
  <c r="Z25" i="25"/>
  <c r="Z21" i="26"/>
  <c r="X34" i="26"/>
  <c r="X21" i="29"/>
  <c r="Z13" i="16"/>
  <c r="Z16" i="16"/>
  <c r="Z20" i="16"/>
  <c r="X22" i="16"/>
  <c r="X24" i="16"/>
  <c r="J24" i="17"/>
  <c r="J22" i="17"/>
  <c r="J21" i="17"/>
  <c r="N12" i="17"/>
  <c r="J36" i="17"/>
  <c r="J34" i="17"/>
  <c r="J33" i="17"/>
  <c r="J31" i="17"/>
  <c r="J29" i="17"/>
  <c r="J27" i="17"/>
  <c r="J25" i="17"/>
  <c r="J18" i="17"/>
  <c r="H18" i="17"/>
  <c r="J15" i="17"/>
  <c r="J20" i="17"/>
  <c r="J16" i="17"/>
  <c r="X13" i="17"/>
  <c r="Z15" i="17"/>
  <c r="X21" i="17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D18" i="19"/>
  <c r="F15" i="19"/>
  <c r="L12" i="19"/>
  <c r="X16" i="19"/>
  <c r="X20" i="19"/>
  <c r="X15" i="20"/>
  <c r="N25" i="20"/>
  <c r="N29" i="20"/>
  <c r="N33" i="20"/>
  <c r="N34" i="20"/>
  <c r="X20" i="22"/>
  <c r="X34" i="22"/>
  <c r="X20" i="23"/>
  <c r="N22" i="23"/>
  <c r="L16" i="26"/>
  <c r="N13" i="28"/>
  <c r="X16" i="31"/>
  <c r="R36" i="16"/>
  <c r="R34" i="16"/>
  <c r="R33" i="16"/>
  <c r="R31" i="16"/>
  <c r="R29" i="16"/>
  <c r="R27" i="16"/>
  <c r="R25" i="16"/>
  <c r="R21" i="16"/>
  <c r="R20" i="16"/>
  <c r="R18" i="16"/>
  <c r="R16" i="16"/>
  <c r="P18" i="16"/>
  <c r="X12" i="16"/>
  <c r="R22" i="16"/>
  <c r="R15" i="16"/>
  <c r="R24" i="16"/>
  <c r="Z22" i="16"/>
  <c r="Z24" i="16"/>
  <c r="Z21" i="17"/>
  <c r="X25" i="17"/>
  <c r="X29" i="17"/>
  <c r="X33" i="17"/>
  <c r="X34" i="17"/>
  <c r="Z13" i="19"/>
  <c r="Z16" i="19"/>
  <c r="Z20" i="19"/>
  <c r="X22" i="19"/>
  <c r="X24" i="19"/>
  <c r="J20" i="20"/>
  <c r="J18" i="20"/>
  <c r="J16" i="20"/>
  <c r="H18" i="20"/>
  <c r="J15" i="20"/>
  <c r="N12" i="20"/>
  <c r="J24" i="20"/>
  <c r="J22" i="20"/>
  <c r="J21" i="20"/>
  <c r="J29" i="20"/>
  <c r="J27" i="20"/>
  <c r="J36" i="20"/>
  <c r="J25" i="20"/>
  <c r="J34" i="20"/>
  <c r="J31" i="20"/>
  <c r="J33" i="20"/>
  <c r="X13" i="20"/>
  <c r="Z15" i="20"/>
  <c r="X21" i="20"/>
  <c r="L16" i="22"/>
  <c r="X29" i="22"/>
  <c r="N33" i="22"/>
  <c r="X15" i="23"/>
  <c r="N34" i="23"/>
  <c r="Z22" i="25"/>
  <c r="X29" i="26"/>
  <c r="Z13" i="28"/>
  <c r="Z25" i="17"/>
  <c r="Z29" i="17"/>
  <c r="Z33" i="17"/>
  <c r="Z34" i="17"/>
  <c r="X12" i="19"/>
  <c r="R36" i="19"/>
  <c r="R34" i="19"/>
  <c r="R33" i="19"/>
  <c r="R31" i="19"/>
  <c r="R29" i="19"/>
  <c r="R27" i="19"/>
  <c r="R25" i="19"/>
  <c r="R21" i="19"/>
  <c r="P18" i="19"/>
  <c r="R15" i="19"/>
  <c r="R16" i="19"/>
  <c r="R24" i="19"/>
  <c r="R22" i="19"/>
  <c r="R18" i="19"/>
  <c r="R20" i="19"/>
  <c r="Z22" i="19"/>
  <c r="Z24" i="19"/>
  <c r="Z21" i="20"/>
  <c r="X25" i="20"/>
  <c r="X29" i="20"/>
  <c r="X33" i="20"/>
  <c r="X34" i="20"/>
  <c r="H18" i="22"/>
  <c r="J15" i="22"/>
  <c r="J21" i="22"/>
  <c r="J34" i="22"/>
  <c r="J20" i="22"/>
  <c r="J31" i="22"/>
  <c r="J25" i="22"/>
  <c r="J36" i="22"/>
  <c r="N12" i="22"/>
  <c r="J27" i="22"/>
  <c r="J16" i="22"/>
  <c r="J29" i="22"/>
  <c r="J24" i="22"/>
  <c r="J22" i="22"/>
  <c r="J33" i="22"/>
  <c r="J18" i="22"/>
  <c r="L15" i="22"/>
  <c r="N15" i="25"/>
  <c r="X24" i="26"/>
  <c r="L34" i="29"/>
  <c r="Z12" i="19"/>
  <c r="V36" i="19"/>
  <c r="V34" i="19"/>
  <c r="V33" i="19"/>
  <c r="V31" i="19"/>
  <c r="V29" i="19"/>
  <c r="V27" i="19"/>
  <c r="V25" i="19"/>
  <c r="V24" i="19"/>
  <c r="V22" i="19"/>
  <c r="V21" i="19"/>
  <c r="T18" i="19"/>
  <c r="V15" i="19"/>
  <c r="V16" i="19"/>
  <c r="V20" i="19"/>
  <c r="V18" i="19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4" i="20"/>
  <c r="R22" i="20"/>
  <c r="R20" i="20"/>
  <c r="R18" i="20"/>
  <c r="R16" i="20"/>
  <c r="P18" i="20"/>
  <c r="R15" i="20"/>
  <c r="R21" i="20"/>
  <c r="Z22" i="20"/>
  <c r="Z24" i="20"/>
  <c r="L21" i="22"/>
  <c r="X33" i="22"/>
  <c r="N29" i="23"/>
  <c r="Z34" i="23"/>
  <c r="X29" i="25"/>
  <c r="X34" i="25"/>
  <c r="Z13" i="26"/>
  <c r="N12" i="29"/>
  <c r="J36" i="29"/>
  <c r="J34" i="29"/>
  <c r="J33" i="29"/>
  <c r="J31" i="29"/>
  <c r="J29" i="29"/>
  <c r="J27" i="29"/>
  <c r="J25" i="29"/>
  <c r="J24" i="29"/>
  <c r="J22" i="29"/>
  <c r="H18" i="29"/>
  <c r="J15" i="29"/>
  <c r="J20" i="29"/>
  <c r="J18" i="29"/>
  <c r="J21" i="29"/>
  <c r="J16" i="29"/>
  <c r="N16" i="16"/>
  <c r="N20" i="16"/>
  <c r="L22" i="16"/>
  <c r="L24" i="16"/>
  <c r="N15" i="17"/>
  <c r="L21" i="17"/>
  <c r="L16" i="19"/>
  <c r="L20" i="19"/>
  <c r="Z12" i="20"/>
  <c r="V36" i="20"/>
  <c r="V34" i="20"/>
  <c r="V33" i="20"/>
  <c r="V31" i="20"/>
  <c r="V29" i="20"/>
  <c r="V27" i="20"/>
  <c r="V25" i="20"/>
  <c r="V24" i="20"/>
  <c r="V22" i="20"/>
  <c r="V21" i="20"/>
  <c r="V20" i="20"/>
  <c r="V18" i="20"/>
  <c r="V16" i="20"/>
  <c r="T18" i="20"/>
  <c r="V15" i="20"/>
  <c r="L15" i="20"/>
  <c r="Z25" i="20"/>
  <c r="Z29" i="20"/>
  <c r="Z33" i="20"/>
  <c r="Z34" i="20"/>
  <c r="R36" i="22"/>
  <c r="R34" i="22"/>
  <c r="R33" i="22"/>
  <c r="R31" i="22"/>
  <c r="R29" i="22"/>
  <c r="R27" i="22"/>
  <c r="R25" i="22"/>
  <c r="R21" i="22"/>
  <c r="R15" i="22"/>
  <c r="X12" i="22"/>
  <c r="R16" i="22"/>
  <c r="R22" i="22"/>
  <c r="R18" i="22"/>
  <c r="R24" i="22"/>
  <c r="R20" i="22"/>
  <c r="P18" i="22"/>
  <c r="N15" i="22"/>
  <c r="X16" i="22"/>
  <c r="N21" i="22"/>
  <c r="L25" i="22"/>
  <c r="N13" i="23"/>
  <c r="L16" i="23"/>
  <c r="L24" i="23"/>
  <c r="Z25" i="23"/>
  <c r="Z24" i="25"/>
  <c r="Z24" i="26"/>
  <c r="N22" i="28"/>
  <c r="N15" i="19"/>
  <c r="L21" i="19"/>
  <c r="L16" i="20"/>
  <c r="L20" i="20"/>
  <c r="V21" i="22"/>
  <c r="T18" i="22"/>
  <c r="V15" i="22"/>
  <c r="Z12" i="22"/>
  <c r="V36" i="22"/>
  <c r="V27" i="22"/>
  <c r="V16" i="22"/>
  <c r="V22" i="22"/>
  <c r="V33" i="22"/>
  <c r="V18" i="22"/>
  <c r="V29" i="22"/>
  <c r="V20" i="22"/>
  <c r="V25" i="22"/>
  <c r="V31" i="22"/>
  <c r="V34" i="22"/>
  <c r="V24" i="22"/>
  <c r="N25" i="22"/>
  <c r="N16" i="23"/>
  <c r="N24" i="23"/>
  <c r="N33" i="23"/>
  <c r="Z29" i="25"/>
  <c r="Z34" i="25"/>
  <c r="Z20" i="26"/>
  <c r="N29" i="32"/>
  <c r="N16" i="19"/>
  <c r="N20" i="19"/>
  <c r="L22" i="19"/>
  <c r="L24" i="19"/>
  <c r="N15" i="20"/>
  <c r="L21" i="20"/>
  <c r="X15" i="22"/>
  <c r="L20" i="22"/>
  <c r="L34" i="22"/>
  <c r="L20" i="23"/>
  <c r="Z29" i="23"/>
  <c r="L21" i="25"/>
  <c r="X25" i="26"/>
  <c r="X33" i="26"/>
  <c r="X22" i="28"/>
  <c r="X15" i="16"/>
  <c r="N25" i="16"/>
  <c r="N29" i="16"/>
  <c r="N33" i="16"/>
  <c r="N34" i="16"/>
  <c r="N13" i="17"/>
  <c r="N22" i="17"/>
  <c r="N24" i="17"/>
  <c r="L13" i="19"/>
  <c r="N21" i="19"/>
  <c r="L25" i="19"/>
  <c r="L29" i="19"/>
  <c r="L33" i="19"/>
  <c r="L34" i="19"/>
  <c r="N16" i="20"/>
  <c r="N20" i="20"/>
  <c r="L22" i="20"/>
  <c r="L24" i="20"/>
  <c r="X21" i="22"/>
  <c r="N34" i="22"/>
  <c r="Z13" i="23"/>
  <c r="N20" i="23"/>
  <c r="Z21" i="25"/>
  <c r="X25" i="25"/>
  <c r="N21" i="29"/>
  <c r="N25" i="17"/>
  <c r="N29" i="17"/>
  <c r="N33" i="17"/>
  <c r="N34" i="17"/>
  <c r="N13" i="19"/>
  <c r="N22" i="19"/>
  <c r="N24" i="19"/>
  <c r="L13" i="20"/>
  <c r="N21" i="20"/>
  <c r="L25" i="20"/>
  <c r="L29" i="20"/>
  <c r="L33" i="20"/>
  <c r="L34" i="20"/>
  <c r="L13" i="22"/>
  <c r="Z15" i="22"/>
  <c r="Z21" i="22"/>
  <c r="X25" i="22"/>
  <c r="L29" i="22"/>
  <c r="L15" i="23"/>
  <c r="X16" i="23"/>
  <c r="X24" i="23"/>
  <c r="Z33" i="23"/>
  <c r="P18" i="25"/>
  <c r="R15" i="25"/>
  <c r="X12" i="25"/>
  <c r="R21" i="25"/>
  <c r="R20" i="25"/>
  <c r="R18" i="25"/>
  <c r="R16" i="25"/>
  <c r="R36" i="25"/>
  <c r="R31" i="25"/>
  <c r="R25" i="25"/>
  <c r="R34" i="25"/>
  <c r="R29" i="25"/>
  <c r="R24" i="25"/>
  <c r="R33" i="25"/>
  <c r="R27" i="25"/>
  <c r="R22" i="25"/>
  <c r="J36" i="25"/>
  <c r="J34" i="25"/>
  <c r="J33" i="25"/>
  <c r="J31" i="25"/>
  <c r="J29" i="25"/>
  <c r="J27" i="25"/>
  <c r="J25" i="25"/>
  <c r="J24" i="25"/>
  <c r="J22" i="25"/>
  <c r="J21" i="25"/>
  <c r="J20" i="25"/>
  <c r="J18" i="25"/>
  <c r="J16" i="25"/>
  <c r="H18" i="25"/>
  <c r="J15" i="25"/>
  <c r="N12" i="25"/>
  <c r="X13" i="25"/>
  <c r="Z15" i="25"/>
  <c r="X21" i="25"/>
  <c r="F36" i="26"/>
  <c r="F34" i="26"/>
  <c r="F33" i="26"/>
  <c r="F31" i="26"/>
  <c r="F29" i="26"/>
  <c r="F27" i="26"/>
  <c r="F25" i="26"/>
  <c r="F24" i="26"/>
  <c r="F22" i="26"/>
  <c r="F21" i="26"/>
  <c r="F20" i="26"/>
  <c r="F18" i="26"/>
  <c r="F16" i="26"/>
  <c r="D18" i="26"/>
  <c r="F15" i="26"/>
  <c r="L12" i="26"/>
  <c r="X16" i="26"/>
  <c r="X20" i="26"/>
  <c r="Z16" i="28"/>
  <c r="Z15" i="29"/>
  <c r="L25" i="29"/>
  <c r="L33" i="29"/>
  <c r="N13" i="22"/>
  <c r="N22" i="22"/>
  <c r="N24" i="22"/>
  <c r="L13" i="23"/>
  <c r="N21" i="23"/>
  <c r="L25" i="23"/>
  <c r="L29" i="23"/>
  <c r="L33" i="23"/>
  <c r="L34" i="23"/>
  <c r="Z13" i="25"/>
  <c r="Z16" i="25"/>
  <c r="Z20" i="25"/>
  <c r="X22" i="25"/>
  <c r="X24" i="25"/>
  <c r="J24" i="26"/>
  <c r="J22" i="26"/>
  <c r="J21" i="26"/>
  <c r="J20" i="26"/>
  <c r="J18" i="26"/>
  <c r="J16" i="26"/>
  <c r="H18" i="26"/>
  <c r="J15" i="26"/>
  <c r="J36" i="26"/>
  <c r="J34" i="26"/>
  <c r="J33" i="26"/>
  <c r="J31" i="26"/>
  <c r="J29" i="26"/>
  <c r="J27" i="26"/>
  <c r="J25" i="26"/>
  <c r="N12" i="26"/>
  <c r="X13" i="26"/>
  <c r="Z15" i="26"/>
  <c r="X21" i="26"/>
  <c r="Z12" i="28"/>
  <c r="V36" i="28"/>
  <c r="V34" i="28"/>
  <c r="V33" i="28"/>
  <c r="V31" i="28"/>
  <c r="V29" i="28"/>
  <c r="V27" i="28"/>
  <c r="V25" i="28"/>
  <c r="V21" i="28"/>
  <c r="V20" i="28"/>
  <c r="V18" i="28"/>
  <c r="V16" i="28"/>
  <c r="V24" i="28"/>
  <c r="V15" i="28"/>
  <c r="V22" i="28"/>
  <c r="T18" i="28"/>
  <c r="Z25" i="28"/>
  <c r="Z15" i="31"/>
  <c r="N25" i="32"/>
  <c r="L25" i="35"/>
  <c r="Z13" i="22"/>
  <c r="Z16" i="22"/>
  <c r="Z20" i="22"/>
  <c r="X22" i="22"/>
  <c r="X24" i="22"/>
  <c r="N12" i="23"/>
  <c r="J20" i="23"/>
  <c r="J18" i="23"/>
  <c r="J16" i="23"/>
  <c r="J36" i="23"/>
  <c r="J33" i="23"/>
  <c r="J24" i="23"/>
  <c r="J29" i="23"/>
  <c r="J21" i="23"/>
  <c r="J25" i="23"/>
  <c r="H18" i="23"/>
  <c r="J15" i="23"/>
  <c r="J27" i="23"/>
  <c r="J31" i="23"/>
  <c r="J22" i="23"/>
  <c r="J34" i="23"/>
  <c r="X13" i="23"/>
  <c r="Z15" i="23"/>
  <c r="X21" i="23"/>
  <c r="L16" i="25"/>
  <c r="L20" i="25"/>
  <c r="Z12" i="26"/>
  <c r="V36" i="26"/>
  <c r="V34" i="26"/>
  <c r="V33" i="26"/>
  <c r="V31" i="26"/>
  <c r="V29" i="26"/>
  <c r="V27" i="26"/>
  <c r="V25" i="26"/>
  <c r="V24" i="26"/>
  <c r="V22" i="26"/>
  <c r="V15" i="26"/>
  <c r="V20" i="26"/>
  <c r="V18" i="26"/>
  <c r="T18" i="26"/>
  <c r="V16" i="26"/>
  <c r="V21" i="26"/>
  <c r="L15" i="26"/>
  <c r="Z25" i="26"/>
  <c r="Z29" i="26"/>
  <c r="Z33" i="26"/>
  <c r="Z34" i="26"/>
  <c r="L15" i="28"/>
  <c r="Z33" i="28"/>
  <c r="X12" i="29"/>
  <c r="R36" i="29"/>
  <c r="R34" i="29"/>
  <c r="R33" i="29"/>
  <c r="R31" i="29"/>
  <c r="R29" i="29"/>
  <c r="R27" i="29"/>
  <c r="R25" i="29"/>
  <c r="R24" i="29"/>
  <c r="R22" i="29"/>
  <c r="R21" i="29"/>
  <c r="P18" i="29"/>
  <c r="R15" i="29"/>
  <c r="R18" i="29"/>
  <c r="R20" i="29"/>
  <c r="R16" i="29"/>
  <c r="X20" i="31"/>
  <c r="X33" i="32"/>
  <c r="L20" i="26"/>
  <c r="N24" i="28"/>
  <c r="L13" i="29"/>
  <c r="L29" i="29"/>
  <c r="X15" i="32"/>
  <c r="Z34" i="32"/>
  <c r="Z22" i="22"/>
  <c r="Z24" i="22"/>
  <c r="Z21" i="23"/>
  <c r="X25" i="23"/>
  <c r="X29" i="23"/>
  <c r="X33" i="23"/>
  <c r="X34" i="23"/>
  <c r="N16" i="25"/>
  <c r="N20" i="25"/>
  <c r="L22" i="25"/>
  <c r="L24" i="25"/>
  <c r="N15" i="26"/>
  <c r="L21" i="26"/>
  <c r="X15" i="28"/>
  <c r="N29" i="28"/>
  <c r="N34" i="28"/>
  <c r="N13" i="29"/>
  <c r="N22" i="29"/>
  <c r="Z33" i="22"/>
  <c r="Z34" i="22"/>
  <c r="R36" i="23"/>
  <c r="R34" i="23"/>
  <c r="R33" i="23"/>
  <c r="R31" i="23"/>
  <c r="R29" i="23"/>
  <c r="R27" i="23"/>
  <c r="R25" i="23"/>
  <c r="R24" i="23"/>
  <c r="R22" i="23"/>
  <c r="R20" i="23"/>
  <c r="R18" i="23"/>
  <c r="R16" i="23"/>
  <c r="R21" i="23"/>
  <c r="P18" i="23"/>
  <c r="X12" i="23"/>
  <c r="R15" i="23"/>
  <c r="Z22" i="23"/>
  <c r="Z24" i="23"/>
  <c r="L13" i="25"/>
  <c r="N21" i="25"/>
  <c r="L25" i="25"/>
  <c r="L29" i="25"/>
  <c r="L33" i="25"/>
  <c r="L34" i="25"/>
  <c r="N16" i="26"/>
  <c r="N20" i="26"/>
  <c r="L22" i="26"/>
  <c r="L24" i="26"/>
  <c r="Z20" i="28"/>
  <c r="X24" i="28"/>
  <c r="X13" i="29"/>
  <c r="F24" i="31"/>
  <c r="F22" i="31"/>
  <c r="F21" i="31"/>
  <c r="F20" i="31"/>
  <c r="F18" i="31"/>
  <c r="F16" i="31"/>
  <c r="D18" i="31"/>
  <c r="F15" i="31"/>
  <c r="L12" i="31"/>
  <c r="F36" i="31"/>
  <c r="F34" i="31"/>
  <c r="F33" i="31"/>
  <c r="F31" i="31"/>
  <c r="F29" i="31"/>
  <c r="F27" i="31"/>
  <c r="F25" i="31"/>
  <c r="N13" i="25"/>
  <c r="N22" i="25"/>
  <c r="N24" i="25"/>
  <c r="L13" i="26"/>
  <c r="N21" i="26"/>
  <c r="L25" i="26"/>
  <c r="L29" i="26"/>
  <c r="L33" i="26"/>
  <c r="L34" i="26"/>
  <c r="Z29" i="28"/>
  <c r="Z34" i="28"/>
  <c r="J20" i="31"/>
  <c r="J18" i="31"/>
  <c r="J16" i="31"/>
  <c r="H18" i="31"/>
  <c r="J15" i="31"/>
  <c r="N12" i="31"/>
  <c r="J24" i="31"/>
  <c r="J22" i="31"/>
  <c r="J21" i="31"/>
  <c r="J29" i="31"/>
  <c r="J27" i="31"/>
  <c r="J25" i="31"/>
  <c r="J33" i="31"/>
  <c r="J31" i="31"/>
  <c r="J36" i="31"/>
  <c r="J34" i="31"/>
  <c r="N13" i="34"/>
  <c r="X15" i="25"/>
  <c r="N25" i="25"/>
  <c r="N29" i="25"/>
  <c r="N33" i="25"/>
  <c r="N34" i="25"/>
  <c r="N13" i="26"/>
  <c r="N22" i="26"/>
  <c r="N24" i="26"/>
  <c r="N24" i="29"/>
  <c r="N22" i="34"/>
  <c r="N16" i="22"/>
  <c r="N20" i="22"/>
  <c r="L22" i="22"/>
  <c r="L24" i="22"/>
  <c r="N15" i="23"/>
  <c r="L21" i="23"/>
  <c r="F36" i="25"/>
  <c r="F34" i="25"/>
  <c r="F33" i="25"/>
  <c r="F31" i="25"/>
  <c r="F29" i="25"/>
  <c r="F27" i="25"/>
  <c r="F25" i="25"/>
  <c r="F24" i="25"/>
  <c r="F22" i="25"/>
  <c r="F21" i="25"/>
  <c r="D18" i="25"/>
  <c r="F15" i="25"/>
  <c r="L12" i="25"/>
  <c r="F16" i="25"/>
  <c r="F20" i="25"/>
  <c r="F18" i="25"/>
  <c r="X16" i="25"/>
  <c r="X20" i="25"/>
  <c r="X15" i="26"/>
  <c r="N25" i="26"/>
  <c r="N29" i="26"/>
  <c r="N33" i="26"/>
  <c r="N34" i="26"/>
  <c r="N25" i="28"/>
  <c r="X13" i="31"/>
  <c r="N16" i="28"/>
  <c r="N20" i="28"/>
  <c r="L22" i="28"/>
  <c r="L24" i="28"/>
  <c r="N15" i="29"/>
  <c r="L21" i="29"/>
  <c r="N13" i="31"/>
  <c r="N22" i="31"/>
  <c r="N24" i="31"/>
  <c r="L13" i="32"/>
  <c r="N21" i="32"/>
  <c r="L25" i="32"/>
  <c r="L29" i="32"/>
  <c r="X34" i="32"/>
  <c r="L34" i="35"/>
  <c r="L13" i="28"/>
  <c r="N21" i="28"/>
  <c r="L25" i="28"/>
  <c r="L29" i="28"/>
  <c r="L33" i="28"/>
  <c r="L34" i="28"/>
  <c r="N16" i="29"/>
  <c r="N20" i="29"/>
  <c r="L22" i="29"/>
  <c r="L24" i="29"/>
  <c r="X15" i="31"/>
  <c r="N25" i="31"/>
  <c r="N29" i="31"/>
  <c r="N33" i="31"/>
  <c r="N34" i="31"/>
  <c r="N13" i="32"/>
  <c r="N22" i="32"/>
  <c r="N24" i="32"/>
  <c r="Z21" i="34"/>
  <c r="X24" i="35"/>
  <c r="X21" i="31"/>
  <c r="F21" i="32"/>
  <c r="F33" i="32"/>
  <c r="F20" i="32"/>
  <c r="F18" i="32"/>
  <c r="F16" i="32"/>
  <c r="D18" i="32"/>
  <c r="F15" i="32"/>
  <c r="F34" i="32"/>
  <c r="F36" i="32"/>
  <c r="L12" i="32"/>
  <c r="F29" i="32"/>
  <c r="F27" i="32"/>
  <c r="F25" i="32"/>
  <c r="F31" i="32"/>
  <c r="F24" i="32"/>
  <c r="F22" i="32"/>
  <c r="X16" i="32"/>
  <c r="X20" i="32"/>
  <c r="X33" i="34"/>
  <c r="Z16" i="35"/>
  <c r="N25" i="37"/>
  <c r="F20" i="28"/>
  <c r="F18" i="28"/>
  <c r="F16" i="28"/>
  <c r="D18" i="28"/>
  <c r="F15" i="28"/>
  <c r="F24" i="28"/>
  <c r="F22" i="28"/>
  <c r="F21" i="28"/>
  <c r="F36" i="28"/>
  <c r="F31" i="28"/>
  <c r="F25" i="28"/>
  <c r="F34" i="28"/>
  <c r="F29" i="28"/>
  <c r="L12" i="28"/>
  <c r="F27" i="28"/>
  <c r="F33" i="28"/>
  <c r="X16" i="28"/>
  <c r="X20" i="28"/>
  <c r="X15" i="29"/>
  <c r="N25" i="29"/>
  <c r="N29" i="29"/>
  <c r="N33" i="29"/>
  <c r="N34" i="29"/>
  <c r="Z13" i="31"/>
  <c r="Z16" i="31"/>
  <c r="Z20" i="31"/>
  <c r="X22" i="31"/>
  <c r="X24" i="31"/>
  <c r="J36" i="32"/>
  <c r="J34" i="32"/>
  <c r="J33" i="32"/>
  <c r="J31" i="32"/>
  <c r="H18" i="32"/>
  <c r="J15" i="32"/>
  <c r="N12" i="32"/>
  <c r="J29" i="32"/>
  <c r="J27" i="32"/>
  <c r="J25" i="32"/>
  <c r="J21" i="32"/>
  <c r="J20" i="32"/>
  <c r="J18" i="32"/>
  <c r="J16" i="32"/>
  <c r="J22" i="32"/>
  <c r="J24" i="32"/>
  <c r="X13" i="32"/>
  <c r="Z15" i="32"/>
  <c r="X21" i="32"/>
  <c r="Z33" i="32"/>
  <c r="N24" i="34"/>
  <c r="N12" i="28"/>
  <c r="J36" i="28"/>
  <c r="J34" i="28"/>
  <c r="J33" i="28"/>
  <c r="J31" i="28"/>
  <c r="J29" i="28"/>
  <c r="J27" i="28"/>
  <c r="J25" i="28"/>
  <c r="J20" i="28"/>
  <c r="J18" i="28"/>
  <c r="J16" i="28"/>
  <c r="H18" i="28"/>
  <c r="J15" i="28"/>
  <c r="J21" i="28"/>
  <c r="J24" i="28"/>
  <c r="J22" i="28"/>
  <c r="X13" i="28"/>
  <c r="Z15" i="28"/>
  <c r="X21" i="28"/>
  <c r="D18" i="29"/>
  <c r="F15" i="29"/>
  <c r="L12" i="29"/>
  <c r="F21" i="29"/>
  <c r="F20" i="29"/>
  <c r="F18" i="29"/>
  <c r="F16" i="29"/>
  <c r="F31" i="29"/>
  <c r="F24" i="29"/>
  <c r="F36" i="29"/>
  <c r="F29" i="29"/>
  <c r="F22" i="29"/>
  <c r="F33" i="29"/>
  <c r="F25" i="29"/>
  <c r="F34" i="29"/>
  <c r="F27" i="29"/>
  <c r="X16" i="29"/>
  <c r="X20" i="29"/>
  <c r="Z21" i="31"/>
  <c r="X25" i="31"/>
  <c r="X29" i="31"/>
  <c r="X33" i="31"/>
  <c r="X34" i="31"/>
  <c r="Z13" i="32"/>
  <c r="Z16" i="32"/>
  <c r="Z20" i="32"/>
  <c r="X22" i="32"/>
  <c r="X24" i="32"/>
  <c r="X34" i="34"/>
  <c r="N29" i="37"/>
  <c r="N22" i="38"/>
  <c r="X12" i="31"/>
  <c r="R36" i="31"/>
  <c r="R34" i="31"/>
  <c r="R33" i="31"/>
  <c r="R31" i="31"/>
  <c r="R29" i="31"/>
  <c r="R27" i="31"/>
  <c r="R25" i="31"/>
  <c r="R24" i="31"/>
  <c r="R22" i="31"/>
  <c r="R21" i="31"/>
  <c r="R20" i="31"/>
  <c r="R18" i="31"/>
  <c r="R15" i="31"/>
  <c r="P18" i="31"/>
  <c r="R16" i="31"/>
  <c r="Z22" i="31"/>
  <c r="Z24" i="31"/>
  <c r="Z21" i="32"/>
  <c r="X25" i="32"/>
  <c r="X29" i="32"/>
  <c r="L29" i="35"/>
  <c r="N24" i="38"/>
  <c r="Z21" i="28"/>
  <c r="X25" i="28"/>
  <c r="X29" i="28"/>
  <c r="X33" i="28"/>
  <c r="X34" i="28"/>
  <c r="Z13" i="29"/>
  <c r="Z16" i="29"/>
  <c r="Z20" i="29"/>
  <c r="X22" i="29"/>
  <c r="X24" i="29"/>
  <c r="Z12" i="31"/>
  <c r="V36" i="31"/>
  <c r="V34" i="31"/>
  <c r="V33" i="31"/>
  <c r="V31" i="31"/>
  <c r="V29" i="31"/>
  <c r="V27" i="31"/>
  <c r="V25" i="31"/>
  <c r="V24" i="31"/>
  <c r="V22" i="31"/>
  <c r="V21" i="31"/>
  <c r="V20" i="31"/>
  <c r="V18" i="31"/>
  <c r="V16" i="31"/>
  <c r="T18" i="31"/>
  <c r="V15" i="31"/>
  <c r="L15" i="31"/>
  <c r="Z25" i="31"/>
  <c r="Z29" i="31"/>
  <c r="Z33" i="31"/>
  <c r="Z34" i="31"/>
  <c r="R36" i="32"/>
  <c r="X12" i="32"/>
  <c r="R29" i="32"/>
  <c r="R27" i="32"/>
  <c r="R25" i="32"/>
  <c r="R24" i="32"/>
  <c r="R22" i="32"/>
  <c r="R31" i="32"/>
  <c r="R21" i="32"/>
  <c r="R20" i="32"/>
  <c r="R18" i="32"/>
  <c r="R16" i="32"/>
  <c r="R33" i="32"/>
  <c r="P18" i="32"/>
  <c r="R15" i="32"/>
  <c r="R34" i="32"/>
  <c r="Z22" i="32"/>
  <c r="Z24" i="32"/>
  <c r="L34" i="32"/>
  <c r="X25" i="34"/>
  <c r="Z20" i="35"/>
  <c r="N33" i="37"/>
  <c r="X12" i="28"/>
  <c r="R36" i="28"/>
  <c r="R34" i="28"/>
  <c r="R33" i="28"/>
  <c r="R31" i="28"/>
  <c r="R29" i="28"/>
  <c r="R27" i="28"/>
  <c r="R25" i="28"/>
  <c r="R24" i="28"/>
  <c r="R22" i="28"/>
  <c r="R20" i="28"/>
  <c r="R18" i="28"/>
  <c r="R16" i="28"/>
  <c r="P18" i="28"/>
  <c r="R15" i="28"/>
  <c r="R21" i="28"/>
  <c r="Z22" i="28"/>
  <c r="Z24" i="28"/>
  <c r="Z21" i="29"/>
  <c r="X25" i="29"/>
  <c r="X29" i="29"/>
  <c r="X33" i="29"/>
  <c r="X34" i="29"/>
  <c r="L16" i="31"/>
  <c r="L20" i="31"/>
  <c r="V36" i="32"/>
  <c r="V34" i="32"/>
  <c r="V33" i="32"/>
  <c r="V31" i="32"/>
  <c r="V29" i="32"/>
  <c r="Z12" i="32"/>
  <c r="V27" i="32"/>
  <c r="V25" i="32"/>
  <c r="V24" i="32"/>
  <c r="V22" i="32"/>
  <c r="V21" i="32"/>
  <c r="V20" i="32"/>
  <c r="V18" i="32"/>
  <c r="V16" i="32"/>
  <c r="T18" i="32"/>
  <c r="V15" i="32"/>
  <c r="L15" i="32"/>
  <c r="Z25" i="32"/>
  <c r="Z29" i="32"/>
  <c r="N21" i="35"/>
  <c r="X15" i="37"/>
  <c r="N34" i="37"/>
  <c r="Z22" i="29"/>
  <c r="Z24" i="29"/>
  <c r="N15" i="31"/>
  <c r="L21" i="31"/>
  <c r="L16" i="32"/>
  <c r="L20" i="32"/>
  <c r="L33" i="32"/>
  <c r="N34" i="32"/>
  <c r="L16" i="28"/>
  <c r="L20" i="28"/>
  <c r="V36" i="29"/>
  <c r="V34" i="29"/>
  <c r="V33" i="29"/>
  <c r="V31" i="29"/>
  <c r="V29" i="29"/>
  <c r="V27" i="29"/>
  <c r="V25" i="29"/>
  <c r="V24" i="29"/>
  <c r="V22" i="29"/>
  <c r="V20" i="29"/>
  <c r="V18" i="29"/>
  <c r="V16" i="29"/>
  <c r="T18" i="29"/>
  <c r="V15" i="29"/>
  <c r="Z12" i="29"/>
  <c r="V21" i="29"/>
  <c r="L15" i="29"/>
  <c r="Z25" i="29"/>
  <c r="Z29" i="29"/>
  <c r="Z33" i="29"/>
  <c r="Z34" i="29"/>
  <c r="N16" i="31"/>
  <c r="N20" i="31"/>
  <c r="L22" i="31"/>
  <c r="L24" i="31"/>
  <c r="N15" i="32"/>
  <c r="L21" i="32"/>
  <c r="L13" i="35"/>
  <c r="L33" i="35"/>
  <c r="N15" i="28"/>
  <c r="L21" i="28"/>
  <c r="L16" i="29"/>
  <c r="L20" i="29"/>
  <c r="L13" i="31"/>
  <c r="N21" i="31"/>
  <c r="L25" i="31"/>
  <c r="L29" i="31"/>
  <c r="L33" i="31"/>
  <c r="L34" i="31"/>
  <c r="N16" i="32"/>
  <c r="N20" i="32"/>
  <c r="L22" i="32"/>
  <c r="L24" i="32"/>
  <c r="N33" i="32"/>
  <c r="X29" i="34"/>
  <c r="Z13" i="35"/>
  <c r="X22" i="35"/>
  <c r="N13" i="38"/>
  <c r="N16" i="34"/>
  <c r="N20" i="34"/>
  <c r="L22" i="34"/>
  <c r="L24" i="34"/>
  <c r="N15" i="35"/>
  <c r="L21" i="35"/>
  <c r="L13" i="37"/>
  <c r="N21" i="37"/>
  <c r="L25" i="37"/>
  <c r="L29" i="37"/>
  <c r="L33" i="37"/>
  <c r="L34" i="37"/>
  <c r="N16" i="38"/>
  <c r="N20" i="38"/>
  <c r="L22" i="38"/>
  <c r="L24" i="38"/>
  <c r="X13" i="41"/>
  <c r="L13" i="34"/>
  <c r="N21" i="34"/>
  <c r="L25" i="34"/>
  <c r="L29" i="34"/>
  <c r="L33" i="34"/>
  <c r="L34" i="34"/>
  <c r="N16" i="35"/>
  <c r="N20" i="35"/>
  <c r="L22" i="35"/>
  <c r="L24" i="35"/>
  <c r="N13" i="37"/>
  <c r="N22" i="37"/>
  <c r="N24" i="37"/>
  <c r="L13" i="38"/>
  <c r="N21" i="38"/>
  <c r="L25" i="38"/>
  <c r="L29" i="38"/>
  <c r="L33" i="38"/>
  <c r="L34" i="38"/>
  <c r="L13" i="40"/>
  <c r="X15" i="34"/>
  <c r="N25" i="34"/>
  <c r="N29" i="34"/>
  <c r="N33" i="34"/>
  <c r="N34" i="34"/>
  <c r="N13" i="35"/>
  <c r="N22" i="35"/>
  <c r="N24" i="35"/>
  <c r="F21" i="37"/>
  <c r="F20" i="37"/>
  <c r="F18" i="37"/>
  <c r="F16" i="37"/>
  <c r="D18" i="37"/>
  <c r="F15" i="37"/>
  <c r="L12" i="37"/>
  <c r="F36" i="37"/>
  <c r="F34" i="37"/>
  <c r="F33" i="37"/>
  <c r="F31" i="37"/>
  <c r="F29" i="37"/>
  <c r="F27" i="37"/>
  <c r="F25" i="37"/>
  <c r="F24" i="37"/>
  <c r="F22" i="37"/>
  <c r="X16" i="37"/>
  <c r="X20" i="37"/>
  <c r="X15" i="38"/>
  <c r="N25" i="38"/>
  <c r="N29" i="38"/>
  <c r="N33" i="38"/>
  <c r="N34" i="38"/>
  <c r="F20" i="34"/>
  <c r="F18" i="34"/>
  <c r="F16" i="34"/>
  <c r="D18" i="34"/>
  <c r="F15" i="34"/>
  <c r="L12" i="34"/>
  <c r="F24" i="34"/>
  <c r="F22" i="34"/>
  <c r="F21" i="34"/>
  <c r="F29" i="34"/>
  <c r="F27" i="34"/>
  <c r="F36" i="34"/>
  <c r="F25" i="34"/>
  <c r="F34" i="34"/>
  <c r="F31" i="34"/>
  <c r="F33" i="34"/>
  <c r="X16" i="34"/>
  <c r="X20" i="34"/>
  <c r="X15" i="35"/>
  <c r="N25" i="35"/>
  <c r="N29" i="35"/>
  <c r="N33" i="35"/>
  <c r="N34" i="35"/>
  <c r="H18" i="37"/>
  <c r="J15" i="37"/>
  <c r="N12" i="37"/>
  <c r="J36" i="37"/>
  <c r="J34" i="37"/>
  <c r="J33" i="37"/>
  <c r="J31" i="37"/>
  <c r="J29" i="37"/>
  <c r="J27" i="37"/>
  <c r="J25" i="37"/>
  <c r="J21" i="37"/>
  <c r="J20" i="37"/>
  <c r="J18" i="37"/>
  <c r="J16" i="37"/>
  <c r="J22" i="37"/>
  <c r="J24" i="37"/>
  <c r="X13" i="37"/>
  <c r="Z15" i="37"/>
  <c r="X21" i="37"/>
  <c r="F20" i="38"/>
  <c r="F18" i="38"/>
  <c r="F16" i="38"/>
  <c r="D18" i="38"/>
  <c r="F15" i="38"/>
  <c r="L12" i="38"/>
  <c r="F24" i="38"/>
  <c r="F22" i="38"/>
  <c r="F21" i="38"/>
  <c r="F33" i="38"/>
  <c r="F31" i="38"/>
  <c r="F29" i="38"/>
  <c r="F27" i="38"/>
  <c r="F25" i="38"/>
  <c r="F36" i="38"/>
  <c r="F34" i="38"/>
  <c r="X16" i="38"/>
  <c r="X20" i="38"/>
  <c r="Z20" i="40"/>
  <c r="L24" i="41"/>
  <c r="J36" i="34"/>
  <c r="J34" i="34"/>
  <c r="J33" i="34"/>
  <c r="J31" i="34"/>
  <c r="J29" i="34"/>
  <c r="J27" i="34"/>
  <c r="J25" i="34"/>
  <c r="J24" i="34"/>
  <c r="J22" i="34"/>
  <c r="J20" i="34"/>
  <c r="J18" i="34"/>
  <c r="J16" i="34"/>
  <c r="H18" i="34"/>
  <c r="J15" i="34"/>
  <c r="N12" i="34"/>
  <c r="J21" i="34"/>
  <c r="X13" i="34"/>
  <c r="Z15" i="34"/>
  <c r="X21" i="34"/>
  <c r="D18" i="35"/>
  <c r="F15" i="35"/>
  <c r="F36" i="35"/>
  <c r="F34" i="35"/>
  <c r="F33" i="35"/>
  <c r="F31" i="35"/>
  <c r="F29" i="35"/>
  <c r="F27" i="35"/>
  <c r="F25" i="35"/>
  <c r="F21" i="35"/>
  <c r="F20" i="35"/>
  <c r="F18" i="35"/>
  <c r="F16" i="35"/>
  <c r="F22" i="35"/>
  <c r="L12" i="35"/>
  <c r="F24" i="35"/>
  <c r="X16" i="35"/>
  <c r="X20" i="35"/>
  <c r="Z13" i="37"/>
  <c r="Z16" i="37"/>
  <c r="Z20" i="37"/>
  <c r="X22" i="37"/>
  <c r="X24" i="37"/>
  <c r="N12" i="38"/>
  <c r="J36" i="38"/>
  <c r="J34" i="38"/>
  <c r="J33" i="38"/>
  <c r="J31" i="38"/>
  <c r="J29" i="38"/>
  <c r="J27" i="38"/>
  <c r="J25" i="38"/>
  <c r="J24" i="38"/>
  <c r="J22" i="38"/>
  <c r="J20" i="38"/>
  <c r="J18" i="38"/>
  <c r="J16" i="38"/>
  <c r="H18" i="38"/>
  <c r="J15" i="38"/>
  <c r="J21" i="38"/>
  <c r="X13" i="38"/>
  <c r="Z15" i="38"/>
  <c r="X21" i="38"/>
  <c r="L22" i="40"/>
  <c r="Z25" i="41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4" i="35"/>
  <c r="J22" i="35"/>
  <c r="J21" i="35"/>
  <c r="H18" i="35"/>
  <c r="J15" i="35"/>
  <c r="J20" i="35"/>
  <c r="J18" i="35"/>
  <c r="J16" i="35"/>
  <c r="X13" i="35"/>
  <c r="Z15" i="35"/>
  <c r="X21" i="35"/>
  <c r="Z21" i="37"/>
  <c r="X25" i="37"/>
  <c r="X29" i="37"/>
  <c r="X33" i="37"/>
  <c r="X34" i="37"/>
  <c r="Z13" i="38"/>
  <c r="Z16" i="38"/>
  <c r="Z20" i="38"/>
  <c r="X22" i="38"/>
  <c r="X24" i="38"/>
  <c r="X24" i="40"/>
  <c r="X12" i="37"/>
  <c r="R36" i="37"/>
  <c r="R34" i="37"/>
  <c r="R33" i="37"/>
  <c r="R31" i="37"/>
  <c r="R29" i="37"/>
  <c r="R27" i="37"/>
  <c r="R25" i="37"/>
  <c r="R24" i="37"/>
  <c r="R22" i="37"/>
  <c r="R21" i="37"/>
  <c r="R20" i="37"/>
  <c r="R18" i="37"/>
  <c r="R16" i="37"/>
  <c r="P18" i="37"/>
  <c r="R15" i="37"/>
  <c r="Z22" i="37"/>
  <c r="Z24" i="37"/>
  <c r="Z21" i="38"/>
  <c r="X25" i="38"/>
  <c r="X29" i="38"/>
  <c r="X33" i="38"/>
  <c r="X34" i="38"/>
  <c r="X12" i="34"/>
  <c r="R36" i="34"/>
  <c r="R34" i="34"/>
  <c r="R33" i="34"/>
  <c r="R31" i="34"/>
  <c r="R29" i="34"/>
  <c r="R27" i="34"/>
  <c r="R25" i="34"/>
  <c r="R21" i="34"/>
  <c r="R20" i="34"/>
  <c r="R18" i="34"/>
  <c r="R16" i="34"/>
  <c r="P18" i="34"/>
  <c r="R15" i="34"/>
  <c r="R24" i="34"/>
  <c r="R22" i="34"/>
  <c r="Z22" i="34"/>
  <c r="Z24" i="34"/>
  <c r="Z21" i="35"/>
  <c r="X25" i="35"/>
  <c r="X29" i="35"/>
  <c r="X33" i="35"/>
  <c r="X34" i="35"/>
  <c r="Z12" i="37"/>
  <c r="V36" i="37"/>
  <c r="V34" i="37"/>
  <c r="V33" i="37"/>
  <c r="V31" i="37"/>
  <c r="V29" i="37"/>
  <c r="V27" i="37"/>
  <c r="V25" i="37"/>
  <c r="V24" i="37"/>
  <c r="V22" i="37"/>
  <c r="V21" i="37"/>
  <c r="V20" i="37"/>
  <c r="V18" i="37"/>
  <c r="V16" i="37"/>
  <c r="T18" i="37"/>
  <c r="V15" i="37"/>
  <c r="L15" i="37"/>
  <c r="Z25" i="37"/>
  <c r="Z29" i="37"/>
  <c r="Z33" i="37"/>
  <c r="Z34" i="37"/>
  <c r="X12" i="38"/>
  <c r="R36" i="38"/>
  <c r="R34" i="38"/>
  <c r="R33" i="38"/>
  <c r="R31" i="38"/>
  <c r="R29" i="38"/>
  <c r="R27" i="38"/>
  <c r="R25" i="38"/>
  <c r="R24" i="38"/>
  <c r="R22" i="38"/>
  <c r="R21" i="38"/>
  <c r="R20" i="38"/>
  <c r="R18" i="38"/>
  <c r="R16" i="38"/>
  <c r="P18" i="38"/>
  <c r="R15" i="38"/>
  <c r="Z22" i="38"/>
  <c r="Z24" i="38"/>
  <c r="Z12" i="34"/>
  <c r="V36" i="34"/>
  <c r="V34" i="34"/>
  <c r="V33" i="34"/>
  <c r="V31" i="34"/>
  <c r="V29" i="34"/>
  <c r="V27" i="34"/>
  <c r="V25" i="34"/>
  <c r="V24" i="34"/>
  <c r="V22" i="34"/>
  <c r="V21" i="34"/>
  <c r="T18" i="34"/>
  <c r="V15" i="34"/>
  <c r="V20" i="34"/>
  <c r="V18" i="34"/>
  <c r="V16" i="34"/>
  <c r="L15" i="34"/>
  <c r="Z25" i="34"/>
  <c r="Z29" i="34"/>
  <c r="Z33" i="34"/>
  <c r="Z34" i="34"/>
  <c r="X12" i="35"/>
  <c r="R36" i="35"/>
  <c r="R34" i="35"/>
  <c r="R33" i="35"/>
  <c r="R31" i="35"/>
  <c r="R29" i="35"/>
  <c r="R27" i="35"/>
  <c r="R25" i="35"/>
  <c r="R24" i="35"/>
  <c r="R22" i="35"/>
  <c r="R20" i="35"/>
  <c r="R18" i="35"/>
  <c r="R16" i="35"/>
  <c r="P18" i="35"/>
  <c r="R15" i="35"/>
  <c r="R21" i="35"/>
  <c r="Z22" i="35"/>
  <c r="Z24" i="35"/>
  <c r="L16" i="37"/>
  <c r="L20" i="37"/>
  <c r="Z12" i="38"/>
  <c r="V36" i="38"/>
  <c r="V34" i="38"/>
  <c r="V33" i="38"/>
  <c r="V31" i="38"/>
  <c r="V29" i="38"/>
  <c r="V27" i="38"/>
  <c r="V25" i="38"/>
  <c r="V24" i="38"/>
  <c r="V22" i="38"/>
  <c r="V21" i="38"/>
  <c r="V20" i="38"/>
  <c r="V18" i="38"/>
  <c r="V16" i="38"/>
  <c r="T18" i="38"/>
  <c r="V15" i="38"/>
  <c r="L15" i="38"/>
  <c r="Z25" i="38"/>
  <c r="Z29" i="38"/>
  <c r="Z33" i="38"/>
  <c r="Z34" i="38"/>
  <c r="L16" i="34"/>
  <c r="L20" i="34"/>
  <c r="V36" i="35"/>
  <c r="V34" i="35"/>
  <c r="V33" i="35"/>
  <c r="V31" i="35"/>
  <c r="V29" i="35"/>
  <c r="V27" i="35"/>
  <c r="V25" i="35"/>
  <c r="V24" i="35"/>
  <c r="V22" i="35"/>
  <c r="V21" i="35"/>
  <c r="V20" i="35"/>
  <c r="V18" i="35"/>
  <c r="V16" i="35"/>
  <c r="Z12" i="35"/>
  <c r="T18" i="35"/>
  <c r="V15" i="35"/>
  <c r="L15" i="35"/>
  <c r="Z25" i="35"/>
  <c r="Z29" i="35"/>
  <c r="Z33" i="35"/>
  <c r="Z34" i="35"/>
  <c r="N15" i="37"/>
  <c r="L21" i="37"/>
  <c r="L16" i="38"/>
  <c r="L20" i="38"/>
  <c r="N15" i="34"/>
  <c r="L21" i="34"/>
  <c r="L16" i="35"/>
  <c r="L20" i="35"/>
  <c r="N16" i="37"/>
  <c r="N20" i="37"/>
  <c r="L22" i="37"/>
  <c r="L24" i="37"/>
  <c r="N15" i="38"/>
  <c r="L21" i="38"/>
  <c r="N21" i="44"/>
  <c r="R16" i="40"/>
  <c r="R33" i="40"/>
  <c r="R27" i="40"/>
  <c r="R22" i="40"/>
  <c r="R18" i="40"/>
  <c r="R34" i="40"/>
  <c r="R29" i="40"/>
  <c r="P18" i="40"/>
  <c r="R24" i="40"/>
  <c r="R20" i="40"/>
  <c r="R36" i="40"/>
  <c r="R31" i="40"/>
  <c r="R25" i="40"/>
  <c r="R15" i="40"/>
  <c r="X12" i="40"/>
  <c r="R21" i="40"/>
  <c r="Z16" i="40"/>
  <c r="N20" i="40"/>
  <c r="L24" i="40"/>
  <c r="Z15" i="41"/>
  <c r="N25" i="41"/>
  <c r="N24" i="43"/>
  <c r="Z21" i="40"/>
  <c r="X25" i="40"/>
  <c r="L29" i="40"/>
  <c r="L34" i="40"/>
  <c r="L21" i="41"/>
  <c r="X22" i="41"/>
  <c r="N29" i="41"/>
  <c r="L25" i="43"/>
  <c r="N20" i="44"/>
  <c r="X20" i="40"/>
  <c r="L29" i="44"/>
  <c r="L21" i="49"/>
  <c r="Z15" i="40"/>
  <c r="X29" i="40"/>
  <c r="L33" i="40"/>
  <c r="X34" i="40"/>
  <c r="Z13" i="41"/>
  <c r="N16" i="41"/>
  <c r="X21" i="41"/>
  <c r="L29" i="43"/>
  <c r="L22" i="44"/>
  <c r="X13" i="40"/>
  <c r="Z24" i="40"/>
  <c r="L13" i="44"/>
  <c r="L33" i="44"/>
  <c r="Z13" i="40"/>
  <c r="L16" i="40"/>
  <c r="F24" i="41"/>
  <c r="F22" i="41"/>
  <c r="D18" i="41"/>
  <c r="F15" i="41"/>
  <c r="F36" i="41"/>
  <c r="F34" i="41"/>
  <c r="F33" i="41"/>
  <c r="F31" i="41"/>
  <c r="F29" i="41"/>
  <c r="F27" i="41"/>
  <c r="F25" i="41"/>
  <c r="F18" i="41"/>
  <c r="L12" i="41"/>
  <c r="F20" i="41"/>
  <c r="F21" i="41"/>
  <c r="F16" i="41"/>
  <c r="L15" i="41"/>
  <c r="X16" i="41"/>
  <c r="N20" i="41"/>
  <c r="N21" i="43"/>
  <c r="L24" i="44"/>
  <c r="X20" i="46"/>
  <c r="N15" i="50"/>
  <c r="F36" i="40"/>
  <c r="F34" i="40"/>
  <c r="F33" i="40"/>
  <c r="F31" i="40"/>
  <c r="F29" i="40"/>
  <c r="F27" i="40"/>
  <c r="F25" i="40"/>
  <c r="F20" i="40"/>
  <c r="F18" i="40"/>
  <c r="F16" i="40"/>
  <c r="F15" i="40"/>
  <c r="L12" i="40"/>
  <c r="F21" i="40"/>
  <c r="F22" i="40"/>
  <c r="D18" i="40"/>
  <c r="F24" i="40"/>
  <c r="N16" i="40"/>
  <c r="X22" i="40"/>
  <c r="J20" i="41"/>
  <c r="J18" i="41"/>
  <c r="J16" i="41"/>
  <c r="J21" i="41"/>
  <c r="J36" i="41"/>
  <c r="J22" i="41"/>
  <c r="N12" i="41"/>
  <c r="J15" i="41"/>
  <c r="J31" i="41"/>
  <c r="J27" i="41"/>
  <c r="J34" i="41"/>
  <c r="J24" i="41"/>
  <c r="J29" i="41"/>
  <c r="J33" i="41"/>
  <c r="J25" i="41"/>
  <c r="H18" i="41"/>
  <c r="N15" i="41"/>
  <c r="X24" i="41"/>
  <c r="L34" i="44"/>
  <c r="J21" i="40"/>
  <c r="J24" i="40"/>
  <c r="J22" i="40"/>
  <c r="N12" i="40"/>
  <c r="J36" i="40"/>
  <c r="J31" i="40"/>
  <c r="J25" i="40"/>
  <c r="J16" i="40"/>
  <c r="J33" i="40"/>
  <c r="J27" i="40"/>
  <c r="J18" i="40"/>
  <c r="J34" i="40"/>
  <c r="J29" i="40"/>
  <c r="J20" i="40"/>
  <c r="J15" i="40"/>
  <c r="H18" i="40"/>
  <c r="N21" i="40"/>
  <c r="L25" i="40"/>
  <c r="X33" i="40"/>
  <c r="Z16" i="41"/>
  <c r="X20" i="41"/>
  <c r="L22" i="41"/>
  <c r="L13" i="43"/>
  <c r="L33" i="43"/>
  <c r="N16" i="44"/>
  <c r="X16" i="40"/>
  <c r="Z22" i="40"/>
  <c r="X15" i="41"/>
  <c r="N13" i="43"/>
  <c r="N22" i="43"/>
  <c r="L25" i="44"/>
  <c r="Z24" i="46"/>
  <c r="N29" i="47"/>
  <c r="N15" i="40"/>
  <c r="L20" i="40"/>
  <c r="X21" i="40"/>
  <c r="V36" i="41"/>
  <c r="V34" i="41"/>
  <c r="V33" i="41"/>
  <c r="V31" i="41"/>
  <c r="V29" i="41"/>
  <c r="V27" i="41"/>
  <c r="V25" i="41"/>
  <c r="V21" i="41"/>
  <c r="V20" i="41"/>
  <c r="V18" i="41"/>
  <c r="V16" i="41"/>
  <c r="V24" i="41"/>
  <c r="V22" i="41"/>
  <c r="V15" i="41"/>
  <c r="Z12" i="41"/>
  <c r="T18" i="41"/>
  <c r="Z20" i="41"/>
  <c r="L34" i="43"/>
  <c r="X15" i="40"/>
  <c r="N25" i="40"/>
  <c r="N29" i="40"/>
  <c r="N33" i="40"/>
  <c r="N34" i="40"/>
  <c r="N13" i="41"/>
  <c r="N22" i="41"/>
  <c r="N24" i="41"/>
  <c r="N15" i="43"/>
  <c r="L21" i="43"/>
  <c r="L16" i="44"/>
  <c r="L20" i="44"/>
  <c r="L20" i="46"/>
  <c r="Z12" i="47"/>
  <c r="V36" i="47"/>
  <c r="V34" i="47"/>
  <c r="V33" i="47"/>
  <c r="V31" i="47"/>
  <c r="V29" i="47"/>
  <c r="V27" i="47"/>
  <c r="V25" i="47"/>
  <c r="V21" i="47"/>
  <c r="T18" i="47"/>
  <c r="V15" i="47"/>
  <c r="V16" i="47"/>
  <c r="V24" i="47"/>
  <c r="V20" i="47"/>
  <c r="V22" i="47"/>
  <c r="V18" i="47"/>
  <c r="N34" i="47"/>
  <c r="N33" i="41"/>
  <c r="N34" i="41"/>
  <c r="N16" i="43"/>
  <c r="N20" i="43"/>
  <c r="L22" i="43"/>
  <c r="L24" i="43"/>
  <c r="N15" i="44"/>
  <c r="L21" i="44"/>
  <c r="X15" i="46"/>
  <c r="N29" i="46"/>
  <c r="N34" i="46"/>
  <c r="N13" i="47"/>
  <c r="N22" i="47"/>
  <c r="Z34" i="47"/>
  <c r="N20" i="49"/>
  <c r="N34" i="52"/>
  <c r="X15" i="43"/>
  <c r="N25" i="43"/>
  <c r="N29" i="43"/>
  <c r="N33" i="43"/>
  <c r="N34" i="43"/>
  <c r="N13" i="44"/>
  <c r="N22" i="44"/>
  <c r="N24" i="44"/>
  <c r="L16" i="46"/>
  <c r="L15" i="47"/>
  <c r="Z29" i="47"/>
  <c r="L16" i="50"/>
  <c r="Z21" i="41"/>
  <c r="X25" i="41"/>
  <c r="X29" i="41"/>
  <c r="X33" i="41"/>
  <c r="X34" i="41"/>
  <c r="D18" i="43"/>
  <c r="F15" i="43"/>
  <c r="L12" i="43"/>
  <c r="F21" i="43"/>
  <c r="F20" i="43"/>
  <c r="F18" i="43"/>
  <c r="F16" i="43"/>
  <c r="F24" i="43"/>
  <c r="F33" i="43"/>
  <c r="F22" i="43"/>
  <c r="F31" i="43"/>
  <c r="F29" i="43"/>
  <c r="F36" i="43"/>
  <c r="F25" i="43"/>
  <c r="F34" i="43"/>
  <c r="F27" i="43"/>
  <c r="X16" i="43"/>
  <c r="X20" i="43"/>
  <c r="X15" i="44"/>
  <c r="N25" i="44"/>
  <c r="N29" i="44"/>
  <c r="N33" i="44"/>
  <c r="N34" i="44"/>
  <c r="N25" i="46"/>
  <c r="N24" i="47"/>
  <c r="L22" i="49"/>
  <c r="X15" i="52"/>
  <c r="N22" i="53"/>
  <c r="V24" i="40"/>
  <c r="V22" i="40"/>
  <c r="V33" i="40"/>
  <c r="V27" i="40"/>
  <c r="V18" i="40"/>
  <c r="T18" i="40"/>
  <c r="V34" i="40"/>
  <c r="V29" i="40"/>
  <c r="V20" i="40"/>
  <c r="V36" i="40"/>
  <c r="V31" i="40"/>
  <c r="V25" i="40"/>
  <c r="V21" i="40"/>
  <c r="Z12" i="40"/>
  <c r="V16" i="40"/>
  <c r="V15" i="40"/>
  <c r="L15" i="40"/>
  <c r="Z25" i="40"/>
  <c r="Z29" i="40"/>
  <c r="Z33" i="40"/>
  <c r="Z34" i="40"/>
  <c r="X12" i="41"/>
  <c r="R36" i="41"/>
  <c r="R34" i="41"/>
  <c r="R33" i="41"/>
  <c r="R31" i="41"/>
  <c r="R29" i="41"/>
  <c r="R27" i="41"/>
  <c r="R25" i="41"/>
  <c r="R24" i="41"/>
  <c r="R22" i="41"/>
  <c r="R15" i="41"/>
  <c r="R20" i="41"/>
  <c r="R16" i="41"/>
  <c r="R21" i="41"/>
  <c r="R18" i="41"/>
  <c r="P18" i="41"/>
  <c r="Z22" i="41"/>
  <c r="Z24" i="41"/>
  <c r="N12" i="43"/>
  <c r="J36" i="43"/>
  <c r="J34" i="43"/>
  <c r="J33" i="43"/>
  <c r="J31" i="43"/>
  <c r="J29" i="43"/>
  <c r="J27" i="43"/>
  <c r="J25" i="43"/>
  <c r="J24" i="43"/>
  <c r="J22" i="43"/>
  <c r="H18" i="43"/>
  <c r="J15" i="43"/>
  <c r="J21" i="43"/>
  <c r="J20" i="43"/>
  <c r="J18" i="43"/>
  <c r="J16" i="43"/>
  <c r="X13" i="43"/>
  <c r="Z15" i="43"/>
  <c r="X21" i="43"/>
  <c r="L12" i="44"/>
  <c r="F36" i="44"/>
  <c r="F34" i="44"/>
  <c r="F33" i="44"/>
  <c r="F31" i="44"/>
  <c r="F29" i="44"/>
  <c r="F27" i="44"/>
  <c r="F25" i="44"/>
  <c r="F20" i="44"/>
  <c r="F18" i="44"/>
  <c r="F16" i="44"/>
  <c r="D18" i="44"/>
  <c r="F15" i="44"/>
  <c r="F24" i="44"/>
  <c r="F22" i="44"/>
  <c r="F21" i="44"/>
  <c r="X16" i="44"/>
  <c r="X20" i="44"/>
  <c r="F21" i="46"/>
  <c r="F20" i="46"/>
  <c r="F18" i="46"/>
  <c r="F16" i="46"/>
  <c r="L12" i="46"/>
  <c r="F36" i="46"/>
  <c r="F34" i="46"/>
  <c r="F33" i="46"/>
  <c r="F31" i="46"/>
  <c r="F29" i="46"/>
  <c r="F27" i="46"/>
  <c r="F25" i="46"/>
  <c r="F24" i="46"/>
  <c r="F22" i="46"/>
  <c r="D18" i="46"/>
  <c r="F15" i="46"/>
  <c r="X16" i="46"/>
  <c r="X15" i="47"/>
  <c r="N15" i="49"/>
  <c r="Z15" i="52"/>
  <c r="Z29" i="41"/>
  <c r="Z33" i="41"/>
  <c r="Z34" i="41"/>
  <c r="Z13" i="43"/>
  <c r="Z16" i="43"/>
  <c r="Z20" i="43"/>
  <c r="X22" i="43"/>
  <c r="X24" i="43"/>
  <c r="N12" i="44"/>
  <c r="J36" i="44"/>
  <c r="J34" i="44"/>
  <c r="J33" i="44"/>
  <c r="J31" i="44"/>
  <c r="J29" i="44"/>
  <c r="J27" i="44"/>
  <c r="J25" i="44"/>
  <c r="J24" i="44"/>
  <c r="J22" i="44"/>
  <c r="J21" i="44"/>
  <c r="H18" i="44"/>
  <c r="J16" i="44"/>
  <c r="J15" i="44"/>
  <c r="J20" i="44"/>
  <c r="J18" i="44"/>
  <c r="X13" i="44"/>
  <c r="Z15" i="44"/>
  <c r="X21" i="44"/>
  <c r="R24" i="46"/>
  <c r="R22" i="46"/>
  <c r="R21" i="46"/>
  <c r="R20" i="46"/>
  <c r="R18" i="46"/>
  <c r="R16" i="46"/>
  <c r="R33" i="46"/>
  <c r="R27" i="46"/>
  <c r="P18" i="46"/>
  <c r="X12" i="46"/>
  <c r="R36" i="46"/>
  <c r="R31" i="46"/>
  <c r="R25" i="46"/>
  <c r="R15" i="46"/>
  <c r="R34" i="46"/>
  <c r="R29" i="46"/>
  <c r="L24" i="49"/>
  <c r="L21" i="40"/>
  <c r="L16" i="41"/>
  <c r="L20" i="41"/>
  <c r="Z21" i="43"/>
  <c r="X25" i="43"/>
  <c r="X29" i="43"/>
  <c r="X33" i="43"/>
  <c r="X34" i="43"/>
  <c r="Z13" i="44"/>
  <c r="Z16" i="44"/>
  <c r="Z20" i="44"/>
  <c r="X22" i="44"/>
  <c r="X24" i="44"/>
  <c r="L20" i="50"/>
  <c r="X12" i="43"/>
  <c r="R36" i="43"/>
  <c r="R34" i="43"/>
  <c r="R33" i="43"/>
  <c r="R31" i="43"/>
  <c r="R29" i="43"/>
  <c r="R27" i="43"/>
  <c r="R25" i="43"/>
  <c r="R24" i="43"/>
  <c r="R22" i="43"/>
  <c r="R21" i="43"/>
  <c r="R20" i="43"/>
  <c r="R18" i="43"/>
  <c r="R16" i="43"/>
  <c r="P18" i="43"/>
  <c r="R15" i="43"/>
  <c r="Z22" i="43"/>
  <c r="Z24" i="43"/>
  <c r="Z21" i="44"/>
  <c r="X25" i="44"/>
  <c r="X29" i="44"/>
  <c r="X33" i="44"/>
  <c r="X34" i="44"/>
  <c r="N33" i="46"/>
  <c r="N25" i="47"/>
  <c r="N33" i="47"/>
  <c r="N16" i="49"/>
  <c r="V36" i="43"/>
  <c r="V34" i="43"/>
  <c r="V33" i="43"/>
  <c r="V31" i="43"/>
  <c r="V29" i="43"/>
  <c r="V27" i="43"/>
  <c r="V25" i="43"/>
  <c r="V24" i="43"/>
  <c r="V22" i="43"/>
  <c r="V21" i="43"/>
  <c r="V20" i="43"/>
  <c r="V18" i="43"/>
  <c r="V16" i="43"/>
  <c r="T18" i="43"/>
  <c r="V15" i="43"/>
  <c r="Z12" i="43"/>
  <c r="L15" i="43"/>
  <c r="Z25" i="43"/>
  <c r="Z29" i="43"/>
  <c r="Z33" i="43"/>
  <c r="Z34" i="43"/>
  <c r="R36" i="44"/>
  <c r="R34" i="44"/>
  <c r="R33" i="44"/>
  <c r="R31" i="44"/>
  <c r="R29" i="44"/>
  <c r="R27" i="44"/>
  <c r="R25" i="44"/>
  <c r="R24" i="44"/>
  <c r="R22" i="44"/>
  <c r="R21" i="44"/>
  <c r="R20" i="44"/>
  <c r="R18" i="44"/>
  <c r="R16" i="44"/>
  <c r="P18" i="44"/>
  <c r="R15" i="44"/>
  <c r="X12" i="44"/>
  <c r="Z22" i="44"/>
  <c r="Z24" i="44"/>
  <c r="Z25" i="47"/>
  <c r="Z33" i="47"/>
  <c r="N13" i="40"/>
  <c r="N22" i="40"/>
  <c r="N24" i="40"/>
  <c r="L13" i="41"/>
  <c r="N21" i="41"/>
  <c r="L25" i="41"/>
  <c r="L29" i="41"/>
  <c r="L33" i="41"/>
  <c r="L34" i="41"/>
  <c r="L16" i="43"/>
  <c r="L20" i="43"/>
  <c r="V24" i="44"/>
  <c r="V22" i="44"/>
  <c r="V21" i="44"/>
  <c r="V20" i="44"/>
  <c r="V18" i="44"/>
  <c r="V16" i="44"/>
  <c r="T18" i="44"/>
  <c r="V15" i="44"/>
  <c r="Z12" i="44"/>
  <c r="V36" i="44"/>
  <c r="V34" i="44"/>
  <c r="V33" i="44"/>
  <c r="V31" i="44"/>
  <c r="V29" i="44"/>
  <c r="V27" i="44"/>
  <c r="V25" i="44"/>
  <c r="L15" i="44"/>
  <c r="Z25" i="44"/>
  <c r="Z29" i="44"/>
  <c r="Z33" i="44"/>
  <c r="Z34" i="44"/>
  <c r="Z22" i="46"/>
  <c r="Z21" i="47"/>
  <c r="L21" i="50"/>
  <c r="N29" i="52"/>
  <c r="L13" i="46"/>
  <c r="N21" i="46"/>
  <c r="L25" i="46"/>
  <c r="L29" i="46"/>
  <c r="L33" i="46"/>
  <c r="L34" i="46"/>
  <c r="N16" i="47"/>
  <c r="N20" i="47"/>
  <c r="L22" i="47"/>
  <c r="L24" i="47"/>
  <c r="V21" i="49"/>
  <c r="V20" i="49"/>
  <c r="V18" i="49"/>
  <c r="V16" i="49"/>
  <c r="T18" i="49"/>
  <c r="V15" i="49"/>
  <c r="V36" i="49"/>
  <c r="V34" i="49"/>
  <c r="V33" i="49"/>
  <c r="V31" i="49"/>
  <c r="V29" i="49"/>
  <c r="V27" i="49"/>
  <c r="V25" i="49"/>
  <c r="V24" i="49"/>
  <c r="V22" i="49"/>
  <c r="Z12" i="49"/>
  <c r="L15" i="49"/>
  <c r="Z25" i="49"/>
  <c r="Z29" i="49"/>
  <c r="Z33" i="49"/>
  <c r="Z34" i="49"/>
  <c r="R24" i="50"/>
  <c r="R22" i="50"/>
  <c r="R21" i="50"/>
  <c r="R20" i="50"/>
  <c r="R18" i="50"/>
  <c r="R16" i="50"/>
  <c r="P18" i="50"/>
  <c r="R15" i="50"/>
  <c r="R36" i="50"/>
  <c r="R34" i="50"/>
  <c r="R33" i="50"/>
  <c r="R31" i="50"/>
  <c r="R29" i="50"/>
  <c r="R27" i="50"/>
  <c r="R25" i="50"/>
  <c r="X12" i="50"/>
  <c r="Z22" i="50"/>
  <c r="Z24" i="50"/>
  <c r="N15" i="52"/>
  <c r="N13" i="46"/>
  <c r="N22" i="46"/>
  <c r="N24" i="46"/>
  <c r="L13" i="47"/>
  <c r="N21" i="47"/>
  <c r="L25" i="47"/>
  <c r="L29" i="47"/>
  <c r="L33" i="47"/>
  <c r="L34" i="47"/>
  <c r="L16" i="49"/>
  <c r="L20" i="49"/>
  <c r="V20" i="50"/>
  <c r="V18" i="50"/>
  <c r="V16" i="50"/>
  <c r="T18" i="50"/>
  <c r="V15" i="50"/>
  <c r="V24" i="50"/>
  <c r="V22" i="50"/>
  <c r="V21" i="50"/>
  <c r="V29" i="50"/>
  <c r="V27" i="50"/>
  <c r="V36" i="50"/>
  <c r="V25" i="50"/>
  <c r="V34" i="50"/>
  <c r="Z12" i="50"/>
  <c r="V31" i="50"/>
  <c r="V33" i="50"/>
  <c r="L15" i="50"/>
  <c r="Z25" i="50"/>
  <c r="Z29" i="50"/>
  <c r="Z33" i="50"/>
  <c r="Z34" i="50"/>
  <c r="L29" i="52"/>
  <c r="L34" i="52"/>
  <c r="N13" i="53"/>
  <c r="H18" i="46"/>
  <c r="J15" i="46"/>
  <c r="N12" i="46"/>
  <c r="J21" i="46"/>
  <c r="J20" i="46"/>
  <c r="J18" i="46"/>
  <c r="J16" i="46"/>
  <c r="J33" i="46"/>
  <c r="J27" i="46"/>
  <c r="J22" i="46"/>
  <c r="J36" i="46"/>
  <c r="J31" i="46"/>
  <c r="J25" i="46"/>
  <c r="J24" i="46"/>
  <c r="J29" i="46"/>
  <c r="J34" i="46"/>
  <c r="X13" i="46"/>
  <c r="Z15" i="46"/>
  <c r="X21" i="46"/>
  <c r="F20" i="47"/>
  <c r="F18" i="47"/>
  <c r="F16" i="47"/>
  <c r="D18" i="47"/>
  <c r="F15" i="47"/>
  <c r="L12" i="47"/>
  <c r="F24" i="47"/>
  <c r="F22" i="47"/>
  <c r="F21" i="47"/>
  <c r="F34" i="47"/>
  <c r="F27" i="47"/>
  <c r="F33" i="47"/>
  <c r="F25" i="47"/>
  <c r="F31" i="47"/>
  <c r="F36" i="47"/>
  <c r="F29" i="47"/>
  <c r="X16" i="47"/>
  <c r="X20" i="47"/>
  <c r="L13" i="49"/>
  <c r="N21" i="49"/>
  <c r="L25" i="49"/>
  <c r="L29" i="49"/>
  <c r="L33" i="49"/>
  <c r="L34" i="49"/>
  <c r="N16" i="50"/>
  <c r="N20" i="50"/>
  <c r="L22" i="50"/>
  <c r="L24" i="50"/>
  <c r="L21" i="52"/>
  <c r="N24" i="53"/>
  <c r="Z13" i="46"/>
  <c r="Z16" i="46"/>
  <c r="Z20" i="46"/>
  <c r="X22" i="46"/>
  <c r="X24" i="46"/>
  <c r="J36" i="47"/>
  <c r="J34" i="47"/>
  <c r="J33" i="47"/>
  <c r="J31" i="47"/>
  <c r="J29" i="47"/>
  <c r="J27" i="47"/>
  <c r="J25" i="47"/>
  <c r="J20" i="47"/>
  <c r="J18" i="47"/>
  <c r="J16" i="47"/>
  <c r="H18" i="47"/>
  <c r="J15" i="47"/>
  <c r="N12" i="47"/>
  <c r="J21" i="47"/>
  <c r="J24" i="47"/>
  <c r="J22" i="47"/>
  <c r="X13" i="47"/>
  <c r="Z15" i="47"/>
  <c r="X21" i="47"/>
  <c r="N13" i="49"/>
  <c r="N22" i="49"/>
  <c r="N24" i="49"/>
  <c r="L13" i="50"/>
  <c r="N21" i="50"/>
  <c r="L25" i="50"/>
  <c r="L29" i="50"/>
  <c r="L33" i="50"/>
  <c r="L34" i="50"/>
  <c r="N21" i="52"/>
  <c r="L25" i="52"/>
  <c r="L16" i="53"/>
  <c r="Z21" i="46"/>
  <c r="X25" i="46"/>
  <c r="X29" i="46"/>
  <c r="X33" i="46"/>
  <c r="X34" i="46"/>
  <c r="Z13" i="47"/>
  <c r="Z16" i="47"/>
  <c r="Z20" i="47"/>
  <c r="X22" i="47"/>
  <c r="X24" i="47"/>
  <c r="X15" i="49"/>
  <c r="N25" i="49"/>
  <c r="N29" i="49"/>
  <c r="N33" i="49"/>
  <c r="N34" i="49"/>
  <c r="N13" i="50"/>
  <c r="N22" i="50"/>
  <c r="N24" i="50"/>
  <c r="N25" i="52"/>
  <c r="X25" i="47"/>
  <c r="X29" i="47"/>
  <c r="X33" i="47"/>
  <c r="X34" i="47"/>
  <c r="L12" i="49"/>
  <c r="F36" i="49"/>
  <c r="F34" i="49"/>
  <c r="F33" i="49"/>
  <c r="F31" i="49"/>
  <c r="F29" i="49"/>
  <c r="F27" i="49"/>
  <c r="F25" i="49"/>
  <c r="F24" i="49"/>
  <c r="F22" i="49"/>
  <c r="D18" i="49"/>
  <c r="F15" i="49"/>
  <c r="F18" i="49"/>
  <c r="F16" i="49"/>
  <c r="F20" i="49"/>
  <c r="F21" i="49"/>
  <c r="X16" i="49"/>
  <c r="X20" i="49"/>
  <c r="X15" i="50"/>
  <c r="N25" i="50"/>
  <c r="N29" i="50"/>
  <c r="N33" i="50"/>
  <c r="N34" i="50"/>
  <c r="N12" i="52"/>
  <c r="J36" i="52"/>
  <c r="J34" i="52"/>
  <c r="J33" i="52"/>
  <c r="J31" i="52"/>
  <c r="J29" i="52"/>
  <c r="J27" i="52"/>
  <c r="J25" i="52"/>
  <c r="J21" i="52"/>
  <c r="H18" i="52"/>
  <c r="J15" i="52"/>
  <c r="J22" i="52"/>
  <c r="J18" i="52"/>
  <c r="J16" i="52"/>
  <c r="J20" i="52"/>
  <c r="J24" i="52"/>
  <c r="X21" i="52"/>
  <c r="Z12" i="46"/>
  <c r="V24" i="46"/>
  <c r="V22" i="46"/>
  <c r="V20" i="46"/>
  <c r="V18" i="46"/>
  <c r="V16" i="46"/>
  <c r="T18" i="46"/>
  <c r="V15" i="46"/>
  <c r="V36" i="46"/>
  <c r="V31" i="46"/>
  <c r="V25" i="46"/>
  <c r="V21" i="46"/>
  <c r="V34" i="46"/>
  <c r="V29" i="46"/>
  <c r="V33" i="46"/>
  <c r="V27" i="46"/>
  <c r="L15" i="46"/>
  <c r="Z25" i="46"/>
  <c r="Z29" i="46"/>
  <c r="Z33" i="46"/>
  <c r="Z34" i="46"/>
  <c r="X12" i="47"/>
  <c r="R36" i="47"/>
  <c r="R34" i="47"/>
  <c r="R33" i="47"/>
  <c r="R31" i="47"/>
  <c r="R29" i="47"/>
  <c r="R27" i="47"/>
  <c r="R25" i="47"/>
  <c r="R24" i="47"/>
  <c r="R21" i="47"/>
  <c r="R20" i="47"/>
  <c r="R18" i="47"/>
  <c r="R16" i="47"/>
  <c r="P18" i="47"/>
  <c r="R15" i="47"/>
  <c r="R22" i="47"/>
  <c r="Z22" i="47"/>
  <c r="Z24" i="47"/>
  <c r="N12" i="49"/>
  <c r="J36" i="49"/>
  <c r="J34" i="49"/>
  <c r="J33" i="49"/>
  <c r="J31" i="49"/>
  <c r="J29" i="49"/>
  <c r="J27" i="49"/>
  <c r="J25" i="49"/>
  <c r="J24" i="49"/>
  <c r="J22" i="49"/>
  <c r="J21" i="49"/>
  <c r="J20" i="49"/>
  <c r="J18" i="49"/>
  <c r="J16" i="49"/>
  <c r="H18" i="49"/>
  <c r="J15" i="49"/>
  <c r="X13" i="49"/>
  <c r="Z15" i="49"/>
  <c r="X21" i="49"/>
  <c r="L12" i="50"/>
  <c r="F36" i="50"/>
  <c r="F34" i="50"/>
  <c r="F33" i="50"/>
  <c r="F31" i="50"/>
  <c r="F29" i="50"/>
  <c r="F27" i="50"/>
  <c r="F25" i="50"/>
  <c r="F24" i="50"/>
  <c r="F22" i="50"/>
  <c r="F21" i="50"/>
  <c r="F20" i="50"/>
  <c r="F18" i="50"/>
  <c r="D18" i="50"/>
  <c r="F16" i="50"/>
  <c r="F15" i="50"/>
  <c r="X16" i="50"/>
  <c r="X20" i="50"/>
  <c r="Z13" i="49"/>
  <c r="Z16" i="49"/>
  <c r="Z20" i="49"/>
  <c r="X22" i="49"/>
  <c r="X24" i="49"/>
  <c r="N12" i="50"/>
  <c r="J36" i="50"/>
  <c r="J34" i="50"/>
  <c r="J33" i="50"/>
  <c r="J31" i="50"/>
  <c r="J29" i="50"/>
  <c r="J27" i="50"/>
  <c r="J25" i="50"/>
  <c r="J24" i="50"/>
  <c r="J22" i="50"/>
  <c r="J21" i="50"/>
  <c r="J20" i="50"/>
  <c r="J18" i="50"/>
  <c r="J16" i="50"/>
  <c r="H18" i="50"/>
  <c r="J15" i="50"/>
  <c r="X13" i="50"/>
  <c r="Z15" i="50"/>
  <c r="X21" i="50"/>
  <c r="L13" i="52"/>
  <c r="L33" i="52"/>
  <c r="L20" i="53"/>
  <c r="N15" i="46"/>
  <c r="L21" i="46"/>
  <c r="L16" i="47"/>
  <c r="L20" i="47"/>
  <c r="Z21" i="49"/>
  <c r="X25" i="49"/>
  <c r="X29" i="49"/>
  <c r="X33" i="49"/>
  <c r="X34" i="49"/>
  <c r="Z13" i="50"/>
  <c r="Z16" i="50"/>
  <c r="Z20" i="50"/>
  <c r="X22" i="50"/>
  <c r="X24" i="50"/>
  <c r="N33" i="52"/>
  <c r="N16" i="46"/>
  <c r="N20" i="46"/>
  <c r="L22" i="46"/>
  <c r="L24" i="46"/>
  <c r="N15" i="47"/>
  <c r="L21" i="47"/>
  <c r="R36" i="49"/>
  <c r="R34" i="49"/>
  <c r="R33" i="49"/>
  <c r="R31" i="49"/>
  <c r="R29" i="49"/>
  <c r="R27" i="49"/>
  <c r="R25" i="49"/>
  <c r="R24" i="49"/>
  <c r="R22" i="49"/>
  <c r="R21" i="49"/>
  <c r="R20" i="49"/>
  <c r="R18" i="49"/>
  <c r="R16" i="49"/>
  <c r="P18" i="49"/>
  <c r="R15" i="49"/>
  <c r="X12" i="49"/>
  <c r="Z22" i="49"/>
  <c r="Z24" i="49"/>
  <c r="Z21" i="50"/>
  <c r="X25" i="50"/>
  <c r="X29" i="50"/>
  <c r="X33" i="50"/>
  <c r="X34" i="50"/>
  <c r="X13" i="52"/>
  <c r="V21" i="52"/>
  <c r="V20" i="52"/>
  <c r="V18" i="52"/>
  <c r="V16" i="52"/>
  <c r="T18" i="52"/>
  <c r="V15" i="52"/>
  <c r="V36" i="52"/>
  <c r="V34" i="52"/>
  <c r="V33" i="52"/>
  <c r="V31" i="52"/>
  <c r="V29" i="52"/>
  <c r="V27" i="52"/>
  <c r="V25" i="52"/>
  <c r="V24" i="52"/>
  <c r="V22" i="52"/>
  <c r="Z12" i="52"/>
  <c r="L15" i="52"/>
  <c r="Z25" i="52"/>
  <c r="Z29" i="52"/>
  <c r="Z33" i="52"/>
  <c r="Z34" i="52"/>
  <c r="R24" i="53"/>
  <c r="R22" i="53"/>
  <c r="R21" i="53"/>
  <c r="R20" i="53"/>
  <c r="R18" i="53"/>
  <c r="R16" i="53"/>
  <c r="P18" i="53"/>
  <c r="R15" i="53"/>
  <c r="R36" i="53"/>
  <c r="R34" i="53"/>
  <c r="R33" i="53"/>
  <c r="R31" i="53"/>
  <c r="R29" i="53"/>
  <c r="R27" i="53"/>
  <c r="R25" i="53"/>
  <c r="X12" i="53"/>
  <c r="Z22" i="53"/>
  <c r="Z24" i="53"/>
  <c r="L16" i="52"/>
  <c r="L20" i="52"/>
  <c r="V20" i="53"/>
  <c r="V18" i="53"/>
  <c r="V16" i="53"/>
  <c r="T18" i="53"/>
  <c r="V15" i="53"/>
  <c r="Z12" i="53"/>
  <c r="V24" i="53"/>
  <c r="V22" i="53"/>
  <c r="V21" i="53"/>
  <c r="V29" i="53"/>
  <c r="V27" i="53"/>
  <c r="V36" i="53"/>
  <c r="V25" i="53"/>
  <c r="V34" i="53"/>
  <c r="V31" i="53"/>
  <c r="V33" i="53"/>
  <c r="L15" i="53"/>
  <c r="Z25" i="53"/>
  <c r="Z29" i="53"/>
  <c r="Z33" i="53"/>
  <c r="Z34" i="53"/>
  <c r="N16" i="52"/>
  <c r="N20" i="52"/>
  <c r="L22" i="52"/>
  <c r="L24" i="52"/>
  <c r="N15" i="53"/>
  <c r="L21" i="53"/>
  <c r="N16" i="53"/>
  <c r="N20" i="53"/>
  <c r="L22" i="53"/>
  <c r="L24" i="53"/>
  <c r="N13" i="52"/>
  <c r="N22" i="52"/>
  <c r="N24" i="52"/>
  <c r="L13" i="53"/>
  <c r="N21" i="53"/>
  <c r="L25" i="53"/>
  <c r="L29" i="53"/>
  <c r="L33" i="53"/>
  <c r="L34" i="53"/>
  <c r="L12" i="52"/>
  <c r="F36" i="52"/>
  <c r="F34" i="52"/>
  <c r="F33" i="52"/>
  <c r="F31" i="52"/>
  <c r="F29" i="52"/>
  <c r="F27" i="52"/>
  <c r="F25" i="52"/>
  <c r="F21" i="52"/>
  <c r="D18" i="52"/>
  <c r="F15" i="52"/>
  <c r="F22" i="52"/>
  <c r="F18" i="52"/>
  <c r="F16" i="52"/>
  <c r="F24" i="52"/>
  <c r="F20" i="52"/>
  <c r="X16" i="52"/>
  <c r="X20" i="52"/>
  <c r="X15" i="53"/>
  <c r="N25" i="53"/>
  <c r="N29" i="53"/>
  <c r="N33" i="53"/>
  <c r="N34" i="53"/>
  <c r="L12" i="53"/>
  <c r="F24" i="53"/>
  <c r="F22" i="53"/>
  <c r="F21" i="53"/>
  <c r="F20" i="53"/>
  <c r="F18" i="53"/>
  <c r="F16" i="53"/>
  <c r="F29" i="53"/>
  <c r="F27" i="53"/>
  <c r="D18" i="53"/>
  <c r="F36" i="53"/>
  <c r="F25" i="53"/>
  <c r="F34" i="53"/>
  <c r="F31" i="53"/>
  <c r="F33" i="53"/>
  <c r="F15" i="53"/>
  <c r="X16" i="53"/>
  <c r="X20" i="53"/>
  <c r="Z13" i="52"/>
  <c r="Z16" i="52"/>
  <c r="Z20" i="52"/>
  <c r="X22" i="52"/>
  <c r="X24" i="52"/>
  <c r="N12" i="53"/>
  <c r="J36" i="53"/>
  <c r="J34" i="53"/>
  <c r="J33" i="53"/>
  <c r="J31" i="53"/>
  <c r="J29" i="53"/>
  <c r="J27" i="53"/>
  <c r="J25" i="53"/>
  <c r="J24" i="53"/>
  <c r="J22" i="53"/>
  <c r="J20" i="53"/>
  <c r="J18" i="53"/>
  <c r="J16" i="53"/>
  <c r="H18" i="53"/>
  <c r="J21" i="53"/>
  <c r="J15" i="53"/>
  <c r="X13" i="53"/>
  <c r="Z15" i="53"/>
  <c r="X21" i="53"/>
  <c r="Z21" i="52"/>
  <c r="X25" i="52"/>
  <c r="X29" i="52"/>
  <c r="X33" i="52"/>
  <c r="X34" i="52"/>
  <c r="Z13" i="53"/>
  <c r="Z16" i="53"/>
  <c r="Z20" i="53"/>
  <c r="X22" i="53"/>
  <c r="X24" i="53"/>
  <c r="R36" i="52"/>
  <c r="R34" i="52"/>
  <c r="R33" i="52"/>
  <c r="R31" i="52"/>
  <c r="R29" i="52"/>
  <c r="R27" i="52"/>
  <c r="R25" i="52"/>
  <c r="R24" i="52"/>
  <c r="R22" i="52"/>
  <c r="R21" i="52"/>
  <c r="P18" i="52"/>
  <c r="R15" i="52"/>
  <c r="X12" i="52"/>
  <c r="R18" i="52"/>
  <c r="R16" i="52"/>
  <c r="R20" i="52"/>
  <c r="Z22" i="52"/>
  <c r="Z24" i="52"/>
  <c r="Z21" i="53"/>
  <c r="X25" i="53"/>
  <c r="X29" i="53"/>
  <c r="X33" i="53"/>
  <c r="X34" i="53"/>
  <c r="X33" i="110"/>
  <c r="X34" i="110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N25" i="112"/>
  <c r="Z21" i="110"/>
  <c r="Z15" i="111"/>
  <c r="N29" i="112"/>
  <c r="X25" i="110"/>
  <c r="N33" i="112"/>
  <c r="X21" i="111"/>
  <c r="X15" i="112"/>
  <c r="N34" i="112"/>
  <c r="X29" i="110"/>
  <c r="R21" i="110"/>
  <c r="R20" i="110"/>
  <c r="R18" i="110"/>
  <c r="R16" i="110"/>
  <c r="P18" i="110"/>
  <c r="R15" i="110"/>
  <c r="X12" i="110"/>
  <c r="R36" i="110"/>
  <c r="R34" i="110"/>
  <c r="R33" i="110"/>
  <c r="R31" i="110"/>
  <c r="R29" i="110"/>
  <c r="R27" i="110"/>
  <c r="R25" i="110"/>
  <c r="R24" i="110"/>
  <c r="R22" i="110"/>
  <c r="Z22" i="110"/>
  <c r="Z24" i="110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T18" i="110"/>
  <c r="V15" i="110"/>
  <c r="Z12" i="110"/>
  <c r="V36" i="110"/>
  <c r="V34" i="110"/>
  <c r="V33" i="110"/>
  <c r="V31" i="110"/>
  <c r="V29" i="110"/>
  <c r="V27" i="110"/>
  <c r="V25" i="110"/>
  <c r="V24" i="110"/>
  <c r="V22" i="110"/>
  <c r="V21" i="110"/>
  <c r="V20" i="110"/>
  <c r="V18" i="110"/>
  <c r="V16" i="110"/>
  <c r="L15" i="110"/>
  <c r="Z25" i="110"/>
  <c r="Z29" i="110"/>
  <c r="Z33" i="110"/>
  <c r="Z34" i="110"/>
  <c r="Z21" i="111"/>
  <c r="X25" i="111"/>
  <c r="X29" i="111"/>
  <c r="X33" i="111"/>
  <c r="X34" i="111"/>
  <c r="J21" i="112"/>
  <c r="J20" i="112"/>
  <c r="J18" i="112"/>
  <c r="J16" i="112"/>
  <c r="H18" i="112"/>
  <c r="J15" i="112"/>
  <c r="N12" i="112"/>
  <c r="J36" i="112"/>
  <c r="J34" i="112"/>
  <c r="J33" i="112"/>
  <c r="J31" i="112"/>
  <c r="J29" i="112"/>
  <c r="J27" i="112"/>
  <c r="J25" i="112"/>
  <c r="J24" i="112"/>
  <c r="J22" i="112"/>
  <c r="X13" i="112"/>
  <c r="Z15" i="112"/>
  <c r="X21" i="112"/>
  <c r="L16" i="110"/>
  <c r="L20" i="110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R21" i="111"/>
  <c r="R20" i="111"/>
  <c r="R18" i="111"/>
  <c r="R16" i="111"/>
  <c r="Z22" i="111"/>
  <c r="Z24" i="111"/>
  <c r="Z13" i="112"/>
  <c r="Z16" i="112"/>
  <c r="Z20" i="112"/>
  <c r="X22" i="112"/>
  <c r="X24" i="112"/>
  <c r="N15" i="110"/>
  <c r="L21" i="110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8" i="111"/>
  <c r="V16" i="111"/>
  <c r="T18" i="111"/>
  <c r="V15" i="111"/>
  <c r="L15" i="111"/>
  <c r="Z25" i="111"/>
  <c r="Z29" i="111"/>
  <c r="Z33" i="111"/>
  <c r="Z34" i="111"/>
  <c r="Z21" i="112"/>
  <c r="X25" i="112"/>
  <c r="X29" i="112"/>
  <c r="X33" i="112"/>
  <c r="X34" i="112"/>
  <c r="N16" i="110"/>
  <c r="N20" i="110"/>
  <c r="L22" i="110"/>
  <c r="L24" i="110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P18" i="112"/>
  <c r="R15" i="112"/>
  <c r="Z22" i="112"/>
  <c r="Z24" i="112"/>
  <c r="L13" i="110"/>
  <c r="N21" i="110"/>
  <c r="L25" i="110"/>
  <c r="L29" i="110"/>
  <c r="L33" i="110"/>
  <c r="L34" i="110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X15" i="110"/>
  <c r="N25" i="110"/>
  <c r="N29" i="110"/>
  <c r="N33" i="110"/>
  <c r="N34" i="110"/>
  <c r="L13" i="111"/>
  <c r="N21" i="111"/>
  <c r="L25" i="111"/>
  <c r="L29" i="111"/>
  <c r="L33" i="111"/>
  <c r="L34" i="111"/>
  <c r="N15" i="112"/>
  <c r="L21" i="112"/>
  <c r="L12" i="110"/>
  <c r="F36" i="110"/>
  <c r="F34" i="110"/>
  <c r="F33" i="110"/>
  <c r="F31" i="110"/>
  <c r="F29" i="110"/>
  <c r="F27" i="110"/>
  <c r="F25" i="110"/>
  <c r="F24" i="110"/>
  <c r="F22" i="110"/>
  <c r="F21" i="110"/>
  <c r="F20" i="110"/>
  <c r="F18" i="110"/>
  <c r="F16" i="110"/>
  <c r="D18" i="110"/>
  <c r="F15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J24" i="110"/>
  <c r="J22" i="110"/>
  <c r="J21" i="110"/>
  <c r="J20" i="110"/>
  <c r="J18" i="110"/>
  <c r="J16" i="110"/>
  <c r="H18" i="110"/>
  <c r="J15" i="110"/>
  <c r="N12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X16" i="111"/>
  <c r="X20" i="111"/>
  <c r="N13" i="112"/>
  <c r="N22" i="112"/>
  <c r="N24" i="112"/>
  <c r="J308" i="3"/>
  <c r="J288" i="3"/>
  <c r="J272" i="3"/>
  <c r="J260" i="3"/>
  <c r="J254" i="3"/>
  <c r="J234" i="3"/>
  <c r="J218" i="3"/>
  <c r="J208" i="3"/>
  <c r="J204" i="3"/>
  <c r="J200" i="3"/>
  <c r="J198" i="3"/>
  <c r="J313" i="3"/>
  <c r="J307" i="3"/>
  <c r="J289" i="3"/>
  <c r="J267" i="3"/>
  <c r="J261" i="3"/>
  <c r="J255" i="3"/>
  <c r="J306" i="3"/>
  <c r="J290" i="3"/>
  <c r="J282" i="3"/>
  <c r="J278" i="3"/>
  <c r="J262" i="3"/>
  <c r="J256" i="3"/>
  <c r="J244" i="3"/>
  <c r="J236" i="3"/>
  <c r="J220" i="3"/>
  <c r="J214" i="3"/>
  <c r="J318" i="3"/>
  <c r="J317" i="3"/>
  <c r="J305" i="3"/>
  <c r="J273" i="3"/>
  <c r="J257" i="3"/>
  <c r="J245" i="3"/>
  <c r="J237" i="3"/>
  <c r="J221" i="3"/>
  <c r="J209" i="3"/>
  <c r="J205" i="3"/>
  <c r="J201" i="3"/>
  <c r="J135" i="3"/>
  <c r="J304" i="3"/>
  <c r="J274" i="3"/>
  <c r="J268" i="3"/>
  <c r="J246" i="3"/>
  <c r="J238" i="3"/>
  <c r="J228" i="3"/>
  <c r="J210" i="3"/>
  <c r="J192" i="3"/>
  <c r="J188" i="3"/>
  <c r="J184" i="3"/>
  <c r="J180" i="3"/>
  <c r="J176" i="3"/>
  <c r="J172" i="3"/>
  <c r="J168" i="3"/>
  <c r="J164" i="3"/>
  <c r="J160" i="3"/>
  <c r="J156" i="3"/>
  <c r="J152" i="3"/>
  <c r="J148" i="3"/>
  <c r="J303" i="3"/>
  <c r="J291" i="3"/>
  <c r="J283" i="3"/>
  <c r="J279" i="3"/>
  <c r="J275" i="3"/>
  <c r="J263" i="3"/>
  <c r="J247" i="3"/>
  <c r="J239" i="3"/>
  <c r="J229" i="3"/>
  <c r="J215" i="3"/>
  <c r="J211" i="3"/>
  <c r="J300" i="3"/>
  <c r="J292" i="3"/>
  <c r="J280" i="3"/>
  <c r="J276" i="3"/>
  <c r="J264" i="3"/>
  <c r="J250" i="3"/>
  <c r="J240" i="3"/>
  <c r="J224" i="3"/>
  <c r="J216" i="3"/>
  <c r="J212" i="3"/>
  <c r="J298" i="3"/>
  <c r="J294" i="3"/>
  <c r="J286" i="3"/>
  <c r="J270" i="3"/>
  <c r="J266" i="3"/>
  <c r="J252" i="3"/>
  <c r="J242" i="3"/>
  <c r="J232" i="3"/>
  <c r="J226" i="3"/>
  <c r="J194" i="3"/>
  <c r="J190" i="3"/>
  <c r="J186" i="3"/>
  <c r="J182" i="3"/>
  <c r="J178" i="3"/>
  <c r="J174" i="3"/>
  <c r="J170" i="3"/>
  <c r="J166" i="3"/>
  <c r="J162" i="3"/>
  <c r="J158" i="3"/>
  <c r="J154" i="3"/>
  <c r="J150" i="3"/>
  <c r="J146" i="3"/>
  <c r="J142" i="3"/>
  <c r="J138" i="3"/>
  <c r="J309" i="3"/>
  <c r="J297" i="3"/>
  <c r="J287" i="3"/>
  <c r="J281" i="3"/>
  <c r="J277" i="3"/>
  <c r="J271" i="3"/>
  <c r="J253" i="3"/>
  <c r="J233" i="3"/>
  <c r="J217" i="3"/>
  <c r="J213" i="3"/>
  <c r="J199" i="3"/>
  <c r="J147" i="3"/>
  <c r="J136" i="3"/>
  <c r="J227" i="3"/>
  <c r="J225" i="3"/>
  <c r="J207" i="3"/>
  <c r="J203" i="3"/>
  <c r="J151" i="3"/>
  <c r="J149" i="3"/>
  <c r="J302" i="3"/>
  <c r="J299" i="3"/>
  <c r="H196" i="3"/>
  <c r="J155" i="3"/>
  <c r="J153" i="3"/>
  <c r="J145" i="3"/>
  <c r="J223" i="3"/>
  <c r="J193" i="3"/>
  <c r="J179" i="3"/>
  <c r="J175" i="3"/>
  <c r="J173" i="3"/>
  <c r="J171" i="3"/>
  <c r="J159" i="3"/>
  <c r="J157" i="3"/>
  <c r="J143" i="3"/>
  <c r="J169" i="3"/>
  <c r="J230" i="3"/>
  <c r="J191" i="3"/>
  <c r="J183" i="3"/>
  <c r="J181" i="3"/>
  <c r="J177" i="3"/>
  <c r="J167" i="3"/>
  <c r="J163" i="3"/>
  <c r="J161" i="3"/>
  <c r="J141" i="3"/>
  <c r="J139" i="3"/>
  <c r="J189" i="3"/>
  <c r="J187" i="3"/>
  <c r="J185" i="3"/>
  <c r="J301" i="3"/>
  <c r="J265" i="3"/>
  <c r="J259" i="3"/>
  <c r="J251" i="3"/>
  <c r="J206" i="3"/>
  <c r="J137" i="3"/>
  <c r="J285" i="3"/>
  <c r="J269" i="3"/>
  <c r="J249" i="3"/>
  <c r="J219" i="3"/>
  <c r="J202" i="3"/>
  <c r="J293" i="3"/>
  <c r="J243" i="3"/>
  <c r="J241" i="3"/>
  <c r="J144" i="3"/>
  <c r="J140" i="3"/>
  <c r="J165" i="3"/>
  <c r="J284" i="3"/>
  <c r="J258" i="3"/>
  <c r="J248" i="3"/>
  <c r="J235" i="3"/>
  <c r="J231" i="3"/>
  <c r="J222" i="3"/>
  <c r="F298" i="3"/>
  <c r="F281" i="3"/>
  <c r="F277" i="3"/>
  <c r="F253" i="3"/>
  <c r="F252" i="3"/>
  <c r="F233" i="3"/>
  <c r="F232" i="3"/>
  <c r="F217" i="3"/>
  <c r="F213" i="3"/>
  <c r="F309" i="3"/>
  <c r="F297" i="3"/>
  <c r="F288" i="3"/>
  <c r="F287" i="3"/>
  <c r="F272" i="3"/>
  <c r="F271" i="3"/>
  <c r="F260" i="3"/>
  <c r="F313" i="3"/>
  <c r="F308" i="3"/>
  <c r="F267" i="3"/>
  <c r="F255" i="3"/>
  <c r="F254" i="3"/>
  <c r="F243" i="3"/>
  <c r="F235" i="3"/>
  <c r="F234" i="3"/>
  <c r="F227" i="3"/>
  <c r="F219" i="3"/>
  <c r="F218" i="3"/>
  <c r="F307" i="3"/>
  <c r="F290" i="3"/>
  <c r="F289" i="3"/>
  <c r="F282" i="3"/>
  <c r="F278" i="3"/>
  <c r="F262" i="3"/>
  <c r="F261" i="3"/>
  <c r="F214" i="3"/>
  <c r="D196" i="3"/>
  <c r="F306" i="3"/>
  <c r="F273" i="3"/>
  <c r="F257" i="3"/>
  <c r="F256" i="3"/>
  <c r="F245" i="3"/>
  <c r="F244" i="3"/>
  <c r="F237" i="3"/>
  <c r="F236" i="3"/>
  <c r="F221" i="3"/>
  <c r="F220" i="3"/>
  <c r="F209" i="3"/>
  <c r="F205" i="3"/>
  <c r="F201" i="3"/>
  <c r="F318" i="3"/>
  <c r="F317" i="3"/>
  <c r="F305" i="3"/>
  <c r="F268" i="3"/>
  <c r="F228" i="3"/>
  <c r="F192" i="3"/>
  <c r="F188" i="3"/>
  <c r="F184" i="3"/>
  <c r="F180" i="3"/>
  <c r="F176" i="3"/>
  <c r="F172" i="3"/>
  <c r="F168" i="3"/>
  <c r="F164" i="3"/>
  <c r="F160" i="3"/>
  <c r="F156" i="3"/>
  <c r="F152" i="3"/>
  <c r="F148" i="3"/>
  <c r="F144" i="3"/>
  <c r="F140" i="3"/>
  <c r="F136" i="3"/>
  <c r="F135" i="3"/>
  <c r="F302" i="3"/>
  <c r="F285" i="3"/>
  <c r="F284" i="3"/>
  <c r="F269" i="3"/>
  <c r="F249" i="3"/>
  <c r="F248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141" i="3"/>
  <c r="F137" i="3"/>
  <c r="F300" i="3"/>
  <c r="F259" i="3"/>
  <c r="F251" i="3"/>
  <c r="F250" i="3"/>
  <c r="F231" i="3"/>
  <c r="F207" i="3"/>
  <c r="F203" i="3"/>
  <c r="F299" i="3"/>
  <c r="F294" i="3"/>
  <c r="F293" i="3"/>
  <c r="F286" i="3"/>
  <c r="F270" i="3"/>
  <c r="F266" i="3"/>
  <c r="F265" i="3"/>
  <c r="F242" i="3"/>
  <c r="F241" i="3"/>
  <c r="F226" i="3"/>
  <c r="F225" i="3"/>
  <c r="F194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279" i="3"/>
  <c r="F258" i="3"/>
  <c r="F246" i="3"/>
  <c r="F229" i="3"/>
  <c r="F222" i="3"/>
  <c r="F216" i="3"/>
  <c r="F211" i="3"/>
  <c r="F230" i="3"/>
  <c r="F163" i="3"/>
  <c r="F274" i="3"/>
  <c r="F264" i="3"/>
  <c r="F147" i="3"/>
  <c r="F224" i="3"/>
  <c r="F304" i="3"/>
  <c r="F276" i="3"/>
  <c r="F199" i="3"/>
  <c r="F151" i="3"/>
  <c r="F238" i="3"/>
  <c r="F196" i="3"/>
  <c r="F155" i="3"/>
  <c r="F292" i="3"/>
  <c r="F240" i="3"/>
  <c r="F179" i="3"/>
  <c r="F175" i="3"/>
  <c r="F171" i="3"/>
  <c r="F159" i="3"/>
  <c r="F143" i="3"/>
  <c r="L12" i="3"/>
  <c r="N12" i="3" s="1"/>
  <c r="F215" i="3"/>
  <c r="F191" i="3"/>
  <c r="F183" i="3"/>
  <c r="F167" i="3"/>
  <c r="F139" i="3"/>
  <c r="F263" i="3"/>
  <c r="F283" i="3"/>
  <c r="F247" i="3"/>
  <c r="F210" i="3"/>
  <c r="F187" i="3"/>
  <c r="F275" i="3"/>
  <c r="F212" i="3"/>
  <c r="F208" i="3"/>
  <c r="F206" i="3"/>
  <c r="F204" i="3"/>
  <c r="F200" i="3"/>
  <c r="F239" i="3"/>
  <c r="F291" i="3"/>
  <c r="F280" i="3"/>
  <c r="F202" i="3"/>
  <c r="F303" i="3"/>
  <c r="F301" i="3"/>
  <c r="F223" i="3"/>
  <c r="F198" i="3"/>
  <c r="Z131" i="3"/>
  <c r="R304" i="3"/>
  <c r="R274" i="3"/>
  <c r="R273" i="3"/>
  <c r="R257" i="3"/>
  <c r="R246" i="3"/>
  <c r="R245" i="3"/>
  <c r="R238" i="3"/>
  <c r="R237" i="3"/>
  <c r="R221" i="3"/>
  <c r="R210" i="3"/>
  <c r="R209" i="3"/>
  <c r="R205" i="3"/>
  <c r="R201" i="3"/>
  <c r="R303" i="3"/>
  <c r="R268" i="3"/>
  <c r="R302" i="3"/>
  <c r="R291" i="3"/>
  <c r="R284" i="3"/>
  <c r="R283" i="3"/>
  <c r="R279" i="3"/>
  <c r="R275" i="3"/>
  <c r="R263" i="3"/>
  <c r="R248" i="3"/>
  <c r="R247" i="3"/>
  <c r="R239" i="3"/>
  <c r="R215" i="3"/>
  <c r="R211" i="3"/>
  <c r="R301" i="3"/>
  <c r="R258" i="3"/>
  <c r="R230" i="3"/>
  <c r="R223" i="3"/>
  <c r="R222" i="3"/>
  <c r="R206" i="3"/>
  <c r="R202" i="3"/>
  <c r="R300" i="3"/>
  <c r="R285" i="3"/>
  <c r="R269" i="3"/>
  <c r="R250" i="3"/>
  <c r="R249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R299" i="3"/>
  <c r="R293" i="3"/>
  <c r="R292" i="3"/>
  <c r="R280" i="3"/>
  <c r="R276" i="3"/>
  <c r="R265" i="3"/>
  <c r="R264" i="3"/>
  <c r="R241" i="3"/>
  <c r="R240" i="3"/>
  <c r="R225" i="3"/>
  <c r="R224" i="3"/>
  <c r="R216" i="3"/>
  <c r="R212" i="3"/>
  <c r="R308" i="3"/>
  <c r="R281" i="3"/>
  <c r="R277" i="3"/>
  <c r="R254" i="3"/>
  <c r="R253" i="3"/>
  <c r="R234" i="3"/>
  <c r="R233" i="3"/>
  <c r="R218" i="3"/>
  <c r="R217" i="3"/>
  <c r="R213" i="3"/>
  <c r="R198" i="3"/>
  <c r="R313" i="3"/>
  <c r="R306" i="3"/>
  <c r="R267" i="3"/>
  <c r="R256" i="3"/>
  <c r="R255" i="3"/>
  <c r="R244" i="3"/>
  <c r="R243" i="3"/>
  <c r="R236" i="3"/>
  <c r="R235" i="3"/>
  <c r="R227" i="3"/>
  <c r="R220" i="3"/>
  <c r="R219" i="3"/>
  <c r="R191" i="3"/>
  <c r="R187" i="3"/>
  <c r="R183" i="3"/>
  <c r="R179" i="3"/>
  <c r="R175" i="3"/>
  <c r="R171" i="3"/>
  <c r="R167" i="3"/>
  <c r="R163" i="3"/>
  <c r="R159" i="3"/>
  <c r="R155" i="3"/>
  <c r="R151" i="3"/>
  <c r="R147" i="3"/>
  <c r="R143" i="3"/>
  <c r="R139" i="3"/>
  <c r="R318" i="3"/>
  <c r="R317" i="3"/>
  <c r="R305" i="3"/>
  <c r="R290" i="3"/>
  <c r="R282" i="3"/>
  <c r="R278" i="3"/>
  <c r="R262" i="3"/>
  <c r="R214" i="3"/>
  <c r="R135" i="3"/>
  <c r="R229" i="3"/>
  <c r="R170" i="3"/>
  <c r="R286" i="3"/>
  <c r="R270" i="3"/>
  <c r="R242" i="3"/>
  <c r="R232" i="3"/>
  <c r="P196" i="3"/>
  <c r="R196" i="3" s="1"/>
  <c r="R152" i="3"/>
  <c r="R144" i="3"/>
  <c r="R307" i="3"/>
  <c r="R297" i="3"/>
  <c r="R294" i="3"/>
  <c r="R261" i="3"/>
  <c r="R259" i="3"/>
  <c r="R141" i="3"/>
  <c r="R158" i="3"/>
  <c r="R251" i="3"/>
  <c r="R142" i="3"/>
  <c r="R289" i="3"/>
  <c r="R287" i="3"/>
  <c r="R271" i="3"/>
  <c r="R228" i="3"/>
  <c r="R208" i="3"/>
  <c r="R204" i="3"/>
  <c r="R148" i="3"/>
  <c r="R137" i="3"/>
  <c r="R200" i="3"/>
  <c r="R174" i="3"/>
  <c r="R226" i="3"/>
  <c r="R172" i="3"/>
  <c r="R156" i="3"/>
  <c r="R146" i="3"/>
  <c r="R298" i="3"/>
  <c r="R194" i="3"/>
  <c r="R192" i="3"/>
  <c r="R180" i="3"/>
  <c r="R176" i="3"/>
  <c r="R160" i="3"/>
  <c r="R150" i="3"/>
  <c r="R140" i="3"/>
  <c r="R260" i="3"/>
  <c r="R252" i="3"/>
  <c r="R231" i="3"/>
  <c r="R188" i="3"/>
  <c r="R184" i="3"/>
  <c r="R168" i="3"/>
  <c r="R164" i="3"/>
  <c r="R154" i="3"/>
  <c r="R207" i="3"/>
  <c r="R203" i="3"/>
  <c r="R199" i="3"/>
  <c r="R190" i="3"/>
  <c r="R182" i="3"/>
  <c r="R166" i="3"/>
  <c r="R162" i="3"/>
  <c r="R138" i="3"/>
  <c r="R136" i="3"/>
  <c r="R309" i="3"/>
  <c r="R288" i="3"/>
  <c r="R272" i="3"/>
  <c r="R266" i="3"/>
  <c r="R186" i="3"/>
  <c r="R145" i="3"/>
  <c r="X12" i="3"/>
  <c r="R178" i="3"/>
  <c r="N15" i="3"/>
  <c r="N24" i="3"/>
  <c r="V302" i="3"/>
  <c r="V284" i="3"/>
  <c r="V268" i="3"/>
  <c r="V248" i="3"/>
  <c r="V228" i="3"/>
  <c r="V192" i="3"/>
  <c r="V188" i="3"/>
  <c r="V184" i="3"/>
  <c r="V180" i="3"/>
  <c r="V176" i="3"/>
  <c r="V172" i="3"/>
  <c r="V168" i="3"/>
  <c r="V164" i="3"/>
  <c r="V160" i="3"/>
  <c r="V156" i="3"/>
  <c r="V152" i="3"/>
  <c r="V148" i="3"/>
  <c r="V144" i="3"/>
  <c r="V140" i="3"/>
  <c r="V136" i="3"/>
  <c r="V301" i="3"/>
  <c r="V291" i="3"/>
  <c r="V283" i="3"/>
  <c r="V279" i="3"/>
  <c r="V275" i="3"/>
  <c r="V263" i="3"/>
  <c r="V300" i="3"/>
  <c r="V258" i="3"/>
  <c r="V250" i="3"/>
  <c r="V230" i="3"/>
  <c r="V222" i="3"/>
  <c r="V206" i="3"/>
  <c r="V299" i="3"/>
  <c r="V293" i="3"/>
  <c r="V285" i="3"/>
  <c r="V269" i="3"/>
  <c r="V265" i="3"/>
  <c r="V249" i="3"/>
  <c r="V241" i="3"/>
  <c r="V225" i="3"/>
  <c r="V193" i="3"/>
  <c r="V189" i="3"/>
  <c r="V185" i="3"/>
  <c r="V181" i="3"/>
  <c r="V177" i="3"/>
  <c r="V173" i="3"/>
  <c r="V169" i="3"/>
  <c r="V165" i="3"/>
  <c r="V161" i="3"/>
  <c r="V157" i="3"/>
  <c r="V153" i="3"/>
  <c r="V149" i="3"/>
  <c r="V145" i="3"/>
  <c r="V141" i="3"/>
  <c r="V137" i="3"/>
  <c r="V298" i="3"/>
  <c r="V292" i="3"/>
  <c r="V280" i="3"/>
  <c r="V276" i="3"/>
  <c r="V264" i="3"/>
  <c r="V252" i="3"/>
  <c r="V240" i="3"/>
  <c r="V232" i="3"/>
  <c r="V224" i="3"/>
  <c r="V216" i="3"/>
  <c r="V212" i="3"/>
  <c r="V309" i="3"/>
  <c r="V297" i="3"/>
  <c r="V287" i="3"/>
  <c r="V271" i="3"/>
  <c r="V259" i="3"/>
  <c r="V251" i="3"/>
  <c r="V231" i="3"/>
  <c r="V207" i="3"/>
  <c r="V203" i="3"/>
  <c r="V199" i="3"/>
  <c r="V306" i="3"/>
  <c r="V288" i="3"/>
  <c r="V272" i="3"/>
  <c r="V260" i="3"/>
  <c r="V256" i="3"/>
  <c r="V244" i="3"/>
  <c r="V236" i="3"/>
  <c r="V220" i="3"/>
  <c r="V208" i="3"/>
  <c r="V204" i="3"/>
  <c r="V200" i="3"/>
  <c r="V304" i="3"/>
  <c r="V290" i="3"/>
  <c r="V282" i="3"/>
  <c r="V278" i="3"/>
  <c r="V274" i="3"/>
  <c r="V262" i="3"/>
  <c r="V246" i="3"/>
  <c r="V238" i="3"/>
  <c r="V214" i="3"/>
  <c r="V210" i="3"/>
  <c r="V303" i="3"/>
  <c r="V273" i="3"/>
  <c r="V257" i="3"/>
  <c r="V245" i="3"/>
  <c r="V237" i="3"/>
  <c r="V229" i="3"/>
  <c r="V221" i="3"/>
  <c r="V209" i="3"/>
  <c r="V205" i="3"/>
  <c r="V201" i="3"/>
  <c r="V318" i="3"/>
  <c r="V307" i="3"/>
  <c r="V286" i="3"/>
  <c r="V281" i="3"/>
  <c r="V270" i="3"/>
  <c r="V261" i="3"/>
  <c r="V242" i="3"/>
  <c r="T196" i="3"/>
  <c r="V171" i="3"/>
  <c r="V155" i="3"/>
  <c r="V143" i="3"/>
  <c r="V294" i="3"/>
  <c r="V234" i="3"/>
  <c r="V191" i="3"/>
  <c r="V179" i="3"/>
  <c r="V175" i="3"/>
  <c r="V159" i="3"/>
  <c r="V146" i="3"/>
  <c r="V235" i="3"/>
  <c r="V162" i="3"/>
  <c r="V138" i="3"/>
  <c r="V289" i="3"/>
  <c r="V187" i="3"/>
  <c r="V183" i="3"/>
  <c r="V167" i="3"/>
  <c r="V163" i="3"/>
  <c r="V139" i="3"/>
  <c r="V253" i="3"/>
  <c r="V215" i="3"/>
  <c r="V135" i="3"/>
  <c r="V190" i="3"/>
  <c r="V305" i="3"/>
  <c r="V267" i="3"/>
  <c r="V247" i="3"/>
  <c r="V217" i="3"/>
  <c r="V202" i="3"/>
  <c r="V255" i="3"/>
  <c r="V226" i="3"/>
  <c r="V219" i="3"/>
  <c r="V198" i="3"/>
  <c r="V313" i="3"/>
  <c r="V308" i="3"/>
  <c r="V277" i="3"/>
  <c r="V243" i="3"/>
  <c r="V194" i="3"/>
  <c r="V150" i="3"/>
  <c r="V317" i="3"/>
  <c r="V239" i="3"/>
  <c r="V154" i="3"/>
  <c r="V218" i="3"/>
  <c r="V296" i="3"/>
  <c r="V254" i="3"/>
  <c r="V233" i="3"/>
  <c r="V178" i="3"/>
  <c r="V174" i="3"/>
  <c r="V170" i="3"/>
  <c r="V158" i="3"/>
  <c r="V142" i="3"/>
  <c r="V266" i="3"/>
  <c r="V227" i="3"/>
  <c r="V211" i="3"/>
  <c r="V186" i="3"/>
  <c r="V147" i="3"/>
  <c r="V182" i="3"/>
  <c r="V166" i="3"/>
  <c r="V223" i="3"/>
  <c r="V213" i="3"/>
  <c r="V196" i="3"/>
  <c r="V151" i="3"/>
  <c r="Z12" i="3"/>
  <c r="Z59" i="3"/>
  <c r="N135" i="3"/>
  <c r="N20" i="3"/>
  <c r="N27" i="3"/>
  <c r="N25" i="3"/>
  <c r="N16" i="3"/>
  <c r="N34" i="3"/>
  <c r="N30" i="3"/>
  <c r="N21" i="3"/>
  <c r="N28" i="3"/>
  <c r="L30" i="3"/>
  <c r="X31" i="3"/>
  <c r="Z31" i="3" s="1"/>
  <c r="N45" i="3"/>
  <c r="N73" i="3"/>
  <c r="L93" i="3"/>
  <c r="N103" i="3"/>
  <c r="L229" i="3"/>
  <c r="N229" i="3" s="1"/>
  <c r="N252" i="3"/>
  <c r="N65" i="9"/>
  <c r="J82" i="9"/>
  <c r="J157" i="12"/>
  <c r="J263" i="12"/>
  <c r="J247" i="12"/>
  <c r="J231" i="12"/>
  <c r="J225" i="12"/>
  <c r="J219" i="12"/>
  <c r="J207" i="12"/>
  <c r="J183" i="12"/>
  <c r="J179" i="12"/>
  <c r="J262" i="12"/>
  <c r="J254" i="12"/>
  <c r="J242" i="12"/>
  <c r="J226" i="12"/>
  <c r="J220" i="12"/>
  <c r="J208" i="12"/>
  <c r="J198" i="12"/>
  <c r="J190" i="12"/>
  <c r="J174" i="12"/>
  <c r="J170" i="12"/>
  <c r="J260" i="12"/>
  <c r="J256" i="12"/>
  <c r="J248" i="12"/>
  <c r="J238" i="12"/>
  <c r="J232" i="12"/>
  <c r="J210" i="12"/>
  <c r="J200" i="12"/>
  <c r="J192" i="12"/>
  <c r="J184" i="12"/>
  <c r="J180" i="12"/>
  <c r="J259" i="12"/>
  <c r="J249" i="12"/>
  <c r="J243" i="12"/>
  <c r="J239" i="12"/>
  <c r="J227" i="12"/>
  <c r="J211" i="12"/>
  <c r="J201" i="12"/>
  <c r="J193" i="12"/>
  <c r="J175" i="12"/>
  <c r="J171" i="12"/>
  <c r="J250" i="12"/>
  <c r="J222" i="12"/>
  <c r="J212" i="12"/>
  <c r="J202" i="12"/>
  <c r="J194" i="12"/>
  <c r="J162" i="12"/>
  <c r="J158" i="12"/>
  <c r="J154" i="12"/>
  <c r="J150" i="12"/>
  <c r="J146" i="12"/>
  <c r="J142" i="12"/>
  <c r="J138" i="12"/>
  <c r="J134" i="12"/>
  <c r="J130" i="12"/>
  <c r="J126" i="12"/>
  <c r="J122" i="12"/>
  <c r="J118" i="12"/>
  <c r="J114" i="12"/>
  <c r="J251" i="12"/>
  <c r="J233" i="12"/>
  <c r="J213" i="12"/>
  <c r="J203" i="12"/>
  <c r="J185" i="12"/>
  <c r="J181" i="12"/>
  <c r="J167" i="12"/>
  <c r="J252" i="12"/>
  <c r="J244" i="12"/>
  <c r="J240" i="12"/>
  <c r="J228" i="12"/>
  <c r="J214" i="12"/>
  <c r="J204" i="12"/>
  <c r="J267" i="12"/>
  <c r="J229" i="12"/>
  <c r="J223" i="12"/>
  <c r="J215" i="12"/>
  <c r="J205" i="12"/>
  <c r="J195" i="12"/>
  <c r="J187" i="12"/>
  <c r="H164" i="12"/>
  <c r="J159" i="12"/>
  <c r="J155" i="12"/>
  <c r="J151" i="12"/>
  <c r="J147" i="12"/>
  <c r="J143" i="12"/>
  <c r="J139" i="12"/>
  <c r="J135" i="12"/>
  <c r="J131" i="12"/>
  <c r="J127" i="12"/>
  <c r="J123" i="12"/>
  <c r="J119" i="12"/>
  <c r="J115" i="12"/>
  <c r="J111" i="12"/>
  <c r="J271" i="12"/>
  <c r="J265" i="12"/>
  <c r="J253" i="12"/>
  <c r="J245" i="12"/>
  <c r="J241" i="12"/>
  <c r="J235" i="12"/>
  <c r="J217" i="12"/>
  <c r="J197" i="12"/>
  <c r="J189" i="12"/>
  <c r="J177" i="12"/>
  <c r="J173" i="12"/>
  <c r="J169" i="12"/>
  <c r="J264" i="12"/>
  <c r="J246" i="12"/>
  <c r="J236" i="12"/>
  <c r="J224" i="12"/>
  <c r="J218" i="12"/>
  <c r="J178" i="12"/>
  <c r="J160" i="12"/>
  <c r="J156" i="12"/>
  <c r="J152" i="12"/>
  <c r="J148" i="12"/>
  <c r="J144" i="12"/>
  <c r="J140" i="12"/>
  <c r="J136" i="12"/>
  <c r="J132" i="12"/>
  <c r="J128" i="12"/>
  <c r="J124" i="12"/>
  <c r="J120" i="12"/>
  <c r="J116" i="12"/>
  <c r="J112" i="12"/>
  <c r="J255" i="12"/>
  <c r="J199" i="12"/>
  <c r="J191" i="12"/>
  <c r="J172" i="12"/>
  <c r="J149" i="12"/>
  <c r="J133" i="12"/>
  <c r="J113" i="12"/>
  <c r="J266" i="12"/>
  <c r="J216" i="12"/>
  <c r="J164" i="12"/>
  <c r="J234" i="12"/>
  <c r="J117" i="12"/>
  <c r="J176" i="12"/>
  <c r="J153" i="12"/>
  <c r="J137" i="12"/>
  <c r="J121" i="12"/>
  <c r="J110" i="12"/>
  <c r="J196" i="12"/>
  <c r="J188" i="12"/>
  <c r="J168" i="12"/>
  <c r="J145" i="12"/>
  <c r="J237" i="12"/>
  <c r="J221" i="12"/>
  <c r="J206" i="12"/>
  <c r="J161" i="12"/>
  <c r="J125" i="12"/>
  <c r="X13" i="3"/>
  <c r="N33" i="3"/>
  <c r="N39" i="3"/>
  <c r="N55" i="3"/>
  <c r="Z61" i="3"/>
  <c r="Z66" i="3"/>
  <c r="X76" i="3"/>
  <c r="N83" i="3"/>
  <c r="N93" i="3"/>
  <c r="X96" i="3"/>
  <c r="Z96" i="3" s="1"/>
  <c r="L198" i="3"/>
  <c r="Z218" i="3"/>
  <c r="X248" i="3"/>
  <c r="X254" i="3"/>
  <c r="P296" i="3"/>
  <c r="X296" i="3" s="1"/>
  <c r="Z296" i="3" s="1"/>
  <c r="X309" i="3"/>
  <c r="Z309" i="3" s="1"/>
  <c r="P91" i="9"/>
  <c r="X16" i="9"/>
  <c r="J48" i="9"/>
  <c r="X14" i="12"/>
  <c r="Z14" i="12" s="1"/>
  <c r="N18" i="12"/>
  <c r="L20" i="12"/>
  <c r="N20" i="12" s="1"/>
  <c r="Z25" i="12"/>
  <c r="X29" i="12"/>
  <c r="N29" i="3"/>
  <c r="L47" i="3"/>
  <c r="X63" i="3"/>
  <c r="Z63" i="3" s="1"/>
  <c r="L90" i="3"/>
  <c r="N90" i="3" s="1"/>
  <c r="Z130" i="3"/>
  <c r="N198" i="3"/>
  <c r="X220" i="3"/>
  <c r="Z220" i="3" s="1"/>
  <c r="X256" i="3"/>
  <c r="Z256" i="3" s="1"/>
  <c r="L303" i="3"/>
  <c r="N303" i="3" s="1"/>
  <c r="X306" i="3"/>
  <c r="Z306" i="3" s="1"/>
  <c r="X33" i="12"/>
  <c r="Z33" i="12" s="1"/>
  <c r="N77" i="12"/>
  <c r="Z100" i="12"/>
  <c r="X263" i="12"/>
  <c r="P258" i="12"/>
  <c r="N267" i="12"/>
  <c r="L267" i="12"/>
  <c r="N24" i="12"/>
  <c r="L75" i="3"/>
  <c r="N75" i="3" s="1"/>
  <c r="Z81" i="3"/>
  <c r="L95" i="3"/>
  <c r="L13" i="3"/>
  <c r="X36" i="3"/>
  <c r="Z36" i="3" s="1"/>
  <c r="X42" i="3"/>
  <c r="Z42" i="3" s="1"/>
  <c r="Z45" i="3"/>
  <c r="Z50" i="3"/>
  <c r="N57" i="3"/>
  <c r="X60" i="3"/>
  <c r="Z60" i="3" s="1"/>
  <c r="N67" i="3"/>
  <c r="N70" i="3"/>
  <c r="Z73" i="3"/>
  <c r="X78" i="3"/>
  <c r="N85" i="3"/>
  <c r="Z93" i="3"/>
  <c r="Z98" i="3"/>
  <c r="N107" i="3"/>
  <c r="N117" i="3"/>
  <c r="X120" i="3"/>
  <c r="Z120" i="3" s="1"/>
  <c r="L122" i="3"/>
  <c r="N122" i="3" s="1"/>
  <c r="Z125" i="3"/>
  <c r="L129" i="3"/>
  <c r="X198" i="3"/>
  <c r="H296" i="3"/>
  <c r="X308" i="3"/>
  <c r="P31" i="6"/>
  <c r="J18" i="9"/>
  <c r="Z39" i="9"/>
  <c r="X53" i="9"/>
  <c r="Z53" i="9" s="1"/>
  <c r="N26" i="12"/>
  <c r="L28" i="12"/>
  <c r="N28" i="12" s="1"/>
  <c r="N32" i="12"/>
  <c r="Z93" i="12"/>
  <c r="J230" i="12"/>
  <c r="Z263" i="12"/>
  <c r="L107" i="18"/>
  <c r="N107" i="18"/>
  <c r="Z53" i="3"/>
  <c r="Z58" i="3"/>
  <c r="L65" i="3"/>
  <c r="N35" i="3"/>
  <c r="N41" i="3"/>
  <c r="N44" i="3"/>
  <c r="X70" i="3"/>
  <c r="Z78" i="3"/>
  <c r="N87" i="3"/>
  <c r="L97" i="3"/>
  <c r="X132" i="3"/>
  <c r="Z132" i="3" s="1"/>
  <c r="Z198" i="3"/>
  <c r="D296" i="3"/>
  <c r="L296" i="3" s="1"/>
  <c r="Z308" i="3"/>
  <c r="L45" i="9"/>
  <c r="J64" i="9"/>
  <c r="D12" i="12"/>
  <c r="X26" i="12"/>
  <c r="Z26" i="12" s="1"/>
  <c r="Z77" i="12"/>
  <c r="X77" i="12"/>
  <c r="Z95" i="12"/>
  <c r="Z255" i="12"/>
  <c r="X255" i="12"/>
  <c r="X261" i="12"/>
  <c r="Z261" i="12" s="1"/>
  <c r="X25" i="24"/>
  <c r="Z25" i="24" s="1"/>
  <c r="J20" i="9"/>
  <c r="N45" i="9"/>
  <c r="Z55" i="12"/>
  <c r="X55" i="12"/>
  <c r="J129" i="12"/>
  <c r="Z199" i="3"/>
  <c r="X199" i="3"/>
  <c r="Z29" i="12"/>
  <c r="N59" i="3"/>
  <c r="X44" i="3"/>
  <c r="Z44" i="3" s="1"/>
  <c r="N51" i="3"/>
  <c r="L54" i="3"/>
  <c r="N54" i="3" s="1"/>
  <c r="L59" i="3"/>
  <c r="X62" i="3"/>
  <c r="N69" i="3"/>
  <c r="X72" i="3"/>
  <c r="Z72" i="3" s="1"/>
  <c r="L82" i="3"/>
  <c r="N82" i="3" s="1"/>
  <c r="Z85" i="3"/>
  <c r="L89" i="3"/>
  <c r="N109" i="3"/>
  <c r="Z117" i="3"/>
  <c r="Z122" i="3"/>
  <c r="L131" i="3"/>
  <c r="N223" i="3"/>
  <c r="N232" i="3"/>
  <c r="N234" i="3"/>
  <c r="N236" i="3"/>
  <c r="N261" i="3"/>
  <c r="L302" i="3"/>
  <c r="J24" i="9"/>
  <c r="J45" i="9"/>
  <c r="X60" i="9"/>
  <c r="Z60" i="9" s="1"/>
  <c r="Z72" i="9"/>
  <c r="X72" i="9"/>
  <c r="D91" i="9"/>
  <c r="X34" i="12"/>
  <c r="Z57" i="12"/>
  <c r="L59" i="12"/>
  <c r="J141" i="12"/>
  <c r="J209" i="12"/>
  <c r="L205" i="15"/>
  <c r="N205" i="15" s="1"/>
  <c r="Z254" i="3"/>
  <c r="X191" i="12"/>
  <c r="Z191" i="12" s="1"/>
  <c r="J261" i="12"/>
  <c r="Z62" i="3"/>
  <c r="N79" i="3"/>
  <c r="X92" i="3"/>
  <c r="Z92" i="3" s="1"/>
  <c r="Z210" i="3"/>
  <c r="Z271" i="3"/>
  <c r="X271" i="3"/>
  <c r="X287" i="3"/>
  <c r="Z287" i="3" s="1"/>
  <c r="N302" i="3"/>
  <c r="D16" i="6"/>
  <c r="P12" i="12"/>
  <c r="X13" i="12"/>
  <c r="Z34" i="12"/>
  <c r="X90" i="12"/>
  <c r="J186" i="12"/>
  <c r="Z199" i="12"/>
  <c r="X199" i="12"/>
  <c r="L23" i="18"/>
  <c r="N23" i="18"/>
  <c r="Z248" i="3"/>
  <c r="X32" i="3"/>
  <c r="Z32" i="3" s="1"/>
  <c r="N37" i="3"/>
  <c r="Z114" i="3"/>
  <c r="X119" i="3"/>
  <c r="Z119" i="3" s="1"/>
  <c r="Z234" i="3"/>
  <c r="J73" i="9"/>
  <c r="J61" i="9"/>
  <c r="J51" i="9"/>
  <c r="J39" i="9"/>
  <c r="J29" i="9"/>
  <c r="J25" i="9"/>
  <c r="J21" i="9"/>
  <c r="J74" i="9"/>
  <c r="J52" i="9"/>
  <c r="J40" i="9"/>
  <c r="J87" i="9"/>
  <c r="J79" i="9"/>
  <c r="J75" i="9"/>
  <c r="J67" i="9"/>
  <c r="J53" i="9"/>
  <c r="J41" i="9"/>
  <c r="J35" i="9"/>
  <c r="J80" i="9"/>
  <c r="J62" i="9"/>
  <c r="J54" i="9"/>
  <c r="J42" i="9"/>
  <c r="J30" i="9"/>
  <c r="J26" i="9"/>
  <c r="J22" i="9"/>
  <c r="J91" i="9"/>
  <c r="J89" i="9"/>
  <c r="J81" i="9"/>
  <c r="J43" i="9"/>
  <c r="J31" i="9"/>
  <c r="J76" i="9"/>
  <c r="J68" i="9"/>
  <c r="J44" i="9"/>
  <c r="J36" i="9"/>
  <c r="J32" i="9"/>
  <c r="N12" i="9"/>
  <c r="J98" i="9"/>
  <c r="J95" i="9"/>
  <c r="J83" i="9"/>
  <c r="J77" i="9"/>
  <c r="J57" i="9"/>
  <c r="J47" i="9"/>
  <c r="J37" i="9"/>
  <c r="J33" i="9"/>
  <c r="J19" i="9"/>
  <c r="J85" i="9"/>
  <c r="J71" i="9"/>
  <c r="J65" i="9"/>
  <c r="J59" i="9"/>
  <c r="J49" i="9"/>
  <c r="H16" i="9"/>
  <c r="L16" i="9" s="1"/>
  <c r="J86" i="9"/>
  <c r="J78" i="9"/>
  <c r="J72" i="9"/>
  <c r="J66" i="9"/>
  <c r="J60" i="9"/>
  <c r="J50" i="9"/>
  <c r="J38" i="9"/>
  <c r="J34" i="9"/>
  <c r="Z16" i="9"/>
  <c r="T91" i="9"/>
  <c r="Z45" i="9"/>
  <c r="N69" i="9"/>
  <c r="T12" i="12"/>
  <c r="Z13" i="12"/>
  <c r="Z19" i="12"/>
  <c r="N67" i="12"/>
  <c r="Z90" i="12"/>
  <c r="Z40" i="15"/>
  <c r="N127" i="3"/>
  <c r="Z278" i="18"/>
  <c r="X278" i="18"/>
  <c r="N77" i="3"/>
  <c r="X35" i="3"/>
  <c r="Z35" i="3" s="1"/>
  <c r="Z49" i="3"/>
  <c r="L40" i="3"/>
  <c r="N40" i="3" s="1"/>
  <c r="Z41" i="3"/>
  <c r="L43" i="3"/>
  <c r="N43" i="3" s="1"/>
  <c r="X46" i="3"/>
  <c r="Z46" i="3" s="1"/>
  <c r="Z54" i="3"/>
  <c r="L66" i="3"/>
  <c r="L71" i="3"/>
  <c r="N71" i="3" s="1"/>
  <c r="X74" i="3"/>
  <c r="Z77" i="3"/>
  <c r="Z82" i="3"/>
  <c r="L91" i="3"/>
  <c r="N91" i="3" s="1"/>
  <c r="L101" i="3"/>
  <c r="X104" i="3"/>
  <c r="Z104" i="3" s="1"/>
  <c r="L106" i="3"/>
  <c r="N106" i="3" s="1"/>
  <c r="Z109" i="3"/>
  <c r="L113" i="3"/>
  <c r="N113" i="3" s="1"/>
  <c r="L218" i="3"/>
  <c r="N244" i="3"/>
  <c r="L248" i="3"/>
  <c r="N248" i="3" s="1"/>
  <c r="Z261" i="3"/>
  <c r="L284" i="3"/>
  <c r="X297" i="3"/>
  <c r="Z297" i="3" s="1"/>
  <c r="Z307" i="3"/>
  <c r="L12" i="9"/>
  <c r="N56" i="9"/>
  <c r="J69" i="9"/>
  <c r="Z17" i="12"/>
  <c r="X21" i="12"/>
  <c r="N25" i="12"/>
  <c r="X52" i="12"/>
  <c r="Z52" i="12" s="1"/>
  <c r="Z103" i="12"/>
  <c r="X103" i="12"/>
  <c r="L107" i="12"/>
  <c r="N166" i="12"/>
  <c r="N47" i="3"/>
  <c r="Z70" i="3"/>
  <c r="N53" i="3"/>
  <c r="X56" i="3"/>
  <c r="Z56" i="3" s="1"/>
  <c r="Z74" i="3"/>
  <c r="N81" i="3"/>
  <c r="X84" i="3"/>
  <c r="Z84" i="3" s="1"/>
  <c r="N101" i="3"/>
  <c r="X116" i="3"/>
  <c r="Z116" i="3" s="1"/>
  <c r="N218" i="3"/>
  <c r="N220" i="3"/>
  <c r="Z238" i="3"/>
  <c r="N284" i="3"/>
  <c r="J16" i="9"/>
  <c r="J46" i="9"/>
  <c r="X51" i="9"/>
  <c r="Z51" i="9" s="1"/>
  <c r="J56" i="9"/>
  <c r="J63" i="9"/>
  <c r="J93" i="9"/>
  <c r="N16" i="12"/>
  <c r="Z21" i="12"/>
  <c r="N29" i="12"/>
  <c r="Z67" i="12"/>
  <c r="X67" i="12"/>
  <c r="Z105" i="12"/>
  <c r="J166" i="12"/>
  <c r="Z101" i="15"/>
  <c r="Z105" i="15"/>
  <c r="T16" i="6"/>
  <c r="F16" i="9"/>
  <c r="F18" i="9"/>
  <c r="V22" i="9"/>
  <c r="V26" i="9"/>
  <c r="V30" i="9"/>
  <c r="R35" i="9"/>
  <c r="V42" i="9"/>
  <c r="V54" i="9"/>
  <c r="F58" i="9"/>
  <c r="F59" i="9"/>
  <c r="V62" i="9"/>
  <c r="R67" i="9"/>
  <c r="F71" i="9"/>
  <c r="R75" i="9"/>
  <c r="R79" i="9"/>
  <c r="R80" i="9"/>
  <c r="R87" i="9"/>
  <c r="N34" i="12"/>
  <c r="N39" i="12"/>
  <c r="N47" i="12"/>
  <c r="Z63" i="12"/>
  <c r="X68" i="12"/>
  <c r="N75" i="12"/>
  <c r="Z81" i="12"/>
  <c r="N85" i="12"/>
  <c r="X106" i="12"/>
  <c r="Z106" i="12" s="1"/>
  <c r="Z201" i="12"/>
  <c r="Z203" i="12"/>
  <c r="X214" i="12"/>
  <c r="Z73" i="15"/>
  <c r="Z77" i="15"/>
  <c r="L211" i="15"/>
  <c r="N211" i="15" s="1"/>
  <c r="D100" i="21"/>
  <c r="L26" i="21"/>
  <c r="N76" i="21"/>
  <c r="L76" i="21"/>
  <c r="L297" i="3"/>
  <c r="V14" i="6"/>
  <c r="V16" i="6"/>
  <c r="V18" i="6"/>
  <c r="V20" i="6"/>
  <c r="V22" i="6"/>
  <c r="F26" i="6"/>
  <c r="F28" i="6"/>
  <c r="F29" i="6"/>
  <c r="F19" i="9"/>
  <c r="F20" i="9"/>
  <c r="F24" i="9"/>
  <c r="F28" i="9"/>
  <c r="V31" i="9"/>
  <c r="V35" i="9"/>
  <c r="R40" i="9"/>
  <c r="R41" i="9"/>
  <c r="V43" i="9"/>
  <c r="F47" i="9"/>
  <c r="F48" i="9"/>
  <c r="R52" i="9"/>
  <c r="R53" i="9"/>
  <c r="F64" i="9"/>
  <c r="V67" i="9"/>
  <c r="V75" i="9"/>
  <c r="V79" i="9"/>
  <c r="F83" i="9"/>
  <c r="F84" i="9"/>
  <c r="V87" i="9"/>
  <c r="V89" i="9"/>
  <c r="V91" i="9"/>
  <c r="F95" i="9"/>
  <c r="F98" i="9"/>
  <c r="N57" i="12"/>
  <c r="Z58" i="12"/>
  <c r="Z68" i="12"/>
  <c r="X78" i="12"/>
  <c r="Z78" i="12" s="1"/>
  <c r="Z83" i="12"/>
  <c r="X88" i="12"/>
  <c r="Z88" i="12" s="1"/>
  <c r="N105" i="12"/>
  <c r="Z193" i="12"/>
  <c r="Z214" i="12"/>
  <c r="Z225" i="12"/>
  <c r="Z16" i="15"/>
  <c r="Z22" i="15"/>
  <c r="Z81" i="15"/>
  <c r="Z85" i="15"/>
  <c r="X28" i="18"/>
  <c r="P12" i="18"/>
  <c r="J98" i="21"/>
  <c r="J78" i="21"/>
  <c r="J60" i="21"/>
  <c r="J50" i="21"/>
  <c r="J42" i="21"/>
  <c r="J89" i="21"/>
  <c r="J85" i="21"/>
  <c r="J61" i="21"/>
  <c r="J51" i="21"/>
  <c r="J37" i="21"/>
  <c r="J33" i="21"/>
  <c r="J102" i="21"/>
  <c r="J72" i="21"/>
  <c r="J62" i="21"/>
  <c r="J52" i="21"/>
  <c r="J38" i="21"/>
  <c r="J24" i="21"/>
  <c r="J79" i="21"/>
  <c r="J63" i="21"/>
  <c r="J43" i="21"/>
  <c r="J39" i="21"/>
  <c r="J29" i="21"/>
  <c r="J90" i="21"/>
  <c r="J86" i="21"/>
  <c r="J64" i="21"/>
  <c r="J34" i="21"/>
  <c r="J30" i="21"/>
  <c r="J28" i="21"/>
  <c r="J91" i="21"/>
  <c r="J73" i="21"/>
  <c r="J65" i="21"/>
  <c r="J53" i="21"/>
  <c r="H26" i="21"/>
  <c r="J26" i="21" s="1"/>
  <c r="J92" i="21"/>
  <c r="J80" i="21"/>
  <c r="J74" i="21"/>
  <c r="J66" i="21"/>
  <c r="J54" i="21"/>
  <c r="J44" i="21"/>
  <c r="J40" i="21"/>
  <c r="J94" i="21"/>
  <c r="J82" i="21"/>
  <c r="J76" i="21"/>
  <c r="J68" i="21"/>
  <c r="J56" i="21"/>
  <c r="J46" i="21"/>
  <c r="J96" i="21"/>
  <c r="J88" i="21"/>
  <c r="J84" i="21"/>
  <c r="J70" i="21"/>
  <c r="J58" i="21"/>
  <c r="J48" i="21"/>
  <c r="J36" i="21"/>
  <c r="J32" i="21"/>
  <c r="J22" i="21"/>
  <c r="J71" i="21"/>
  <c r="J59" i="21"/>
  <c r="J49" i="21"/>
  <c r="J23" i="21"/>
  <c r="J41" i="21"/>
  <c r="J31" i="21"/>
  <c r="J47" i="21"/>
  <c r="J75" i="21"/>
  <c r="J45" i="21"/>
  <c r="J77" i="21"/>
  <c r="J35" i="21"/>
  <c r="J83" i="21"/>
  <c r="J67" i="21"/>
  <c r="J81" i="21"/>
  <c r="J69" i="21"/>
  <c r="J95" i="21"/>
  <c r="J87" i="21"/>
  <c r="J55" i="21"/>
  <c r="J93" i="21"/>
  <c r="J26" i="6"/>
  <c r="J28" i="6"/>
  <c r="J29" i="6"/>
  <c r="J31" i="6"/>
  <c r="L14" i="9"/>
  <c r="V21" i="9"/>
  <c r="V25" i="9"/>
  <c r="V29" i="9"/>
  <c r="R34" i="9"/>
  <c r="R38" i="9"/>
  <c r="R39" i="9"/>
  <c r="V41" i="9"/>
  <c r="F45" i="9"/>
  <c r="F46" i="9"/>
  <c r="R50" i="9"/>
  <c r="R51" i="9"/>
  <c r="V53" i="9"/>
  <c r="V61" i="9"/>
  <c r="R66" i="9"/>
  <c r="F69" i="9"/>
  <c r="F70" i="9"/>
  <c r="V73" i="9"/>
  <c r="R78" i="9"/>
  <c r="F82" i="9"/>
  <c r="R86" i="9"/>
  <c r="N41" i="12"/>
  <c r="Z42" i="12"/>
  <c r="N49" i="12"/>
  <c r="Z50" i="12"/>
  <c r="Z60" i="12"/>
  <c r="X70" i="12"/>
  <c r="Z70" i="12" s="1"/>
  <c r="Z75" i="12"/>
  <c r="X80" i="12"/>
  <c r="Z80" i="12" s="1"/>
  <c r="N87" i="12"/>
  <c r="Z98" i="12"/>
  <c r="Z108" i="12"/>
  <c r="N186" i="12"/>
  <c r="Z208" i="12"/>
  <c r="N235" i="12"/>
  <c r="N263" i="12"/>
  <c r="D12" i="15"/>
  <c r="Z50" i="15"/>
  <c r="Z54" i="15"/>
  <c r="Z97" i="15"/>
  <c r="N86" i="24"/>
  <c r="H16" i="6"/>
  <c r="R14" i="9"/>
  <c r="R16" i="9"/>
  <c r="R18" i="9"/>
  <c r="V20" i="9"/>
  <c r="V24" i="9"/>
  <c r="V28" i="9"/>
  <c r="R33" i="9"/>
  <c r="R37" i="9"/>
  <c r="V48" i="9"/>
  <c r="R57" i="9"/>
  <c r="R58" i="9"/>
  <c r="V60" i="9"/>
  <c r="V64" i="9"/>
  <c r="V72" i="9"/>
  <c r="R77" i="9"/>
  <c r="F80" i="9"/>
  <c r="F81" i="9"/>
  <c r="V84" i="9"/>
  <c r="N35" i="12"/>
  <c r="Z36" i="12"/>
  <c r="N43" i="12"/>
  <c r="Z44" i="12"/>
  <c r="N61" i="12"/>
  <c r="Z62" i="12"/>
  <c r="Z72" i="12"/>
  <c r="X82" i="12"/>
  <c r="Z87" i="12"/>
  <c r="X92" i="12"/>
  <c r="N110" i="12"/>
  <c r="X166" i="12"/>
  <c r="Z166" i="12" s="1"/>
  <c r="Z186" i="12"/>
  <c r="N238" i="12"/>
  <c r="Z17" i="15"/>
  <c r="Z21" i="15"/>
  <c r="Z64" i="15"/>
  <c r="Z66" i="15"/>
  <c r="Z191" i="15"/>
  <c r="Z256" i="15"/>
  <c r="J14" i="6"/>
  <c r="J16" i="6"/>
  <c r="J18" i="6"/>
  <c r="J20" i="6"/>
  <c r="J22" i="6"/>
  <c r="R19" i="9"/>
  <c r="R46" i="9"/>
  <c r="R47" i="9"/>
  <c r="R70" i="9"/>
  <c r="R82" i="9"/>
  <c r="R83" i="9"/>
  <c r="R95" i="9"/>
  <c r="R98" i="9"/>
  <c r="Z82" i="12"/>
  <c r="Z92" i="12"/>
  <c r="N205" i="12"/>
  <c r="L205" i="12"/>
  <c r="Z72" i="15"/>
  <c r="N196" i="15"/>
  <c r="Z19" i="18"/>
  <c r="X19" i="18"/>
  <c r="J57" i="21"/>
  <c r="V14" i="9"/>
  <c r="V16" i="9"/>
  <c r="V18" i="9"/>
  <c r="R23" i="9"/>
  <c r="R27" i="9"/>
  <c r="F35" i="9"/>
  <c r="V46" i="9"/>
  <c r="R55" i="9"/>
  <c r="R56" i="9"/>
  <c r="V58" i="9"/>
  <c r="R63" i="9"/>
  <c r="F67" i="9"/>
  <c r="V70" i="9"/>
  <c r="F74" i="9"/>
  <c r="F75" i="9"/>
  <c r="F79" i="9"/>
  <c r="V82" i="9"/>
  <c r="F87" i="9"/>
  <c r="R93" i="9"/>
  <c r="X38" i="12"/>
  <c r="X46" i="12"/>
  <c r="N53" i="12"/>
  <c r="Z54" i="12"/>
  <c r="X59" i="12"/>
  <c r="Z59" i="12" s="1"/>
  <c r="Z64" i="12"/>
  <c r="L71" i="12"/>
  <c r="X74" i="12"/>
  <c r="Z79" i="12"/>
  <c r="X84" i="12"/>
  <c r="N91" i="12"/>
  <c r="Z102" i="12"/>
  <c r="X107" i="12"/>
  <c r="Z107" i="12" s="1"/>
  <c r="X110" i="12"/>
  <c r="N220" i="12"/>
  <c r="L229" i="12"/>
  <c r="N229" i="12" s="1"/>
  <c r="N262" i="12"/>
  <c r="Z53" i="15"/>
  <c r="Z78" i="15"/>
  <c r="Z82" i="15"/>
  <c r="N173" i="15"/>
  <c r="Z97" i="18"/>
  <c r="R32" i="9"/>
  <c r="R36" i="9"/>
  <c r="R44" i="9"/>
  <c r="R45" i="9"/>
  <c r="R68" i="9"/>
  <c r="R69" i="9"/>
  <c r="R76" i="9"/>
  <c r="N37" i="12"/>
  <c r="Z38" i="12"/>
  <c r="N45" i="12"/>
  <c r="Z46" i="12"/>
  <c r="Z51" i="12"/>
  <c r="X56" i="12"/>
  <c r="N73" i="12"/>
  <c r="Z74" i="12"/>
  <c r="Z84" i="12"/>
  <c r="X94" i="12"/>
  <c r="Z94" i="12" s="1"/>
  <c r="Z99" i="12"/>
  <c r="X104" i="12"/>
  <c r="Z110" i="12"/>
  <c r="T258" i="12"/>
  <c r="Z57" i="15"/>
  <c r="R81" i="9"/>
  <c r="Z56" i="12"/>
  <c r="N93" i="12"/>
  <c r="Z104" i="12"/>
  <c r="N167" i="12"/>
  <c r="X173" i="15"/>
  <c r="Z173" i="15" s="1"/>
  <c r="N255" i="15"/>
  <c r="X65" i="18"/>
  <c r="Z65" i="18"/>
  <c r="X117" i="24"/>
  <c r="Z117" i="24"/>
  <c r="R22" i="9"/>
  <c r="R26" i="9"/>
  <c r="R30" i="9"/>
  <c r="R31" i="9"/>
  <c r="F34" i="9"/>
  <c r="F38" i="9"/>
  <c r="R42" i="9"/>
  <c r="R43" i="9"/>
  <c r="V45" i="9"/>
  <c r="F49" i="9"/>
  <c r="F50" i="9"/>
  <c r="R54" i="9"/>
  <c r="R62" i="9"/>
  <c r="F65" i="9"/>
  <c r="F66" i="9"/>
  <c r="V69" i="9"/>
  <c r="F78" i="9"/>
  <c r="F85" i="9"/>
  <c r="R89" i="9"/>
  <c r="X40" i="12"/>
  <c r="Z40" i="12" s="1"/>
  <c r="X48" i="12"/>
  <c r="Z48" i="12" s="1"/>
  <c r="N55" i="12"/>
  <c r="N65" i="12"/>
  <c r="Z66" i="12"/>
  <c r="X71" i="12"/>
  <c r="Z71" i="12" s="1"/>
  <c r="Z76" i="12"/>
  <c r="X86" i="12"/>
  <c r="Z86" i="12" s="1"/>
  <c r="Z91" i="12"/>
  <c r="X96" i="12"/>
  <c r="Z96" i="12" s="1"/>
  <c r="L208" i="12"/>
  <c r="N208" i="12" s="1"/>
  <c r="N225" i="12"/>
  <c r="Z65" i="15"/>
  <c r="Z69" i="15"/>
  <c r="Z98" i="15"/>
  <c r="Z100" i="15"/>
  <c r="Z102" i="15"/>
  <c r="Z104" i="15"/>
  <c r="H12" i="15"/>
  <c r="V174" i="15"/>
  <c r="V178" i="15"/>
  <c r="V186" i="15"/>
  <c r="Z188" i="15"/>
  <c r="V194" i="15"/>
  <c r="Z196" i="15"/>
  <c r="V202" i="15"/>
  <c r="V203" i="15"/>
  <c r="V209" i="15"/>
  <c r="V213" i="15"/>
  <c r="V215" i="15"/>
  <c r="V223" i="15"/>
  <c r="V228" i="15"/>
  <c r="V239" i="15"/>
  <c r="V253" i="15"/>
  <c r="N256" i="15"/>
  <c r="V258" i="15"/>
  <c r="V263" i="15"/>
  <c r="N19" i="18"/>
  <c r="Z24" i="18"/>
  <c r="N35" i="18"/>
  <c r="Z44" i="18"/>
  <c r="Z46" i="18"/>
  <c r="N67" i="18"/>
  <c r="Z76" i="18"/>
  <c r="Z78" i="18"/>
  <c r="X93" i="18"/>
  <c r="Z93" i="18" s="1"/>
  <c r="N97" i="18"/>
  <c r="N99" i="18"/>
  <c r="Z108" i="18"/>
  <c r="Z211" i="18"/>
  <c r="Z272" i="18"/>
  <c r="T275" i="18"/>
  <c r="Z281" i="18"/>
  <c r="Z45" i="21"/>
  <c r="F91" i="21"/>
  <c r="Z13" i="24"/>
  <c r="X13" i="24"/>
  <c r="T12" i="24"/>
  <c r="L29" i="24"/>
  <c r="N29" i="24" s="1"/>
  <c r="V107" i="15"/>
  <c r="V111" i="15"/>
  <c r="V115" i="15"/>
  <c r="V119" i="15"/>
  <c r="V123" i="15"/>
  <c r="V127" i="15"/>
  <c r="V131" i="15"/>
  <c r="V135" i="15"/>
  <c r="V139" i="15"/>
  <c r="V143" i="15"/>
  <c r="V147" i="15"/>
  <c r="V151" i="15"/>
  <c r="V155" i="15"/>
  <c r="V208" i="15"/>
  <c r="D250" i="15"/>
  <c r="L250" i="15" s="1"/>
  <c r="T250" i="15"/>
  <c r="L255" i="15"/>
  <c r="Z48" i="18"/>
  <c r="Z80" i="18"/>
  <c r="X97" i="18"/>
  <c r="L268" i="18"/>
  <c r="N268" i="18" s="1"/>
  <c r="N22" i="21"/>
  <c r="F44" i="21"/>
  <c r="Z54" i="21"/>
  <c r="N66" i="21"/>
  <c r="Z70" i="21"/>
  <c r="N91" i="21"/>
  <c r="X33" i="24"/>
  <c r="Z33" i="24" s="1"/>
  <c r="D258" i="12"/>
  <c r="P12" i="15"/>
  <c r="V173" i="15"/>
  <c r="V177" i="15"/>
  <c r="V201" i="15"/>
  <c r="L218" i="15"/>
  <c r="N218" i="15" s="1"/>
  <c r="V233" i="15"/>
  <c r="V244" i="15"/>
  <c r="H250" i="15"/>
  <c r="P250" i="15"/>
  <c r="X250" i="15" s="1"/>
  <c r="X251" i="15"/>
  <c r="Z251" i="15" s="1"/>
  <c r="V257" i="15"/>
  <c r="Z28" i="18"/>
  <c r="Z84" i="18"/>
  <c r="X105" i="18"/>
  <c r="Z105" i="18" s="1"/>
  <c r="Z116" i="18"/>
  <c r="Z118" i="18"/>
  <c r="X186" i="18"/>
  <c r="Z198" i="18"/>
  <c r="Z216" i="18"/>
  <c r="N282" i="18"/>
  <c r="N15" i="21"/>
  <c r="N19" i="21"/>
  <c r="L22" i="24"/>
  <c r="N22" i="24" s="1"/>
  <c r="D12" i="24"/>
  <c r="V259" i="15"/>
  <c r="V225" i="15"/>
  <c r="V256" i="15"/>
  <c r="V238" i="15"/>
  <c r="V226" i="15"/>
  <c r="V222" i="15"/>
  <c r="V252" i="15"/>
  <c r="V246" i="15"/>
  <c r="V234" i="15"/>
  <c r="V230" i="15"/>
  <c r="V218" i="15"/>
  <c r="V250" i="15"/>
  <c r="V248" i="15"/>
  <c r="V240" i="15"/>
  <c r="V224" i="15"/>
  <c r="V212" i="15"/>
  <c r="V243" i="15"/>
  <c r="V235" i="15"/>
  <c r="V231" i="15"/>
  <c r="V219" i="15"/>
  <c r="V110" i="15"/>
  <c r="V114" i="15"/>
  <c r="V118" i="15"/>
  <c r="V122" i="15"/>
  <c r="V126" i="15"/>
  <c r="V130" i="15"/>
  <c r="V134" i="15"/>
  <c r="V138" i="15"/>
  <c r="V142" i="15"/>
  <c r="V146" i="15"/>
  <c r="V150" i="15"/>
  <c r="V154" i="15"/>
  <c r="V182" i="15"/>
  <c r="V190" i="15"/>
  <c r="V247" i="15"/>
  <c r="Z56" i="18"/>
  <c r="Z120" i="18"/>
  <c r="Z186" i="18"/>
  <c r="P275" i="18"/>
  <c r="X275" i="18" s="1"/>
  <c r="X280" i="18"/>
  <c r="Z280" i="18" s="1"/>
  <c r="N74" i="21"/>
  <c r="H258" i="12"/>
  <c r="X16" i="15"/>
  <c r="X20" i="15"/>
  <c r="Z20" i="15" s="1"/>
  <c r="X24" i="15"/>
  <c r="Z24" i="15" s="1"/>
  <c r="X28" i="15"/>
  <c r="Z28" i="15" s="1"/>
  <c r="X32" i="15"/>
  <c r="Z32" i="15" s="1"/>
  <c r="X36" i="15"/>
  <c r="Z36" i="15" s="1"/>
  <c r="X40" i="15"/>
  <c r="X44" i="15"/>
  <c r="Z44" i="15" s="1"/>
  <c r="X48" i="15"/>
  <c r="Z48" i="15" s="1"/>
  <c r="X52" i="15"/>
  <c r="Z52" i="15" s="1"/>
  <c r="X56" i="15"/>
  <c r="Z56" i="15" s="1"/>
  <c r="X60" i="15"/>
  <c r="Z60" i="15" s="1"/>
  <c r="X64" i="15"/>
  <c r="X68" i="15"/>
  <c r="X72" i="15"/>
  <c r="X76" i="15"/>
  <c r="Z76" i="15" s="1"/>
  <c r="X80" i="15"/>
  <c r="Z80" i="15" s="1"/>
  <c r="X84" i="15"/>
  <c r="Z84" i="15" s="1"/>
  <c r="X88" i="15"/>
  <c r="Z88" i="15" s="1"/>
  <c r="V163" i="15"/>
  <c r="V167" i="15"/>
  <c r="V171" i="15"/>
  <c r="V183" i="15"/>
  <c r="V191" i="15"/>
  <c r="V199" i="15"/>
  <c r="L209" i="15"/>
  <c r="N209" i="15" s="1"/>
  <c r="V241" i="15"/>
  <c r="V251" i="15"/>
  <c r="Z14" i="18"/>
  <c r="Z23" i="18"/>
  <c r="Z30" i="18"/>
  <c r="Z41" i="18"/>
  <c r="N49" i="18"/>
  <c r="N51" i="18"/>
  <c r="Z58" i="18"/>
  <c r="Z73" i="18"/>
  <c r="N81" i="18"/>
  <c r="Z88" i="18"/>
  <c r="N111" i="18"/>
  <c r="Z122" i="18"/>
  <c r="N225" i="18"/>
  <c r="N234" i="18"/>
  <c r="Z252" i="18"/>
  <c r="N284" i="18"/>
  <c r="Z285" i="18"/>
  <c r="Z15" i="21"/>
  <c r="Z19" i="21"/>
  <c r="N28" i="21"/>
  <c r="L124" i="24"/>
  <c r="N124" i="24" s="1"/>
  <c r="X110" i="27"/>
  <c r="Z110" i="27" s="1"/>
  <c r="T159" i="15"/>
  <c r="V159" i="15" s="1"/>
  <c r="V176" i="15"/>
  <c r="V180" i="15"/>
  <c r="V200" i="15"/>
  <c r="V206" i="15"/>
  <c r="V207" i="15"/>
  <c r="V214" i="15"/>
  <c r="V216" i="15"/>
  <c r="Z227" i="15"/>
  <c r="V229" i="15"/>
  <c r="N243" i="15"/>
  <c r="N254" i="15"/>
  <c r="L13" i="18"/>
  <c r="D12" i="18"/>
  <c r="Z16" i="18"/>
  <c r="Z32" i="18"/>
  <c r="N55" i="18"/>
  <c r="N83" i="18"/>
  <c r="Z90" i="18"/>
  <c r="N100" i="18"/>
  <c r="N115" i="18"/>
  <c r="Z206" i="18"/>
  <c r="X208" i="18"/>
  <c r="Z208" i="18" s="1"/>
  <c r="N230" i="18"/>
  <c r="X234" i="18"/>
  <c r="Z234" i="18" s="1"/>
  <c r="Z236" i="18"/>
  <c r="Z266" i="18"/>
  <c r="Z282" i="18"/>
  <c r="L284" i="18"/>
  <c r="T12" i="21"/>
  <c r="Z13" i="21"/>
  <c r="X13" i="21"/>
  <c r="Z17" i="21"/>
  <c r="X17" i="21"/>
  <c r="F40" i="21"/>
  <c r="F45" i="21"/>
  <c r="Z74" i="21"/>
  <c r="F92" i="21"/>
  <c r="Z42" i="24"/>
  <c r="X42" i="24"/>
  <c r="V109" i="15"/>
  <c r="V113" i="15"/>
  <c r="V117" i="15"/>
  <c r="V121" i="15"/>
  <c r="V125" i="15"/>
  <c r="V129" i="15"/>
  <c r="V133" i="15"/>
  <c r="V137" i="15"/>
  <c r="V141" i="15"/>
  <c r="V145" i="15"/>
  <c r="V149" i="15"/>
  <c r="V153" i="15"/>
  <c r="V157" i="15"/>
  <c r="V161" i="15"/>
  <c r="V181" i="15"/>
  <c r="V189" i="15"/>
  <c r="V197" i="15"/>
  <c r="V211" i="15"/>
  <c r="N213" i="15"/>
  <c r="V221" i="15"/>
  <c r="V227" i="15"/>
  <c r="V232" i="15"/>
  <c r="V237" i="15"/>
  <c r="X243" i="15"/>
  <c r="Z243" i="15" s="1"/>
  <c r="V255" i="15"/>
  <c r="H12" i="18"/>
  <c r="Z92" i="18"/>
  <c r="X113" i="18"/>
  <c r="Z113" i="18" s="1"/>
  <c r="Z28" i="21"/>
  <c r="X20" i="24"/>
  <c r="Z20" i="24" s="1"/>
  <c r="Z82" i="27"/>
  <c r="X82" i="27"/>
  <c r="V162" i="15"/>
  <c r="V166" i="15"/>
  <c r="V170" i="15"/>
  <c r="V198" i="15"/>
  <c r="V204" i="15"/>
  <c r="V210" i="15"/>
  <c r="L252" i="15"/>
  <c r="Z27" i="18"/>
  <c r="Z34" i="18"/>
  <c r="Z49" i="18"/>
  <c r="N57" i="18"/>
  <c r="Z64" i="18"/>
  <c r="Z66" i="18"/>
  <c r="Z81" i="18"/>
  <c r="X85" i="18"/>
  <c r="Z85" i="18" s="1"/>
  <c r="N87" i="18"/>
  <c r="Z96" i="18"/>
  <c r="Z98" i="18"/>
  <c r="X117" i="18"/>
  <c r="Z117" i="18" s="1"/>
  <c r="N228" i="18"/>
  <c r="Z232" i="18"/>
  <c r="Z284" i="18"/>
  <c r="Z62" i="21"/>
  <c r="Z81" i="21"/>
  <c r="Z30" i="24"/>
  <c r="V175" i="15"/>
  <c r="V179" i="15"/>
  <c r="V187" i="15"/>
  <c r="V195" i="15"/>
  <c r="V205" i="15"/>
  <c r="Z254" i="15"/>
  <c r="T12" i="18"/>
  <c r="X13" i="18"/>
  <c r="Z20" i="18"/>
  <c r="Z36" i="18"/>
  <c r="Z68" i="18"/>
  <c r="Z100" i="18"/>
  <c r="L276" i="18"/>
  <c r="D275" i="18"/>
  <c r="F71" i="21"/>
  <c r="F70" i="21"/>
  <c r="F59" i="21"/>
  <c r="F58" i="21"/>
  <c r="F23" i="21"/>
  <c r="F22" i="21"/>
  <c r="F78" i="21"/>
  <c r="F50" i="21"/>
  <c r="F49" i="21"/>
  <c r="F42" i="21"/>
  <c r="F100" i="21"/>
  <c r="F98" i="21"/>
  <c r="F89" i="21"/>
  <c r="F85" i="21"/>
  <c r="F61" i="21"/>
  <c r="F60" i="21"/>
  <c r="F37" i="21"/>
  <c r="F33" i="21"/>
  <c r="F102" i="21"/>
  <c r="F72" i="21"/>
  <c r="F52" i="21"/>
  <c r="F51" i="21"/>
  <c r="F24" i="21"/>
  <c r="F79" i="21"/>
  <c r="F63" i="21"/>
  <c r="F62" i="21"/>
  <c r="F43" i="21"/>
  <c r="F39" i="21"/>
  <c r="F38" i="21"/>
  <c r="F90" i="21"/>
  <c r="F86" i="21"/>
  <c r="F34" i="21"/>
  <c r="F30" i="21"/>
  <c r="F29" i="21"/>
  <c r="F107" i="21"/>
  <c r="F104" i="21"/>
  <c r="F73" i="21"/>
  <c r="F65" i="21"/>
  <c r="F64" i="21"/>
  <c r="F53" i="21"/>
  <c r="F28" i="21"/>
  <c r="F26" i="21"/>
  <c r="F87" i="21"/>
  <c r="F75" i="21"/>
  <c r="F74" i="21"/>
  <c r="F67" i="21"/>
  <c r="F66" i="21"/>
  <c r="F55" i="21"/>
  <c r="F54" i="21"/>
  <c r="F35" i="21"/>
  <c r="F31" i="21"/>
  <c r="F77" i="21"/>
  <c r="F76" i="21"/>
  <c r="F69" i="21"/>
  <c r="F68" i="21"/>
  <c r="F57" i="21"/>
  <c r="F56" i="21"/>
  <c r="F41" i="21"/>
  <c r="F96" i="21"/>
  <c r="F95" i="21"/>
  <c r="F88" i="21"/>
  <c r="F84" i="21"/>
  <c r="F83" i="21"/>
  <c r="F48" i="21"/>
  <c r="F47" i="21"/>
  <c r="F36" i="21"/>
  <c r="F32" i="21"/>
  <c r="N56" i="21"/>
  <c r="F80" i="21"/>
  <c r="Z76" i="24"/>
  <c r="L13" i="15"/>
  <c r="L17" i="15"/>
  <c r="L21" i="15"/>
  <c r="N21" i="15" s="1"/>
  <c r="L25" i="15"/>
  <c r="N25" i="15" s="1"/>
  <c r="L29" i="15"/>
  <c r="N29" i="15" s="1"/>
  <c r="L33" i="15"/>
  <c r="N33" i="15" s="1"/>
  <c r="L37" i="15"/>
  <c r="N37" i="15" s="1"/>
  <c r="L41" i="15"/>
  <c r="N41" i="15" s="1"/>
  <c r="L45" i="15"/>
  <c r="N45" i="15" s="1"/>
  <c r="L49" i="15"/>
  <c r="N49" i="15" s="1"/>
  <c r="L53" i="15"/>
  <c r="L57" i="15"/>
  <c r="L61" i="15"/>
  <c r="N61" i="15" s="1"/>
  <c r="L65" i="15"/>
  <c r="N65" i="15" s="1"/>
  <c r="L69" i="15"/>
  <c r="N69" i="15" s="1"/>
  <c r="L73" i="15"/>
  <c r="L77" i="15"/>
  <c r="L81" i="15"/>
  <c r="L85" i="15"/>
  <c r="N85" i="15" s="1"/>
  <c r="L89" i="15"/>
  <c r="N89" i="15" s="1"/>
  <c r="L93" i="15"/>
  <c r="N93" i="15" s="1"/>
  <c r="V108" i="15"/>
  <c r="V112" i="15"/>
  <c r="V116" i="15"/>
  <c r="V120" i="15"/>
  <c r="V124" i="15"/>
  <c r="V128" i="15"/>
  <c r="V132" i="15"/>
  <c r="V136" i="15"/>
  <c r="V140" i="15"/>
  <c r="V144" i="15"/>
  <c r="V148" i="15"/>
  <c r="V152" i="15"/>
  <c r="V156" i="15"/>
  <c r="V188" i="15"/>
  <c r="V196" i="15"/>
  <c r="L230" i="15"/>
  <c r="N230" i="15" s="1"/>
  <c r="V254" i="15"/>
  <c r="X258" i="15"/>
  <c r="Z258" i="15" s="1"/>
  <c r="Z13" i="18"/>
  <c r="Z29" i="18"/>
  <c r="N33" i="18"/>
  <c r="Z40" i="18"/>
  <c r="Z42" i="18"/>
  <c r="Z72" i="18"/>
  <c r="Z74" i="18"/>
  <c r="X89" i="18"/>
  <c r="Z89" i="18" s="1"/>
  <c r="N91" i="18"/>
  <c r="Z104" i="18"/>
  <c r="Z228" i="18"/>
  <c r="N272" i="18"/>
  <c r="Z286" i="18"/>
  <c r="L12" i="21"/>
  <c r="N12" i="21" s="1"/>
  <c r="L54" i="21"/>
  <c r="N54" i="21" s="1"/>
  <c r="L56" i="21"/>
  <c r="Z60" i="21"/>
  <c r="F82" i="21"/>
  <c r="X76" i="24"/>
  <c r="V165" i="15"/>
  <c r="V169" i="15"/>
  <c r="V185" i="15"/>
  <c r="V193" i="15"/>
  <c r="V217" i="15"/>
  <c r="V220" i="15"/>
  <c r="V236" i="15"/>
  <c r="V242" i="15"/>
  <c r="V245" i="15"/>
  <c r="N247" i="15"/>
  <c r="Z259" i="15"/>
  <c r="Z15" i="18"/>
  <c r="Z31" i="18"/>
  <c r="Z38" i="21"/>
  <c r="N68" i="21"/>
  <c r="F93" i="21"/>
  <c r="L17" i="24"/>
  <c r="N17" i="24" s="1"/>
  <c r="N13" i="18"/>
  <c r="L206" i="18"/>
  <c r="N206" i="18" s="1"/>
  <c r="L280" i="18"/>
  <c r="X286" i="18"/>
  <c r="R24" i="21"/>
  <c r="R29" i="21"/>
  <c r="R52" i="21"/>
  <c r="X66" i="21"/>
  <c r="Z66" i="21" s="1"/>
  <c r="R72" i="21"/>
  <c r="R102" i="21"/>
  <c r="H12" i="24"/>
  <c r="Z16" i="24"/>
  <c r="Z21" i="24"/>
  <c r="X21" i="24"/>
  <c r="Z28" i="24"/>
  <c r="N33" i="24"/>
  <c r="L19" i="27"/>
  <c r="L114" i="27"/>
  <c r="H113" i="27"/>
  <c r="N114" i="27"/>
  <c r="R33" i="21"/>
  <c r="R37" i="21"/>
  <c r="R38" i="21"/>
  <c r="R61" i="21"/>
  <c r="R62" i="21"/>
  <c r="R85" i="21"/>
  <c r="R89" i="21"/>
  <c r="Z18" i="24"/>
  <c r="L86" i="24"/>
  <c r="T12" i="27"/>
  <c r="N19" i="27"/>
  <c r="Z276" i="18"/>
  <c r="R23" i="21"/>
  <c r="R59" i="21"/>
  <c r="R60" i="21"/>
  <c r="R71" i="21"/>
  <c r="R98" i="21"/>
  <c r="Z40" i="24"/>
  <c r="Z45" i="24"/>
  <c r="X45" i="24"/>
  <c r="N101" i="24"/>
  <c r="Z124" i="24"/>
  <c r="Z13" i="27"/>
  <c r="N21" i="27"/>
  <c r="N23" i="27"/>
  <c r="L62" i="27"/>
  <c r="Z63" i="27"/>
  <c r="Z116" i="27"/>
  <c r="X116" i="27"/>
  <c r="H275" i="18"/>
  <c r="R22" i="21"/>
  <c r="R41" i="21"/>
  <c r="R57" i="21"/>
  <c r="R58" i="21"/>
  <c r="R69" i="21"/>
  <c r="R70" i="21"/>
  <c r="R77" i="21"/>
  <c r="Z22" i="24"/>
  <c r="Z86" i="24"/>
  <c r="N94" i="24"/>
  <c r="Z108" i="24"/>
  <c r="N27" i="27"/>
  <c r="N62" i="27"/>
  <c r="L41" i="30"/>
  <c r="L149" i="30"/>
  <c r="R46" i="21"/>
  <c r="R47" i="21"/>
  <c r="R82" i="21"/>
  <c r="R83" i="21"/>
  <c r="R94" i="21"/>
  <c r="R95" i="21"/>
  <c r="Z32" i="24"/>
  <c r="Z37" i="24"/>
  <c r="X37" i="24"/>
  <c r="N96" i="24"/>
  <c r="Z103" i="30"/>
  <c r="L16" i="33"/>
  <c r="N16" i="33" s="1"/>
  <c r="X223" i="18"/>
  <c r="Z223" i="18" s="1"/>
  <c r="X247" i="18"/>
  <c r="Z247" i="18" s="1"/>
  <c r="X263" i="18"/>
  <c r="Z263" i="18" s="1"/>
  <c r="X281" i="18"/>
  <c r="L287" i="18"/>
  <c r="R31" i="21"/>
  <c r="R35" i="21"/>
  <c r="X49" i="21"/>
  <c r="Z49" i="21" s="1"/>
  <c r="R55" i="21"/>
  <c r="R56" i="21"/>
  <c r="R67" i="21"/>
  <c r="R68" i="21"/>
  <c r="R75" i="21"/>
  <c r="R76" i="21"/>
  <c r="R87" i="21"/>
  <c r="L91" i="21"/>
  <c r="X32" i="24"/>
  <c r="Z34" i="24"/>
  <c r="Z44" i="24"/>
  <c r="N77" i="24"/>
  <c r="Z92" i="24"/>
  <c r="N29" i="27"/>
  <c r="N31" i="27"/>
  <c r="N45" i="30"/>
  <c r="X12" i="21"/>
  <c r="R40" i="21"/>
  <c r="R44" i="21"/>
  <c r="R45" i="21"/>
  <c r="R80" i="21"/>
  <c r="R81" i="21"/>
  <c r="R92" i="21"/>
  <c r="R93" i="21"/>
  <c r="P12" i="24"/>
  <c r="X17" i="24"/>
  <c r="Z17" i="24" s="1"/>
  <c r="Z24" i="24"/>
  <c r="X29" i="24"/>
  <c r="Z29" i="24" s="1"/>
  <c r="X44" i="24"/>
  <c r="Z46" i="24"/>
  <c r="X96" i="24"/>
  <c r="Z101" i="24"/>
  <c r="N105" i="24"/>
  <c r="P12" i="27"/>
  <c r="Z39" i="27"/>
  <c r="X39" i="27"/>
  <c r="N127" i="30"/>
  <c r="R53" i="21"/>
  <c r="R54" i="21"/>
  <c r="R65" i="21"/>
  <c r="R66" i="21"/>
  <c r="R73" i="21"/>
  <c r="R74" i="21"/>
  <c r="Z14" i="24"/>
  <c r="Z26" i="24"/>
  <c r="Z96" i="24"/>
  <c r="L24" i="30"/>
  <c r="N24" i="30" s="1"/>
  <c r="L14" i="21"/>
  <c r="N14" i="21" s="1"/>
  <c r="L18" i="21"/>
  <c r="N18" i="21" s="1"/>
  <c r="P26" i="21"/>
  <c r="R30" i="21"/>
  <c r="R34" i="21"/>
  <c r="R86" i="21"/>
  <c r="R90" i="21"/>
  <c r="R91" i="21"/>
  <c r="X14" i="24"/>
  <c r="X26" i="24"/>
  <c r="Z36" i="24"/>
  <c r="L15" i="27"/>
  <c r="X29" i="27"/>
  <c r="Z29" i="27" s="1"/>
  <c r="Z36" i="27"/>
  <c r="D12" i="30"/>
  <c r="L13" i="30"/>
  <c r="N20" i="30"/>
  <c r="L20" i="30"/>
  <c r="R26" i="21"/>
  <c r="R28" i="21"/>
  <c r="R39" i="21"/>
  <c r="R43" i="21"/>
  <c r="R63" i="21"/>
  <c r="R64" i="21"/>
  <c r="R79" i="21"/>
  <c r="X36" i="24"/>
  <c r="Z38" i="24"/>
  <c r="X41" i="24"/>
  <c r="Z41" i="24" s="1"/>
  <c r="N76" i="24"/>
  <c r="H12" i="27"/>
  <c r="N15" i="27"/>
  <c r="L73" i="27"/>
  <c r="N73" i="27" s="1"/>
  <c r="L94" i="27"/>
  <c r="N94" i="27" s="1"/>
  <c r="N13" i="30"/>
  <c r="H12" i="30"/>
  <c r="L86" i="30"/>
  <c r="N86" i="30" s="1"/>
  <c r="Z125" i="24"/>
  <c r="D12" i="27"/>
  <c r="N13" i="27"/>
  <c r="L63" i="27"/>
  <c r="N63" i="27" s="1"/>
  <c r="L48" i="30"/>
  <c r="N48" i="30" s="1"/>
  <c r="X107" i="30"/>
  <c r="Z107" i="30" s="1"/>
  <c r="Z154" i="30"/>
  <c r="N13" i="33"/>
  <c r="H12" i="33"/>
  <c r="L13" i="33"/>
  <c r="Z40" i="27"/>
  <c r="Z80" i="27"/>
  <c r="X89" i="27"/>
  <c r="Z89" i="27" s="1"/>
  <c r="X105" i="27"/>
  <c r="Z105" i="27" s="1"/>
  <c r="N16" i="30"/>
  <c r="L16" i="30"/>
  <c r="L37" i="30"/>
  <c r="N37" i="30" s="1"/>
  <c r="Z44" i="30"/>
  <c r="L52" i="30"/>
  <c r="N52" i="30" s="1"/>
  <c r="V107" i="30"/>
  <c r="Z32" i="27"/>
  <c r="Z85" i="27"/>
  <c r="Z115" i="27"/>
  <c r="P12" i="30"/>
  <c r="X13" i="30"/>
  <c r="L17" i="30"/>
  <c r="Z20" i="30"/>
  <c r="N28" i="30"/>
  <c r="L28" i="30"/>
  <c r="L53" i="30"/>
  <c r="L121" i="30"/>
  <c r="N121" i="30" s="1"/>
  <c r="X127" i="30"/>
  <c r="Z127" i="30" s="1"/>
  <c r="Z94" i="27"/>
  <c r="X94" i="27"/>
  <c r="N51" i="30"/>
  <c r="L130" i="30"/>
  <c r="N130" i="30" s="1"/>
  <c r="X140" i="30"/>
  <c r="Z140" i="30" s="1"/>
  <c r="N147" i="30"/>
  <c r="X35" i="27"/>
  <c r="Z35" i="27" s="1"/>
  <c r="T113" i="27"/>
  <c r="N32" i="30"/>
  <c r="L32" i="30"/>
  <c r="V127" i="30"/>
  <c r="Z149" i="30"/>
  <c r="L157" i="30"/>
  <c r="N93" i="33"/>
  <c r="H88" i="33"/>
  <c r="Z38" i="27"/>
  <c r="Z62" i="27"/>
  <c r="Z73" i="27"/>
  <c r="L92" i="27"/>
  <c r="X114" i="27"/>
  <c r="Z114" i="27" s="1"/>
  <c r="N21" i="30"/>
  <c r="L25" i="30"/>
  <c r="Z130" i="30"/>
  <c r="N137" i="30"/>
  <c r="L137" i="30"/>
  <c r="Z147" i="30"/>
  <c r="T12" i="33"/>
  <c r="L19" i="33"/>
  <c r="N19" i="33" s="1"/>
  <c r="N27" i="33"/>
  <c r="L27" i="33"/>
  <c r="L80" i="27"/>
  <c r="N80" i="27" s="1"/>
  <c r="L113" i="27"/>
  <c r="L29" i="30"/>
  <c r="L36" i="30"/>
  <c r="N36" i="30" s="1"/>
  <c r="Z157" i="30"/>
  <c r="Z34" i="27"/>
  <c r="N116" i="27"/>
  <c r="N40" i="30"/>
  <c r="L40" i="30"/>
  <c r="Z25" i="33"/>
  <c r="X25" i="33"/>
  <c r="L33" i="30"/>
  <c r="Z36" i="30"/>
  <c r="N44" i="30"/>
  <c r="L44" i="30"/>
  <c r="Z137" i="30"/>
  <c r="X17" i="36"/>
  <c r="Z17" i="36" s="1"/>
  <c r="V96" i="30"/>
  <c r="V100" i="30"/>
  <c r="V108" i="30"/>
  <c r="V116" i="30"/>
  <c r="V128" i="30"/>
  <c r="V158" i="30"/>
  <c r="N14" i="33"/>
  <c r="N20" i="33"/>
  <c r="R65" i="33"/>
  <c r="R81" i="33"/>
  <c r="Z94" i="33"/>
  <c r="T12" i="36"/>
  <c r="X13" i="36"/>
  <c r="Z13" i="36" s="1"/>
  <c r="N24" i="36"/>
  <c r="J46" i="36"/>
  <c r="V57" i="30"/>
  <c r="V61" i="30"/>
  <c r="V65" i="30"/>
  <c r="V69" i="30"/>
  <c r="V73" i="30"/>
  <c r="V77" i="30"/>
  <c r="V81" i="30"/>
  <c r="V109" i="30"/>
  <c r="V117" i="30"/>
  <c r="V141" i="30"/>
  <c r="V145" i="30"/>
  <c r="V153" i="30"/>
  <c r="X158" i="30"/>
  <c r="Z158" i="30" s="1"/>
  <c r="V159" i="30"/>
  <c r="D12" i="33"/>
  <c r="X14" i="33"/>
  <c r="Z14" i="33" s="1"/>
  <c r="X20" i="33"/>
  <c r="Z20" i="33" s="1"/>
  <c r="N53" i="33"/>
  <c r="Z81" i="33"/>
  <c r="X89" i="33"/>
  <c r="P88" i="33"/>
  <c r="X88" i="33" s="1"/>
  <c r="Z88" i="33" s="1"/>
  <c r="L93" i="33"/>
  <c r="Z15" i="36"/>
  <c r="P122" i="36"/>
  <c r="N53" i="36"/>
  <c r="L53" i="36"/>
  <c r="Z106" i="36"/>
  <c r="N57" i="33"/>
  <c r="N61" i="33"/>
  <c r="X21" i="36"/>
  <c r="Z21" i="36" s="1"/>
  <c r="V56" i="30"/>
  <c r="V60" i="30"/>
  <c r="V64" i="30"/>
  <c r="V68" i="30"/>
  <c r="V72" i="30"/>
  <c r="V76" i="30"/>
  <c r="V80" i="30"/>
  <c r="V104" i="30"/>
  <c r="V124" i="30"/>
  <c r="V132" i="30"/>
  <c r="V140" i="30"/>
  <c r="V144" i="30"/>
  <c r="V152" i="30"/>
  <c r="N66" i="33"/>
  <c r="Z93" i="33"/>
  <c r="J35" i="36"/>
  <c r="N61" i="36"/>
  <c r="L61" i="36"/>
  <c r="V89" i="30"/>
  <c r="V93" i="30"/>
  <c r="V105" i="30"/>
  <c r="V113" i="30"/>
  <c r="V125" i="30"/>
  <c r="V133" i="30"/>
  <c r="X16" i="33"/>
  <c r="Z16" i="33" s="1"/>
  <c r="L21" i="33"/>
  <c r="Z59" i="33"/>
  <c r="R61" i="33"/>
  <c r="R73" i="33"/>
  <c r="R80" i="33"/>
  <c r="Z119" i="36"/>
  <c r="F100" i="39"/>
  <c r="F99" i="39"/>
  <c r="F88" i="39"/>
  <c r="F95" i="39"/>
  <c r="F79" i="39"/>
  <c r="F78" i="39"/>
  <c r="F71" i="39"/>
  <c r="F70" i="39"/>
  <c r="F118" i="39"/>
  <c r="F110" i="39"/>
  <c r="F106" i="39"/>
  <c r="F62" i="39"/>
  <c r="F30" i="39"/>
  <c r="F29" i="39"/>
  <c r="F101" i="39"/>
  <c r="F119" i="39"/>
  <c r="F111" i="39"/>
  <c r="F107" i="39"/>
  <c r="F103" i="39"/>
  <c r="F102" i="39"/>
  <c r="F91" i="39"/>
  <c r="F90" i="39"/>
  <c r="F83" i="39"/>
  <c r="F82" i="39"/>
  <c r="F63" i="39"/>
  <c r="F55" i="39"/>
  <c r="F54" i="39"/>
  <c r="F31" i="39"/>
  <c r="F74" i="39"/>
  <c r="F50" i="39"/>
  <c r="F130" i="39"/>
  <c r="F125" i="39"/>
  <c r="F108" i="39"/>
  <c r="F104" i="39"/>
  <c r="F92" i="39"/>
  <c r="F76" i="39"/>
  <c r="F75" i="39"/>
  <c r="F124" i="39"/>
  <c r="F115" i="39"/>
  <c r="F114" i="39"/>
  <c r="F87" i="39"/>
  <c r="F86" i="39"/>
  <c r="F67" i="39"/>
  <c r="F66" i="39"/>
  <c r="F59" i="39"/>
  <c r="F58" i="39"/>
  <c r="F51" i="39"/>
  <c r="F47" i="39"/>
  <c r="F46" i="39"/>
  <c r="F98" i="39"/>
  <c r="F94" i="39"/>
  <c r="F93" i="39"/>
  <c r="F42" i="39"/>
  <c r="F117" i="39"/>
  <c r="F116" i="39"/>
  <c r="F109" i="39"/>
  <c r="F105" i="39"/>
  <c r="F77" i="39"/>
  <c r="F69" i="39"/>
  <c r="F68" i="39"/>
  <c r="F61" i="39"/>
  <c r="F60" i="39"/>
  <c r="F113" i="39"/>
  <c r="F97" i="39"/>
  <c r="F85" i="39"/>
  <c r="F73" i="39"/>
  <c r="F65" i="39"/>
  <c r="F43" i="39"/>
  <c r="F120" i="39"/>
  <c r="F81" i="39"/>
  <c r="F41" i="39"/>
  <c r="F35" i="39"/>
  <c r="F48" i="39"/>
  <c r="F39" i="39"/>
  <c r="F36" i="39"/>
  <c r="F56" i="39"/>
  <c r="F44" i="39"/>
  <c r="F112" i="39"/>
  <c r="F72" i="39"/>
  <c r="F52" i="39"/>
  <c r="F37" i="39"/>
  <c r="F121" i="39"/>
  <c r="F96" i="39"/>
  <c r="F84" i="39"/>
  <c r="F80" i="39"/>
  <c r="F64" i="39"/>
  <c r="F49" i="39"/>
  <c r="F57" i="39"/>
  <c r="D33" i="39"/>
  <c r="F126" i="39"/>
  <c r="F89" i="39"/>
  <c r="F53" i="39"/>
  <c r="F38" i="39"/>
  <c r="V98" i="30"/>
  <c r="V102" i="30"/>
  <c r="V114" i="30"/>
  <c r="V122" i="30"/>
  <c r="V138" i="30"/>
  <c r="V150" i="30"/>
  <c r="N15" i="33"/>
  <c r="N21" i="33"/>
  <c r="X57" i="33"/>
  <c r="Z57" i="33" s="1"/>
  <c r="Z67" i="36"/>
  <c r="X67" i="36"/>
  <c r="H12" i="39"/>
  <c r="L12" i="39" s="1"/>
  <c r="V125" i="39"/>
  <c r="V119" i="39"/>
  <c r="V111" i="39"/>
  <c r="V107" i="39"/>
  <c r="V103" i="39"/>
  <c r="V91" i="39"/>
  <c r="V83" i="39"/>
  <c r="V75" i="39"/>
  <c r="V63" i="39"/>
  <c r="V55" i="39"/>
  <c r="V124" i="39"/>
  <c r="V114" i="39"/>
  <c r="V86" i="39"/>
  <c r="V74" i="39"/>
  <c r="V66" i="39"/>
  <c r="V58" i="39"/>
  <c r="V50" i="39"/>
  <c r="V46" i="39"/>
  <c r="V123" i="39"/>
  <c r="V121" i="39"/>
  <c r="V113" i="39"/>
  <c r="V97" i="39"/>
  <c r="V93" i="39"/>
  <c r="V85" i="39"/>
  <c r="V65" i="39"/>
  <c r="V57" i="39"/>
  <c r="V45" i="39"/>
  <c r="V41" i="39"/>
  <c r="V37" i="39"/>
  <c r="V130" i="39"/>
  <c r="V116" i="39"/>
  <c r="V108" i="39"/>
  <c r="V104" i="39"/>
  <c r="V115" i="39"/>
  <c r="V98" i="39"/>
  <c r="V94" i="39"/>
  <c r="V78" i="39"/>
  <c r="V70" i="39"/>
  <c r="V42" i="39"/>
  <c r="V38" i="39"/>
  <c r="V117" i="39"/>
  <c r="V109" i="39"/>
  <c r="V105" i="39"/>
  <c r="V77" i="39"/>
  <c r="V69" i="39"/>
  <c r="V61" i="39"/>
  <c r="V29" i="39"/>
  <c r="V95" i="39"/>
  <c r="V79" i="39"/>
  <c r="V71" i="39"/>
  <c r="V43" i="39"/>
  <c r="V39" i="39"/>
  <c r="V118" i="39"/>
  <c r="V110" i="39"/>
  <c r="V106" i="39"/>
  <c r="V102" i="39"/>
  <c r="V90" i="39"/>
  <c r="V82" i="39"/>
  <c r="V62" i="39"/>
  <c r="V54" i="39"/>
  <c r="V101" i="39"/>
  <c r="V89" i="39"/>
  <c r="V81" i="39"/>
  <c r="V73" i="39"/>
  <c r="V53" i="39"/>
  <c r="V49" i="39"/>
  <c r="V126" i="39"/>
  <c r="V120" i="39"/>
  <c r="V112" i="39"/>
  <c r="V96" i="39"/>
  <c r="V84" i="39"/>
  <c r="V64" i="39"/>
  <c r="V56" i="39"/>
  <c r="V44" i="39"/>
  <c r="V40" i="39"/>
  <c r="V36" i="39"/>
  <c r="V68" i="39"/>
  <c r="V31" i="39"/>
  <c r="V72" i="39"/>
  <c r="V92" i="39"/>
  <c r="V88" i="39"/>
  <c r="V80" i="39"/>
  <c r="V52" i="39"/>
  <c r="V100" i="39"/>
  <c r="V76" i="39"/>
  <c r="V47" i="39"/>
  <c r="T33" i="39"/>
  <c r="V33" i="39" s="1"/>
  <c r="V59" i="39"/>
  <c r="V99" i="39"/>
  <c r="V87" i="39"/>
  <c r="V35" i="39"/>
  <c r="V30" i="39"/>
  <c r="V60" i="39"/>
  <c r="V48" i="39"/>
  <c r="V55" i="30"/>
  <c r="V59" i="30"/>
  <c r="V63" i="30"/>
  <c r="V67" i="30"/>
  <c r="V71" i="30"/>
  <c r="V75" i="30"/>
  <c r="V79" i="30"/>
  <c r="V103" i="30"/>
  <c r="V111" i="30"/>
  <c r="V123" i="30"/>
  <c r="V131" i="30"/>
  <c r="V143" i="30"/>
  <c r="V151" i="30"/>
  <c r="L18" i="33"/>
  <c r="N18" i="33" s="1"/>
  <c r="X24" i="33"/>
  <c r="Z24" i="33" s="1"/>
  <c r="L83" i="33"/>
  <c r="Z30" i="36"/>
  <c r="Z78" i="36"/>
  <c r="L93" i="36"/>
  <c r="N93" i="36" s="1"/>
  <c r="N114" i="36"/>
  <c r="P12" i="39"/>
  <c r="X55" i="30"/>
  <c r="Z55" i="30" s="1"/>
  <c r="V88" i="30"/>
  <c r="V92" i="30"/>
  <c r="X103" i="30"/>
  <c r="L109" i="30"/>
  <c r="N109" i="30" s="1"/>
  <c r="V112" i="30"/>
  <c r="L117" i="30"/>
  <c r="N117" i="30" s="1"/>
  <c r="V120" i="30"/>
  <c r="X123" i="30"/>
  <c r="Z123" i="30" s="1"/>
  <c r="V136" i="30"/>
  <c r="V148" i="30"/>
  <c r="X151" i="30"/>
  <c r="Z151" i="30" s="1"/>
  <c r="L159" i="30"/>
  <c r="N23" i="33"/>
  <c r="R30" i="33"/>
  <c r="N38" i="33"/>
  <c r="L74" i="33"/>
  <c r="Z49" i="36"/>
  <c r="T84" i="30"/>
  <c r="V97" i="30"/>
  <c r="V101" i="30"/>
  <c r="V121" i="30"/>
  <c r="V129" i="30"/>
  <c r="V137" i="30"/>
  <c r="V149" i="30"/>
  <c r="V163" i="30"/>
  <c r="R92" i="33"/>
  <c r="R77" i="33"/>
  <c r="R33" i="33"/>
  <c r="R98" i="33"/>
  <c r="R91" i="33"/>
  <c r="R85" i="33"/>
  <c r="R84" i="33"/>
  <c r="R53" i="33"/>
  <c r="R52" i="33"/>
  <c r="R29" i="33"/>
  <c r="X12" i="33"/>
  <c r="R90" i="33"/>
  <c r="R72" i="33"/>
  <c r="R71" i="33"/>
  <c r="R64" i="33"/>
  <c r="R63" i="33"/>
  <c r="R48" i="33"/>
  <c r="R47" i="33"/>
  <c r="R43" i="33"/>
  <c r="R89" i="33"/>
  <c r="R86" i="33"/>
  <c r="R78" i="33"/>
  <c r="R55" i="33"/>
  <c r="R54" i="33"/>
  <c r="R39" i="33"/>
  <c r="R57" i="33"/>
  <c r="R56" i="33"/>
  <c r="R44" i="33"/>
  <c r="R40" i="33"/>
  <c r="P36" i="33"/>
  <c r="R79" i="33"/>
  <c r="R75" i="33"/>
  <c r="R68" i="33"/>
  <c r="R67" i="33"/>
  <c r="R31" i="33"/>
  <c r="R59" i="33"/>
  <c r="R58" i="33"/>
  <c r="R50" i="33"/>
  <c r="R69" i="33"/>
  <c r="R45" i="33"/>
  <c r="R41" i="33"/>
  <c r="R94" i="33"/>
  <c r="R51" i="33"/>
  <c r="R93" i="33"/>
  <c r="R83" i="33"/>
  <c r="R82" i="33"/>
  <c r="R70" i="33"/>
  <c r="R62" i="33"/>
  <c r="R46" i="33"/>
  <c r="R42" i="33"/>
  <c r="N74" i="33"/>
  <c r="R76" i="33"/>
  <c r="D12" i="36"/>
  <c r="L13" i="36"/>
  <c r="N13" i="36" s="1"/>
  <c r="J62" i="36"/>
  <c r="Z114" i="36"/>
  <c r="Z117" i="36"/>
  <c r="N120" i="36"/>
  <c r="V67" i="39"/>
  <c r="L15" i="30"/>
  <c r="L19" i="30"/>
  <c r="N19" i="30" s="1"/>
  <c r="L23" i="30"/>
  <c r="N23" i="30" s="1"/>
  <c r="L27" i="30"/>
  <c r="L31" i="30"/>
  <c r="L35" i="30"/>
  <c r="N35" i="30" s="1"/>
  <c r="L39" i="30"/>
  <c r="N39" i="30" s="1"/>
  <c r="L43" i="30"/>
  <c r="L47" i="30"/>
  <c r="N47" i="30" s="1"/>
  <c r="L51" i="30"/>
  <c r="V58" i="30"/>
  <c r="V62" i="30"/>
  <c r="V66" i="30"/>
  <c r="V70" i="30"/>
  <c r="V74" i="30"/>
  <c r="V78" i="30"/>
  <c r="V82" i="30"/>
  <c r="V84" i="30"/>
  <c r="V86" i="30"/>
  <c r="V110" i="30"/>
  <c r="V118" i="30"/>
  <c r="V130" i="30"/>
  <c r="V142" i="30"/>
  <c r="V146" i="30"/>
  <c r="N17" i="33"/>
  <c r="R32" i="33"/>
  <c r="R34" i="33"/>
  <c r="R38" i="33"/>
  <c r="R60" i="33"/>
  <c r="N81" i="33"/>
  <c r="Z83" i="33"/>
  <c r="J95" i="36"/>
  <c r="J83" i="36"/>
  <c r="J75" i="36"/>
  <c r="J65" i="36"/>
  <c r="J47" i="36"/>
  <c r="J43" i="36"/>
  <c r="J96" i="36"/>
  <c r="J90" i="36"/>
  <c r="J84" i="36"/>
  <c r="J76" i="36"/>
  <c r="J66" i="36"/>
  <c r="J38" i="36"/>
  <c r="J34" i="36"/>
  <c r="J24" i="36"/>
  <c r="J113" i="36"/>
  <c r="J105" i="36"/>
  <c r="J101" i="36"/>
  <c r="J97" i="36"/>
  <c r="J85" i="36"/>
  <c r="J77" i="36"/>
  <c r="J67" i="36"/>
  <c r="J57" i="36"/>
  <c r="J25" i="36"/>
  <c r="J120" i="36"/>
  <c r="J114" i="36"/>
  <c r="J106" i="36"/>
  <c r="J78" i="36"/>
  <c r="J68" i="36"/>
  <c r="J48" i="36"/>
  <c r="J44" i="36"/>
  <c r="J119" i="36"/>
  <c r="J115" i="36"/>
  <c r="J107" i="36"/>
  <c r="J91" i="36"/>
  <c r="J79" i="36"/>
  <c r="J124" i="36"/>
  <c r="J118" i="36"/>
  <c r="J108" i="36"/>
  <c r="J102" i="36"/>
  <c r="J98" i="36"/>
  <c r="J86" i="36"/>
  <c r="J80" i="36"/>
  <c r="J58" i="36"/>
  <c r="J50" i="36"/>
  <c r="J26" i="36"/>
  <c r="J109" i="36"/>
  <c r="J87" i="36"/>
  <c r="J81" i="36"/>
  <c r="J69" i="36"/>
  <c r="J59" i="36"/>
  <c r="J51" i="36"/>
  <c r="J45" i="36"/>
  <c r="J31" i="36"/>
  <c r="J110" i="36"/>
  <c r="J92" i="36"/>
  <c r="J88" i="36"/>
  <c r="J70" i="36"/>
  <c r="J60" i="36"/>
  <c r="J52" i="36"/>
  <c r="J40" i="36"/>
  <c r="J36" i="36"/>
  <c r="J32" i="36"/>
  <c r="J30" i="36"/>
  <c r="J28" i="36"/>
  <c r="J111" i="36"/>
  <c r="J103" i="36"/>
  <c r="J99" i="36"/>
  <c r="J93" i="36"/>
  <c r="J71" i="36"/>
  <c r="J61" i="36"/>
  <c r="J53" i="36"/>
  <c r="J41" i="36"/>
  <c r="H28" i="36"/>
  <c r="J89" i="36"/>
  <c r="J73" i="36"/>
  <c r="J63" i="36"/>
  <c r="J55" i="36"/>
  <c r="J37" i="36"/>
  <c r="J33" i="36"/>
  <c r="J112" i="36"/>
  <c r="J104" i="36"/>
  <c r="J100" i="36"/>
  <c r="J74" i="36"/>
  <c r="J64" i="36"/>
  <c r="J56" i="36"/>
  <c r="N41" i="36"/>
  <c r="L41" i="36"/>
  <c r="N108" i="36"/>
  <c r="V87" i="30"/>
  <c r="V91" i="30"/>
  <c r="V95" i="30"/>
  <c r="V119" i="30"/>
  <c r="V135" i="30"/>
  <c r="V147" i="30"/>
  <c r="V155" i="30"/>
  <c r="Z38" i="33"/>
  <c r="R74" i="33"/>
  <c r="J39" i="36"/>
  <c r="Z70" i="36"/>
  <c r="Z72" i="36"/>
  <c r="J94" i="36"/>
  <c r="N106" i="36"/>
  <c r="Z120" i="36"/>
  <c r="N14" i="39"/>
  <c r="N20" i="39"/>
  <c r="N29" i="39"/>
  <c r="D88" i="33"/>
  <c r="L88" i="33" s="1"/>
  <c r="Z89" i="33"/>
  <c r="R25" i="36"/>
  <c r="R57" i="36"/>
  <c r="R77" i="36"/>
  <c r="R78" i="36"/>
  <c r="R85" i="36"/>
  <c r="R97" i="36"/>
  <c r="R101" i="36"/>
  <c r="R105" i="36"/>
  <c r="R106" i="36"/>
  <c r="R113" i="36"/>
  <c r="R114" i="36"/>
  <c r="R120" i="36"/>
  <c r="R122" i="36"/>
  <c r="L26" i="39"/>
  <c r="N60" i="42"/>
  <c r="L60" i="42"/>
  <c r="R34" i="36"/>
  <c r="R38" i="36"/>
  <c r="R66" i="36"/>
  <c r="R67" i="36"/>
  <c r="R90" i="36"/>
  <c r="X118" i="36"/>
  <c r="Z118" i="36" s="1"/>
  <c r="Z15" i="39"/>
  <c r="N17" i="39"/>
  <c r="N26" i="39"/>
  <c r="X35" i="39"/>
  <c r="Z35" i="39" s="1"/>
  <c r="N93" i="39"/>
  <c r="N124" i="39"/>
  <c r="Z111" i="42"/>
  <c r="X111" i="42"/>
  <c r="R56" i="36"/>
  <c r="R64" i="36"/>
  <c r="R65" i="36"/>
  <c r="R100" i="36"/>
  <c r="R104" i="36"/>
  <c r="R112" i="36"/>
  <c r="L13" i="39"/>
  <c r="N13" i="39" s="1"/>
  <c r="L82" i="39"/>
  <c r="L102" i="39"/>
  <c r="N102" i="39" s="1"/>
  <c r="R33" i="36"/>
  <c r="R37" i="36"/>
  <c r="R73" i="36"/>
  <c r="R74" i="36"/>
  <c r="R89" i="36"/>
  <c r="H117" i="36"/>
  <c r="L117" i="36" s="1"/>
  <c r="J89" i="45"/>
  <c r="J71" i="45"/>
  <c r="J55" i="45"/>
  <c r="J90" i="45"/>
  <c r="J82" i="45"/>
  <c r="J78" i="45"/>
  <c r="J66" i="45"/>
  <c r="J56" i="45"/>
  <c r="J92" i="45"/>
  <c r="J72" i="45"/>
  <c r="J58" i="45"/>
  <c r="J46" i="45"/>
  <c r="J96" i="45"/>
  <c r="J74" i="45"/>
  <c r="J68" i="45"/>
  <c r="J60" i="45"/>
  <c r="J48" i="45"/>
  <c r="J36" i="45"/>
  <c r="J75" i="45"/>
  <c r="J69" i="45"/>
  <c r="J61" i="45"/>
  <c r="J49" i="45"/>
  <c r="J84" i="45"/>
  <c r="J80" i="45"/>
  <c r="J76" i="45"/>
  <c r="J62" i="45"/>
  <c r="J50" i="45"/>
  <c r="J87" i="45"/>
  <c r="J81" i="45"/>
  <c r="J77" i="45"/>
  <c r="J65" i="45"/>
  <c r="J53" i="45"/>
  <c r="J88" i="45"/>
  <c r="J54" i="45"/>
  <c r="J70" i="45"/>
  <c r="J51" i="45"/>
  <c r="J38" i="45"/>
  <c r="J30" i="45"/>
  <c r="J47" i="45"/>
  <c r="J41" i="45"/>
  <c r="J34" i="45"/>
  <c r="J21" i="45"/>
  <c r="J26" i="45"/>
  <c r="J52" i="45"/>
  <c r="J31" i="45"/>
  <c r="J27" i="45"/>
  <c r="J25" i="45"/>
  <c r="J79" i="45"/>
  <c r="J45" i="45"/>
  <c r="H23" i="45"/>
  <c r="J23" i="45" s="1"/>
  <c r="J67" i="45"/>
  <c r="J42" i="45"/>
  <c r="J39" i="45"/>
  <c r="J35" i="45"/>
  <c r="J85" i="45"/>
  <c r="J73" i="45"/>
  <c r="J63" i="45"/>
  <c r="J32" i="45"/>
  <c r="J28" i="45"/>
  <c r="J83" i="45"/>
  <c r="J59" i="45"/>
  <c r="J43" i="45"/>
  <c r="J33" i="45"/>
  <c r="J20" i="45"/>
  <c r="J86" i="45"/>
  <c r="J44" i="45"/>
  <c r="J64" i="45"/>
  <c r="J19" i="45"/>
  <c r="J57" i="45"/>
  <c r="J40" i="45"/>
  <c r="J37" i="45"/>
  <c r="J29" i="45"/>
  <c r="R42" i="36"/>
  <c r="R46" i="36"/>
  <c r="R54" i="36"/>
  <c r="R55" i="36"/>
  <c r="R62" i="36"/>
  <c r="R63" i="36"/>
  <c r="R82" i="36"/>
  <c r="R94" i="36"/>
  <c r="Z93" i="39"/>
  <c r="X93" i="39"/>
  <c r="L29" i="42"/>
  <c r="N29" i="42" s="1"/>
  <c r="R71" i="36"/>
  <c r="R72" i="36"/>
  <c r="R99" i="36"/>
  <c r="R103" i="36"/>
  <c r="R111" i="36"/>
  <c r="X20" i="39"/>
  <c r="Z20" i="39" s="1"/>
  <c r="N22" i="39"/>
  <c r="L25" i="39"/>
  <c r="N25" i="39" s="1"/>
  <c r="N54" i="39"/>
  <c r="L54" i="39"/>
  <c r="N90" i="39"/>
  <c r="N114" i="39"/>
  <c r="Z116" i="39"/>
  <c r="L125" i="39"/>
  <c r="L16" i="42"/>
  <c r="D12" i="42"/>
  <c r="X74" i="36"/>
  <c r="Z74" i="36" s="1"/>
  <c r="L80" i="36"/>
  <c r="N80" i="36" s="1"/>
  <c r="R88" i="36"/>
  <c r="R92" i="36"/>
  <c r="R93" i="36"/>
  <c r="L108" i="36"/>
  <c r="L118" i="36"/>
  <c r="N118" i="36" s="1"/>
  <c r="X13" i="39"/>
  <c r="Z13" i="39" s="1"/>
  <c r="N125" i="39"/>
  <c r="H123" i="39"/>
  <c r="L14" i="42"/>
  <c r="N14" i="42" s="1"/>
  <c r="R28" i="36"/>
  <c r="R30" i="36"/>
  <c r="R45" i="36"/>
  <c r="R69" i="36"/>
  <c r="R70" i="36"/>
  <c r="R81" i="36"/>
  <c r="R109" i="36"/>
  <c r="R110" i="36"/>
  <c r="L18" i="39"/>
  <c r="N18" i="39" s="1"/>
  <c r="Z72" i="39"/>
  <c r="R26" i="36"/>
  <c r="R31" i="36"/>
  <c r="R50" i="36"/>
  <c r="R51" i="36"/>
  <c r="R58" i="36"/>
  <c r="R59" i="36"/>
  <c r="R86" i="36"/>
  <c r="R87" i="36"/>
  <c r="R98" i="36"/>
  <c r="R102" i="36"/>
  <c r="R117" i="36"/>
  <c r="R124" i="36"/>
  <c r="L35" i="39"/>
  <c r="N35" i="39" s="1"/>
  <c r="N58" i="39"/>
  <c r="Z68" i="39"/>
  <c r="X68" i="39"/>
  <c r="L75" i="39"/>
  <c r="N75" i="39" s="1"/>
  <c r="Z125" i="39"/>
  <c r="H12" i="42"/>
  <c r="R35" i="36"/>
  <c r="R39" i="36"/>
  <c r="R79" i="36"/>
  <c r="R80" i="36"/>
  <c r="R91" i="36"/>
  <c r="R107" i="36"/>
  <c r="R108" i="36"/>
  <c r="R115" i="36"/>
  <c r="R118" i="36"/>
  <c r="R44" i="36"/>
  <c r="R48" i="36"/>
  <c r="R49" i="36"/>
  <c r="R68" i="36"/>
  <c r="Z56" i="39"/>
  <c r="X60" i="39"/>
  <c r="Z60" i="39" s="1"/>
  <c r="D123" i="39"/>
  <c r="L123" i="39" s="1"/>
  <c r="P12" i="42"/>
  <c r="X13" i="42"/>
  <c r="Z13" i="42" s="1"/>
  <c r="L50" i="42"/>
  <c r="Z23" i="51"/>
  <c r="X56" i="39"/>
  <c r="X64" i="39"/>
  <c r="Z64" i="39" s="1"/>
  <c r="L70" i="39"/>
  <c r="N70" i="39" s="1"/>
  <c r="X84" i="39"/>
  <c r="Z84" i="39" s="1"/>
  <c r="T12" i="42"/>
  <c r="N52" i="42"/>
  <c r="R73" i="45"/>
  <c r="R72" i="45"/>
  <c r="R83" i="45"/>
  <c r="R79" i="45"/>
  <c r="R68" i="45"/>
  <c r="R67" i="45"/>
  <c r="R60" i="45"/>
  <c r="R59" i="45"/>
  <c r="R48" i="45"/>
  <c r="R47" i="45"/>
  <c r="R69" i="45"/>
  <c r="R62" i="45"/>
  <c r="R61" i="45"/>
  <c r="R50" i="45"/>
  <c r="R49" i="45"/>
  <c r="R64" i="45"/>
  <c r="R63" i="45"/>
  <c r="R52" i="45"/>
  <c r="R51" i="45"/>
  <c r="R87" i="45"/>
  <c r="R86" i="45"/>
  <c r="R70" i="45"/>
  <c r="R81" i="45"/>
  <c r="R77" i="45"/>
  <c r="R65" i="45"/>
  <c r="R54" i="45"/>
  <c r="R53" i="45"/>
  <c r="R90" i="45"/>
  <c r="R82" i="45"/>
  <c r="R78" i="45"/>
  <c r="R66" i="45"/>
  <c r="R92" i="45"/>
  <c r="R58" i="45"/>
  <c r="R57" i="45"/>
  <c r="R46" i="45"/>
  <c r="R45" i="45"/>
  <c r="R31" i="45"/>
  <c r="R27" i="45"/>
  <c r="P23" i="45"/>
  <c r="R89" i="45"/>
  <c r="R39" i="45"/>
  <c r="R35" i="45"/>
  <c r="R42" i="45"/>
  <c r="R36" i="45"/>
  <c r="R28" i="45"/>
  <c r="R96" i="45"/>
  <c r="R85" i="45"/>
  <c r="R32" i="45"/>
  <c r="R76" i="45"/>
  <c r="R71" i="45"/>
  <c r="R40" i="45"/>
  <c r="R19" i="45"/>
  <c r="R37" i="45"/>
  <c r="R29" i="45"/>
  <c r="R55" i="45"/>
  <c r="R43" i="45"/>
  <c r="R33" i="45"/>
  <c r="R20" i="45"/>
  <c r="R41" i="45"/>
  <c r="R38" i="45"/>
  <c r="R34" i="45"/>
  <c r="R26" i="45"/>
  <c r="R21" i="45"/>
  <c r="R84" i="45"/>
  <c r="R75" i="45"/>
  <c r="R56" i="45"/>
  <c r="R25" i="45"/>
  <c r="R23" i="45"/>
  <c r="X12" i="45"/>
  <c r="Z16" i="45"/>
  <c r="Z62" i="45"/>
  <c r="N40" i="42"/>
  <c r="N50" i="42"/>
  <c r="Z75" i="42"/>
  <c r="X75" i="42"/>
  <c r="T12" i="45"/>
  <c r="X26" i="45"/>
  <c r="Z26" i="45" s="1"/>
  <c r="R44" i="45"/>
  <c r="D84" i="83"/>
  <c r="X17" i="42"/>
  <c r="Z17" i="42" s="1"/>
  <c r="L52" i="42"/>
  <c r="N90" i="42"/>
  <c r="X116" i="42"/>
  <c r="Z116" i="42" s="1"/>
  <c r="D12" i="45"/>
  <c r="L13" i="45"/>
  <c r="Z28" i="56"/>
  <c r="X28" i="56"/>
  <c r="N16" i="42"/>
  <c r="X21" i="42"/>
  <c r="Z50" i="42"/>
  <c r="N58" i="42"/>
  <c r="X66" i="42"/>
  <c r="Z66" i="42" s="1"/>
  <c r="Z90" i="42"/>
  <c r="N15" i="45"/>
  <c r="R80" i="45"/>
  <c r="R88" i="45"/>
  <c r="X61" i="48"/>
  <c r="P60" i="48"/>
  <c r="P63" i="48" s="1"/>
  <c r="P123" i="39"/>
  <c r="X123" i="39" s="1"/>
  <c r="Z123" i="39" s="1"/>
  <c r="Z21" i="42"/>
  <c r="X29" i="42"/>
  <c r="T114" i="42"/>
  <c r="R30" i="45"/>
  <c r="L18" i="42"/>
  <c r="N18" i="42" s="1"/>
  <c r="Z29" i="42"/>
  <c r="L69" i="42"/>
  <c r="N69" i="42" s="1"/>
  <c r="Z15" i="45"/>
  <c r="V31" i="54"/>
  <c r="V29" i="54"/>
  <c r="V28" i="54"/>
  <c r="V26" i="54"/>
  <c r="V24" i="54"/>
  <c r="Z12" i="54"/>
  <c r="T16" i="54"/>
  <c r="V22" i="54"/>
  <c r="V18" i="54"/>
  <c r="V14" i="54"/>
  <c r="V20" i="54"/>
  <c r="V16" i="54"/>
  <c r="L20" i="42"/>
  <c r="N20" i="42" s="1"/>
  <c r="N23" i="42"/>
  <c r="L30" i="42"/>
  <c r="X103" i="42"/>
  <c r="Z103" i="42" s="1"/>
  <c r="L114" i="42"/>
  <c r="N114" i="42" s="1"/>
  <c r="N36" i="45"/>
  <c r="Z35" i="51"/>
  <c r="X69" i="42"/>
  <c r="Z69" i="42" s="1"/>
  <c r="X117" i="42"/>
  <c r="Z117" i="42" s="1"/>
  <c r="N46" i="45"/>
  <c r="Z23" i="42"/>
  <c r="X23" i="42"/>
  <c r="N30" i="42"/>
  <c r="L75" i="42"/>
  <c r="N75" i="42" s="1"/>
  <c r="L46" i="45"/>
  <c r="Z27" i="51"/>
  <c r="N103" i="42"/>
  <c r="N111" i="42"/>
  <c r="N117" i="42"/>
  <c r="Z58" i="45"/>
  <c r="N62" i="45"/>
  <c r="L62" i="45"/>
  <c r="F19" i="48"/>
  <c r="L19" i="48"/>
  <c r="N19" i="48" s="1"/>
  <c r="V31" i="48"/>
  <c r="R39" i="48"/>
  <c r="N49" i="48"/>
  <c r="F60" i="48"/>
  <c r="L60" i="48"/>
  <c r="F97" i="51"/>
  <c r="F96" i="51"/>
  <c r="F89" i="51"/>
  <c r="F88" i="51"/>
  <c r="F105" i="51"/>
  <c r="F109" i="51"/>
  <c r="F104" i="51"/>
  <c r="F99" i="51"/>
  <c r="F98" i="51"/>
  <c r="F91" i="51"/>
  <c r="F90" i="51"/>
  <c r="F102" i="51"/>
  <c r="F93" i="51"/>
  <c r="F85" i="51"/>
  <c r="F84" i="51"/>
  <c r="F95" i="51"/>
  <c r="F94" i="51"/>
  <c r="F87" i="51"/>
  <c r="F56" i="51"/>
  <c r="F49" i="51"/>
  <c r="F45" i="51"/>
  <c r="F41" i="51"/>
  <c r="F72" i="51"/>
  <c r="F68" i="51"/>
  <c r="F67" i="51"/>
  <c r="D54" i="51"/>
  <c r="F86" i="51"/>
  <c r="F81" i="51"/>
  <c r="F63" i="51"/>
  <c r="F59" i="51"/>
  <c r="F74" i="51"/>
  <c r="F73" i="51"/>
  <c r="F50" i="51"/>
  <c r="F46" i="51"/>
  <c r="F42" i="51"/>
  <c r="F92" i="51"/>
  <c r="F82" i="51"/>
  <c r="F69" i="51"/>
  <c r="F76" i="51"/>
  <c r="F75" i="51"/>
  <c r="F64" i="51"/>
  <c r="F60" i="51"/>
  <c r="F83" i="51"/>
  <c r="F51" i="51"/>
  <c r="F47" i="51"/>
  <c r="F43" i="51"/>
  <c r="F78" i="51"/>
  <c r="F77" i="51"/>
  <c r="F70" i="51"/>
  <c r="F80" i="51"/>
  <c r="F79" i="51"/>
  <c r="F71" i="51"/>
  <c r="F103" i="51"/>
  <c r="F66" i="51"/>
  <c r="F62" i="51"/>
  <c r="F58" i="51"/>
  <c r="F57" i="51"/>
  <c r="Z67" i="51"/>
  <c r="N77" i="51"/>
  <c r="X56" i="45"/>
  <c r="Z56" i="45" s="1"/>
  <c r="X62" i="45"/>
  <c r="Z75" i="45"/>
  <c r="R38" i="48"/>
  <c r="R37" i="48"/>
  <c r="R49" i="48"/>
  <c r="R48" i="48"/>
  <c r="R32" i="48"/>
  <c r="X12" i="48"/>
  <c r="R55" i="48"/>
  <c r="R40" i="48"/>
  <c r="R50" i="48"/>
  <c r="R42" i="48"/>
  <c r="R41" i="48"/>
  <c r="R33" i="48"/>
  <c r="R57" i="48"/>
  <c r="R56" i="48"/>
  <c r="R28" i="48"/>
  <c r="R24" i="48"/>
  <c r="R51" i="48"/>
  <c r="R43" i="48"/>
  <c r="R20" i="48"/>
  <c r="R61" i="48"/>
  <c r="R58" i="48"/>
  <c r="R34" i="48"/>
  <c r="R19" i="48"/>
  <c r="R17" i="48"/>
  <c r="R15" i="48"/>
  <c r="R65" i="48"/>
  <c r="R36" i="48"/>
  <c r="R35" i="48"/>
  <c r="R31" i="48"/>
  <c r="R54" i="48"/>
  <c r="R47" i="48"/>
  <c r="R46" i="48"/>
  <c r="R26" i="48"/>
  <c r="R22" i="48"/>
  <c r="R23" i="48"/>
  <c r="R25" i="48"/>
  <c r="N45" i="48"/>
  <c r="Z53" i="48"/>
  <c r="Z96" i="51"/>
  <c r="Z44" i="45"/>
  <c r="L85" i="45"/>
  <c r="N85" i="45" s="1"/>
  <c r="F15" i="48"/>
  <c r="L15" i="48"/>
  <c r="Z19" i="48"/>
  <c r="Z45" i="48"/>
  <c r="Z61" i="48"/>
  <c r="V92" i="51"/>
  <c r="V94" i="51"/>
  <c r="V86" i="51"/>
  <c r="V104" i="51"/>
  <c r="V98" i="51"/>
  <c r="V90" i="51"/>
  <c r="V102" i="51"/>
  <c r="V80" i="51"/>
  <c r="V76" i="51"/>
  <c r="V64" i="51"/>
  <c r="V60" i="51"/>
  <c r="V105" i="51"/>
  <c r="V87" i="51"/>
  <c r="V51" i="51"/>
  <c r="V47" i="51"/>
  <c r="V43" i="51"/>
  <c r="V39" i="51"/>
  <c r="V99" i="51"/>
  <c r="V97" i="51"/>
  <c r="V83" i="51"/>
  <c r="V79" i="51"/>
  <c r="V70" i="51"/>
  <c r="V88" i="51"/>
  <c r="V84" i="51"/>
  <c r="V78" i="51"/>
  <c r="V65" i="51"/>
  <c r="V61" i="51"/>
  <c r="V57" i="51"/>
  <c r="V109" i="51"/>
  <c r="V95" i="51"/>
  <c r="V56" i="51"/>
  <c r="V52" i="51"/>
  <c r="V48" i="51"/>
  <c r="V44" i="51"/>
  <c r="V40" i="51"/>
  <c r="V103" i="51"/>
  <c r="V71" i="51"/>
  <c r="V67" i="51"/>
  <c r="T54" i="51"/>
  <c r="V93" i="51"/>
  <c r="V66" i="51"/>
  <c r="V62" i="51"/>
  <c r="V58" i="51"/>
  <c r="V96" i="51"/>
  <c r="V85" i="51"/>
  <c r="V73" i="51"/>
  <c r="V49" i="51"/>
  <c r="V45" i="51"/>
  <c r="V41" i="51"/>
  <c r="V74" i="51"/>
  <c r="V50" i="51"/>
  <c r="V46" i="51"/>
  <c r="V42" i="51"/>
  <c r="V77" i="51"/>
  <c r="V69" i="51"/>
  <c r="Z17" i="51"/>
  <c r="Z21" i="51"/>
  <c r="Z25" i="51"/>
  <c r="Z29" i="51"/>
  <c r="Z33" i="51"/>
  <c r="V68" i="51"/>
  <c r="V75" i="51"/>
  <c r="N84" i="51"/>
  <c r="L84" i="51"/>
  <c r="X44" i="45"/>
  <c r="N48" i="45"/>
  <c r="F40" i="48"/>
  <c r="N42" i="48"/>
  <c r="L42" i="48"/>
  <c r="Z73" i="51"/>
  <c r="X73" i="51"/>
  <c r="N14" i="56"/>
  <c r="H16" i="56"/>
  <c r="N13" i="45"/>
  <c r="X14" i="45"/>
  <c r="Z46" i="45"/>
  <c r="N50" i="45"/>
  <c r="L50" i="45"/>
  <c r="X64" i="45"/>
  <c r="Z64" i="45" s="1"/>
  <c r="R30" i="48"/>
  <c r="Z36" i="48"/>
  <c r="X36" i="48"/>
  <c r="V52" i="48"/>
  <c r="F39" i="51"/>
  <c r="Z14" i="45"/>
  <c r="X50" i="45"/>
  <c r="N52" i="45"/>
  <c r="R44" i="48"/>
  <c r="N60" i="48"/>
  <c r="H12" i="51"/>
  <c r="L12" i="51" s="1"/>
  <c r="N14" i="51"/>
  <c r="N22" i="51"/>
  <c r="N26" i="51"/>
  <c r="N30" i="51"/>
  <c r="N39" i="51"/>
  <c r="V82" i="51"/>
  <c r="P74" i="56"/>
  <c r="V48" i="48"/>
  <c r="V40" i="48"/>
  <c r="V32" i="48"/>
  <c r="Z12" i="48"/>
  <c r="V55" i="48"/>
  <c r="V39" i="48"/>
  <c r="V27" i="48"/>
  <c r="V23" i="48"/>
  <c r="V50" i="48"/>
  <c r="V42" i="48"/>
  <c r="V57" i="48"/>
  <c r="V41" i="48"/>
  <c r="V33" i="48"/>
  <c r="V56" i="48"/>
  <c r="V28" i="48"/>
  <c r="V24" i="48"/>
  <c r="V20" i="48"/>
  <c r="V61" i="48"/>
  <c r="V51" i="48"/>
  <c r="V43" i="48"/>
  <c r="V19" i="48"/>
  <c r="V17" i="48"/>
  <c r="V15" i="48"/>
  <c r="V60" i="48"/>
  <c r="V58" i="48"/>
  <c r="V34" i="48"/>
  <c r="V30" i="48"/>
  <c r="T17" i="48"/>
  <c r="V53" i="48"/>
  <c r="V45" i="48"/>
  <c r="V29" i="48"/>
  <c r="V25" i="48"/>
  <c r="V21" i="48"/>
  <c r="V54" i="48"/>
  <c r="V46" i="48"/>
  <c r="V38" i="48"/>
  <c r="V26" i="48"/>
  <c r="V22" i="48"/>
  <c r="V49" i="48"/>
  <c r="V37" i="48"/>
  <c r="V44" i="48"/>
  <c r="V59" i="51"/>
  <c r="L79" i="51"/>
  <c r="X86" i="51"/>
  <c r="Z86" i="51" s="1"/>
  <c r="F17" i="48"/>
  <c r="D63" i="48"/>
  <c r="Z42" i="57"/>
  <c r="X42" i="57"/>
  <c r="X58" i="57"/>
  <c r="Z58" i="57" s="1"/>
  <c r="X36" i="45"/>
  <c r="Z36" i="45" s="1"/>
  <c r="N56" i="45"/>
  <c r="L58" i="45"/>
  <c r="N58" i="45" s="1"/>
  <c r="N53" i="48"/>
  <c r="V72" i="51"/>
  <c r="V91" i="51"/>
  <c r="D65" i="57"/>
  <c r="Z52" i="45"/>
  <c r="Z54" i="45"/>
  <c r="H12" i="48"/>
  <c r="N13" i="48"/>
  <c r="X17" i="48"/>
  <c r="V81" i="51"/>
  <c r="V89" i="51"/>
  <c r="L30" i="48"/>
  <c r="N30" i="48" s="1"/>
  <c r="F34" i="48"/>
  <c r="X40" i="48"/>
  <c r="Z40" i="48" s="1"/>
  <c r="F57" i="48"/>
  <c r="F58" i="48"/>
  <c r="P12" i="51"/>
  <c r="Z13" i="51"/>
  <c r="X94" i="51"/>
  <c r="Z94" i="51" s="1"/>
  <c r="D33" i="55"/>
  <c r="X25" i="55"/>
  <c r="Z25" i="55" s="1"/>
  <c r="T65" i="57"/>
  <c r="Z16" i="57"/>
  <c r="H71" i="58"/>
  <c r="N16" i="58"/>
  <c r="F42" i="48"/>
  <c r="F43" i="48"/>
  <c r="F51" i="48"/>
  <c r="L61" i="48"/>
  <c r="N61" i="48" s="1"/>
  <c r="X104" i="51"/>
  <c r="Z104" i="51" s="1"/>
  <c r="P22" i="54"/>
  <c r="X16" i="54"/>
  <c r="Z32" i="56"/>
  <c r="N56" i="56"/>
  <c r="F49" i="48"/>
  <c r="F50" i="48"/>
  <c r="Z98" i="51"/>
  <c r="N50" i="56"/>
  <c r="L50" i="56"/>
  <c r="Z40" i="57"/>
  <c r="N52" i="57"/>
  <c r="Z56" i="57"/>
  <c r="N48" i="60"/>
  <c r="L48" i="60"/>
  <c r="F23" i="48"/>
  <c r="F27" i="48"/>
  <c r="F38" i="48"/>
  <c r="F39" i="48"/>
  <c r="F55" i="48"/>
  <c r="L102" i="51"/>
  <c r="D101" i="51"/>
  <c r="F101" i="51" s="1"/>
  <c r="N18" i="57"/>
  <c r="L12" i="48"/>
  <c r="F32" i="48"/>
  <c r="F47" i="48"/>
  <c r="F48" i="48"/>
  <c r="L90" i="51"/>
  <c r="N102" i="51"/>
  <c r="H101" i="51"/>
  <c r="L38" i="56"/>
  <c r="N40" i="56"/>
  <c r="N42" i="56"/>
  <c r="L42" i="56"/>
  <c r="Z19" i="58"/>
  <c r="Z88" i="51"/>
  <c r="L39" i="58"/>
  <c r="N39" i="58" s="1"/>
  <c r="R43" i="61"/>
  <c r="R42" i="61"/>
  <c r="R27" i="61"/>
  <c r="R26" i="61"/>
  <c r="R22" i="61"/>
  <c r="R34" i="61"/>
  <c r="R33" i="61"/>
  <c r="R44" i="61"/>
  <c r="R28" i="61"/>
  <c r="X12" i="61"/>
  <c r="R48" i="61"/>
  <c r="R46" i="61"/>
  <c r="R36" i="61"/>
  <c r="R35" i="61"/>
  <c r="R23" i="61"/>
  <c r="R38" i="61"/>
  <c r="R37" i="61"/>
  <c r="R29" i="61"/>
  <c r="R18" i="61"/>
  <c r="R16" i="61"/>
  <c r="R14" i="61"/>
  <c r="R50" i="61"/>
  <c r="R24" i="61"/>
  <c r="R20" i="61"/>
  <c r="P16" i="61"/>
  <c r="R55" i="61"/>
  <c r="R52" i="61"/>
  <c r="R39" i="61"/>
  <c r="R41" i="61"/>
  <c r="R40" i="61"/>
  <c r="R32" i="61"/>
  <c r="R31" i="61"/>
  <c r="R21" i="61"/>
  <c r="R25" i="61"/>
  <c r="R30" i="61"/>
  <c r="R19" i="61"/>
  <c r="F22" i="48"/>
  <c r="F26" i="48"/>
  <c r="F45" i="48"/>
  <c r="F46" i="48"/>
  <c r="F53" i="48"/>
  <c r="F54" i="48"/>
  <c r="Z102" i="51"/>
  <c r="T101" i="51"/>
  <c r="L27" i="55"/>
  <c r="Z42" i="56"/>
  <c r="X44" i="56"/>
  <c r="Z44" i="56" s="1"/>
  <c r="Z46" i="56"/>
  <c r="X50" i="57"/>
  <c r="Z50" i="57" s="1"/>
  <c r="N19" i="55"/>
  <c r="L19" i="55"/>
  <c r="F44" i="48"/>
  <c r="F52" i="48"/>
  <c r="F61" i="48"/>
  <c r="F63" i="48"/>
  <c r="L16" i="51"/>
  <c r="N16" i="51" s="1"/>
  <c r="L20" i="51"/>
  <c r="L24" i="51"/>
  <c r="L28" i="51"/>
  <c r="N28" i="51" s="1"/>
  <c r="L32" i="51"/>
  <c r="L36" i="51"/>
  <c r="X90" i="51"/>
  <c r="Z90" i="51" s="1"/>
  <c r="N104" i="51"/>
  <c r="N34" i="56"/>
  <c r="P65" i="57"/>
  <c r="X16" i="57"/>
  <c r="N44" i="57"/>
  <c r="Z48" i="57"/>
  <c r="N35" i="58"/>
  <c r="Z41" i="58"/>
  <c r="F20" i="48"/>
  <c r="F21" i="48"/>
  <c r="F25" i="48"/>
  <c r="L94" i="51"/>
  <c r="N94" i="51" s="1"/>
  <c r="Z19" i="55"/>
  <c r="X21" i="55"/>
  <c r="Z21" i="55" s="1"/>
  <c r="Z23" i="55"/>
  <c r="Z27" i="55"/>
  <c r="L18" i="56"/>
  <c r="N18" i="56" s="1"/>
  <c r="X36" i="56"/>
  <c r="Z36" i="56" s="1"/>
  <c r="V56" i="59"/>
  <c r="V48" i="59"/>
  <c r="V40" i="59"/>
  <c r="V32" i="59"/>
  <c r="Z12" i="59"/>
  <c r="V47" i="59"/>
  <c r="V39" i="59"/>
  <c r="V27" i="59"/>
  <c r="V23" i="59"/>
  <c r="V19" i="59"/>
  <c r="V61" i="59"/>
  <c r="V59" i="59"/>
  <c r="V57" i="59"/>
  <c r="V49" i="59"/>
  <c r="V41" i="59"/>
  <c r="V33" i="59"/>
  <c r="T16" i="59"/>
  <c r="V51" i="59"/>
  <c r="V43" i="59"/>
  <c r="V34" i="59"/>
  <c r="V30" i="59"/>
  <c r="V68" i="59"/>
  <c r="V65" i="59"/>
  <c r="V63" i="59"/>
  <c r="V53" i="59"/>
  <c r="V45" i="59"/>
  <c r="V29" i="59"/>
  <c r="V25" i="59"/>
  <c r="V21" i="59"/>
  <c r="V54" i="59"/>
  <c r="V46" i="59"/>
  <c r="V38" i="59"/>
  <c r="V26" i="59"/>
  <c r="V22" i="59"/>
  <c r="V37" i="59"/>
  <c r="V18" i="59"/>
  <c r="V50" i="59"/>
  <c r="V20" i="59"/>
  <c r="V14" i="59"/>
  <c r="V24" i="59"/>
  <c r="V44" i="59"/>
  <c r="V42" i="59"/>
  <c r="V28" i="59"/>
  <c r="V52" i="59"/>
  <c r="V55" i="59"/>
  <c r="V35" i="59"/>
  <c r="V31" i="59"/>
  <c r="V16" i="59"/>
  <c r="V36" i="59"/>
  <c r="N12" i="54"/>
  <c r="R14" i="54"/>
  <c r="R16" i="54"/>
  <c r="R18" i="54"/>
  <c r="R20" i="54"/>
  <c r="R22" i="54"/>
  <c r="J22" i="55"/>
  <c r="V26" i="55"/>
  <c r="T16" i="56"/>
  <c r="R19" i="56"/>
  <c r="F22" i="56"/>
  <c r="F26" i="56"/>
  <c r="V29" i="56"/>
  <c r="J33" i="56"/>
  <c r="V37" i="56"/>
  <c r="J45" i="56"/>
  <c r="V53" i="56"/>
  <c r="F58" i="56"/>
  <c r="V61" i="56"/>
  <c r="F65" i="56"/>
  <c r="F66" i="56"/>
  <c r="R72" i="56"/>
  <c r="X12" i="57"/>
  <c r="X14" i="57"/>
  <c r="V19" i="57"/>
  <c r="V23" i="57"/>
  <c r="V27" i="57"/>
  <c r="J31" i="57"/>
  <c r="R32" i="57"/>
  <c r="R33" i="57"/>
  <c r="V35" i="57"/>
  <c r="J39" i="57"/>
  <c r="V43" i="57"/>
  <c r="J47" i="57"/>
  <c r="V51" i="57"/>
  <c r="J55" i="57"/>
  <c r="V59" i="57"/>
  <c r="J69" i="57"/>
  <c r="J72" i="57"/>
  <c r="J67" i="58"/>
  <c r="J59" i="58"/>
  <c r="J51" i="58"/>
  <c r="J52" i="58"/>
  <c r="J54" i="58"/>
  <c r="J78" i="58"/>
  <c r="J75" i="58"/>
  <c r="J61" i="58"/>
  <c r="J55" i="58"/>
  <c r="J47" i="58"/>
  <c r="J62" i="58"/>
  <c r="J56" i="58"/>
  <c r="J48" i="58"/>
  <c r="J65" i="58"/>
  <c r="J66" i="58"/>
  <c r="N14" i="58"/>
  <c r="F23" i="58"/>
  <c r="F27" i="58"/>
  <c r="V30" i="58"/>
  <c r="V34" i="58"/>
  <c r="V44" i="58"/>
  <c r="V45" i="58"/>
  <c r="F47" i="58"/>
  <c r="F53" i="58"/>
  <c r="R59" i="58"/>
  <c r="R61" i="58"/>
  <c r="J63" i="58"/>
  <c r="F75" i="58"/>
  <c r="N16" i="59"/>
  <c r="H61" i="59"/>
  <c r="N53" i="59"/>
  <c r="X59" i="59"/>
  <c r="V31" i="60"/>
  <c r="V57" i="60"/>
  <c r="V54" i="60"/>
  <c r="V52" i="60"/>
  <c r="V34" i="60"/>
  <c r="V41" i="60"/>
  <c r="V33" i="60"/>
  <c r="V25" i="60"/>
  <c r="V21" i="60"/>
  <c r="V42" i="60"/>
  <c r="V26" i="60"/>
  <c r="V22" i="60"/>
  <c r="V45" i="60"/>
  <c r="V37" i="60"/>
  <c r="V44" i="60"/>
  <c r="V36" i="60"/>
  <c r="V28" i="60"/>
  <c r="Z12" i="60"/>
  <c r="V29" i="60"/>
  <c r="T16" i="60"/>
  <c r="V40" i="60"/>
  <c r="V32" i="60"/>
  <c r="V24" i="60"/>
  <c r="V20" i="60"/>
  <c r="V27" i="60"/>
  <c r="F39" i="60"/>
  <c r="Z16" i="61"/>
  <c r="T48" i="61"/>
  <c r="F48" i="61"/>
  <c r="N99" i="63"/>
  <c r="L99" i="63"/>
  <c r="H16" i="55"/>
  <c r="F19" i="55"/>
  <c r="F20" i="55"/>
  <c r="J21" i="55"/>
  <c r="R24" i="55"/>
  <c r="R25" i="55"/>
  <c r="V27" i="55"/>
  <c r="J31" i="55"/>
  <c r="J33" i="55"/>
  <c r="R37" i="55"/>
  <c r="R40" i="55"/>
  <c r="V14" i="56"/>
  <c r="V16" i="56"/>
  <c r="V18" i="56"/>
  <c r="J22" i="56"/>
  <c r="R23" i="56"/>
  <c r="J26" i="56"/>
  <c r="R27" i="56"/>
  <c r="R28" i="56"/>
  <c r="F31" i="56"/>
  <c r="J32" i="56"/>
  <c r="R35" i="56"/>
  <c r="R36" i="56"/>
  <c r="V38" i="56"/>
  <c r="F42" i="56"/>
  <c r="F43" i="56"/>
  <c r="J44" i="56"/>
  <c r="R47" i="56"/>
  <c r="F50" i="56"/>
  <c r="F51" i="56"/>
  <c r="V54" i="56"/>
  <c r="J58" i="56"/>
  <c r="R59" i="56"/>
  <c r="J66" i="56"/>
  <c r="V72" i="56"/>
  <c r="V74" i="56"/>
  <c r="V77" i="56"/>
  <c r="F21" i="57"/>
  <c r="F25" i="57"/>
  <c r="R41" i="57"/>
  <c r="R42" i="57"/>
  <c r="V44" i="57"/>
  <c r="R49" i="57"/>
  <c r="R50" i="57"/>
  <c r="V52" i="57"/>
  <c r="R57" i="57"/>
  <c r="R58" i="57"/>
  <c r="V60" i="57"/>
  <c r="F67" i="57"/>
  <c r="P16" i="58"/>
  <c r="R20" i="58"/>
  <c r="J23" i="58"/>
  <c r="R24" i="58"/>
  <c r="J27" i="58"/>
  <c r="R28" i="58"/>
  <c r="F32" i="58"/>
  <c r="V35" i="58"/>
  <c r="F39" i="58"/>
  <c r="F40" i="58"/>
  <c r="J41" i="58"/>
  <c r="V49" i="58"/>
  <c r="J53" i="58"/>
  <c r="V57" i="58"/>
  <c r="V59" i="58"/>
  <c r="V61" i="58"/>
  <c r="V69" i="58"/>
  <c r="F19" i="60"/>
  <c r="N16" i="63"/>
  <c r="X12" i="54"/>
  <c r="L14" i="55"/>
  <c r="J19" i="55"/>
  <c r="R22" i="55"/>
  <c r="R23" i="55"/>
  <c r="V25" i="55"/>
  <c r="J29" i="55"/>
  <c r="V35" i="55"/>
  <c r="V37" i="55"/>
  <c r="V40" i="55"/>
  <c r="F21" i="56"/>
  <c r="F25" i="56"/>
  <c r="V28" i="56"/>
  <c r="R33" i="56"/>
  <c r="R34" i="56"/>
  <c r="V36" i="56"/>
  <c r="F40" i="56"/>
  <c r="F41" i="56"/>
  <c r="J42" i="56"/>
  <c r="R45" i="56"/>
  <c r="R46" i="56"/>
  <c r="F49" i="56"/>
  <c r="J50" i="56"/>
  <c r="V52" i="56"/>
  <c r="F56" i="56"/>
  <c r="F57" i="56"/>
  <c r="J64" i="56"/>
  <c r="R68" i="56"/>
  <c r="R70" i="56"/>
  <c r="F14" i="57"/>
  <c r="F16" i="57"/>
  <c r="F18" i="57"/>
  <c r="J30" i="57"/>
  <c r="R31" i="57"/>
  <c r="J38" i="57"/>
  <c r="R39" i="57"/>
  <c r="R40" i="57"/>
  <c r="V42" i="57"/>
  <c r="J46" i="57"/>
  <c r="R47" i="57"/>
  <c r="R48" i="57"/>
  <c r="V50" i="57"/>
  <c r="J54" i="57"/>
  <c r="R55" i="57"/>
  <c r="R56" i="57"/>
  <c r="V58" i="57"/>
  <c r="R60" i="58"/>
  <c r="R73" i="58"/>
  <c r="R62" i="58"/>
  <c r="R64" i="58"/>
  <c r="R63" i="58"/>
  <c r="R58" i="58"/>
  <c r="R50" i="58"/>
  <c r="R66" i="58"/>
  <c r="R65" i="58"/>
  <c r="R71" i="58"/>
  <c r="R69" i="58"/>
  <c r="R53" i="58"/>
  <c r="T16" i="58"/>
  <c r="R19" i="58"/>
  <c r="F22" i="58"/>
  <c r="F26" i="58"/>
  <c r="V33" i="58"/>
  <c r="F37" i="58"/>
  <c r="F38" i="58"/>
  <c r="J39" i="58"/>
  <c r="V42" i="58"/>
  <c r="Z43" i="58"/>
  <c r="V48" i="58"/>
  <c r="F50" i="58"/>
  <c r="F55" i="58"/>
  <c r="F58" i="58"/>
  <c r="J71" i="58"/>
  <c r="L14" i="59"/>
  <c r="N19" i="59"/>
  <c r="L42" i="59"/>
  <c r="N42" i="59" s="1"/>
  <c r="Z53" i="59"/>
  <c r="Z55" i="59"/>
  <c r="V35" i="60"/>
  <c r="X39" i="60"/>
  <c r="F54" i="60"/>
  <c r="N36" i="61"/>
  <c r="N38" i="61"/>
  <c r="D12" i="68"/>
  <c r="D16" i="56"/>
  <c r="F30" i="56"/>
  <c r="J49" i="56"/>
  <c r="J57" i="56"/>
  <c r="R58" i="56"/>
  <c r="F61" i="56"/>
  <c r="F62" i="56"/>
  <c r="J63" i="56"/>
  <c r="R66" i="56"/>
  <c r="H16" i="57"/>
  <c r="F19" i="57"/>
  <c r="F20" i="57"/>
  <c r="F24" i="57"/>
  <c r="F35" i="57"/>
  <c r="F36" i="57"/>
  <c r="J37" i="57"/>
  <c r="V55" i="57"/>
  <c r="J63" i="57"/>
  <c r="J65" i="57"/>
  <c r="R69" i="57"/>
  <c r="R72" i="57"/>
  <c r="V78" i="58"/>
  <c r="V75" i="58"/>
  <c r="V73" i="58"/>
  <c r="V55" i="58"/>
  <c r="V62" i="58"/>
  <c r="V54" i="58"/>
  <c r="V46" i="58"/>
  <c r="V64" i="58"/>
  <c r="V66" i="58"/>
  <c r="V58" i="58"/>
  <c r="V65" i="58"/>
  <c r="V41" i="58"/>
  <c r="V52" i="58"/>
  <c r="V60" i="58"/>
  <c r="V14" i="58"/>
  <c r="V16" i="58"/>
  <c r="V18" i="58"/>
  <c r="V43" i="58"/>
  <c r="V53" i="58"/>
  <c r="J58" i="58"/>
  <c r="F60" i="58"/>
  <c r="R67" i="58"/>
  <c r="F78" i="58"/>
  <c r="L18" i="59"/>
  <c r="N18" i="60"/>
  <c r="Z39" i="60"/>
  <c r="Z32" i="61"/>
  <c r="N18" i="63"/>
  <c r="N98" i="63"/>
  <c r="V56" i="69"/>
  <c r="V57" i="69"/>
  <c r="V59" i="69"/>
  <c r="V70" i="69"/>
  <c r="V60" i="69"/>
  <c r="V53" i="69"/>
  <c r="V41" i="69"/>
  <c r="V29" i="69"/>
  <c r="V25" i="69"/>
  <c r="V63" i="69"/>
  <c r="V44" i="69"/>
  <c r="V16" i="69"/>
  <c r="V43" i="69"/>
  <c r="V35" i="69"/>
  <c r="V46" i="69"/>
  <c r="V30" i="69"/>
  <c r="V26" i="69"/>
  <c r="V45" i="69"/>
  <c r="V17" i="69"/>
  <c r="V54" i="69"/>
  <c r="V48" i="69"/>
  <c r="V36" i="69"/>
  <c r="V32" i="69"/>
  <c r="V55" i="69"/>
  <c r="V47" i="69"/>
  <c r="V31" i="69"/>
  <c r="V27" i="69"/>
  <c r="V23" i="69"/>
  <c r="V64" i="69"/>
  <c r="V61" i="69"/>
  <c r="V50" i="69"/>
  <c r="V38" i="69"/>
  <c r="V22" i="69"/>
  <c r="V18" i="69"/>
  <c r="V51" i="69"/>
  <c r="V39" i="69"/>
  <c r="V62" i="69"/>
  <c r="V42" i="69"/>
  <c r="V34" i="69"/>
  <c r="V24" i="69"/>
  <c r="V33" i="69"/>
  <c r="V66" i="69"/>
  <c r="V58" i="69"/>
  <c r="V49" i="69"/>
  <c r="V28" i="69"/>
  <c r="T20" i="69"/>
  <c r="V37" i="69"/>
  <c r="D16" i="54"/>
  <c r="L12" i="55"/>
  <c r="P16" i="55"/>
  <c r="R20" i="55"/>
  <c r="R21" i="55"/>
  <c r="V23" i="55"/>
  <c r="F27" i="55"/>
  <c r="F28" i="55"/>
  <c r="R31" i="55"/>
  <c r="R33" i="55"/>
  <c r="F14" i="56"/>
  <c r="F16" i="56"/>
  <c r="F18" i="56"/>
  <c r="V22" i="56"/>
  <c r="V26" i="56"/>
  <c r="J30" i="56"/>
  <c r="R31" i="56"/>
  <c r="R32" i="56"/>
  <c r="V34" i="56"/>
  <c r="F38" i="56"/>
  <c r="F39" i="56"/>
  <c r="J40" i="56"/>
  <c r="R43" i="56"/>
  <c r="R44" i="56"/>
  <c r="V46" i="56"/>
  <c r="R51" i="56"/>
  <c r="F54" i="56"/>
  <c r="F55" i="56"/>
  <c r="J56" i="56"/>
  <c r="V58" i="56"/>
  <c r="J62" i="56"/>
  <c r="V66" i="56"/>
  <c r="V68" i="56"/>
  <c r="V70" i="56"/>
  <c r="F74" i="56"/>
  <c r="F77" i="56"/>
  <c r="J14" i="57"/>
  <c r="J16" i="57"/>
  <c r="J18" i="57"/>
  <c r="J20" i="57"/>
  <c r="R21" i="57"/>
  <c r="J24" i="57"/>
  <c r="R25" i="57"/>
  <c r="F28" i="57"/>
  <c r="F29" i="57"/>
  <c r="J36" i="57"/>
  <c r="V40" i="57"/>
  <c r="F44" i="57"/>
  <c r="F45" i="57"/>
  <c r="V48" i="57"/>
  <c r="F52" i="57"/>
  <c r="F53" i="57"/>
  <c r="V56" i="57"/>
  <c r="F60" i="57"/>
  <c r="F61" i="57"/>
  <c r="R67" i="57"/>
  <c r="X12" i="58"/>
  <c r="V19" i="58"/>
  <c r="V23" i="58"/>
  <c r="V27" i="58"/>
  <c r="J31" i="58"/>
  <c r="R32" i="58"/>
  <c r="F35" i="58"/>
  <c r="F36" i="58"/>
  <c r="J37" i="58"/>
  <c r="R40" i="58"/>
  <c r="R41" i="58"/>
  <c r="R47" i="58"/>
  <c r="L52" i="58"/>
  <c r="J60" i="58"/>
  <c r="L62" i="58"/>
  <c r="V67" i="58"/>
  <c r="V71" i="58"/>
  <c r="Z19" i="59"/>
  <c r="N50" i="59"/>
  <c r="Z19" i="60"/>
  <c r="N28" i="60"/>
  <c r="L30" i="60"/>
  <c r="N30" i="60" s="1"/>
  <c r="L34" i="60"/>
  <c r="V39" i="60"/>
  <c r="V48" i="60"/>
  <c r="Z36" i="61"/>
  <c r="N24" i="68"/>
  <c r="F33" i="57"/>
  <c r="F34" i="57"/>
  <c r="N18" i="59"/>
  <c r="Z18" i="61"/>
  <c r="X18" i="61"/>
  <c r="X43" i="63"/>
  <c r="Z43" i="63" s="1"/>
  <c r="X63" i="63"/>
  <c r="Z63" i="63" s="1"/>
  <c r="T105" i="63"/>
  <c r="P58" i="67"/>
  <c r="N22" i="68"/>
  <c r="L22" i="68"/>
  <c r="H16" i="54"/>
  <c r="T16" i="55"/>
  <c r="R19" i="55"/>
  <c r="V21" i="55"/>
  <c r="J27" i="55"/>
  <c r="V29" i="55"/>
  <c r="V31" i="55"/>
  <c r="V33" i="55"/>
  <c r="F37" i="55"/>
  <c r="F40" i="55"/>
  <c r="J24" i="56"/>
  <c r="F28" i="56"/>
  <c r="F29" i="56"/>
  <c r="V32" i="56"/>
  <c r="F36" i="56"/>
  <c r="F37" i="56"/>
  <c r="J38" i="56"/>
  <c r="R41" i="56"/>
  <c r="R42" i="56"/>
  <c r="V44" i="56"/>
  <c r="J48" i="56"/>
  <c r="R49" i="56"/>
  <c r="R50" i="56"/>
  <c r="F53" i="56"/>
  <c r="J54" i="56"/>
  <c r="R57" i="56"/>
  <c r="J60" i="56"/>
  <c r="V64" i="56"/>
  <c r="J74" i="56"/>
  <c r="J77" i="56"/>
  <c r="F23" i="57"/>
  <c r="F27" i="57"/>
  <c r="J28" i="57"/>
  <c r="J34" i="57"/>
  <c r="F42" i="57"/>
  <c r="F43" i="57"/>
  <c r="J44" i="57"/>
  <c r="V46" i="57"/>
  <c r="F50" i="57"/>
  <c r="F51" i="57"/>
  <c r="J52" i="57"/>
  <c r="V54" i="57"/>
  <c r="F58" i="57"/>
  <c r="F59" i="57"/>
  <c r="J60" i="57"/>
  <c r="D16" i="58"/>
  <c r="R22" i="58"/>
  <c r="R26" i="58"/>
  <c r="F34" i="58"/>
  <c r="J35" i="58"/>
  <c r="R38" i="58"/>
  <c r="R39" i="58"/>
  <c r="F44" i="58"/>
  <c r="R46" i="58"/>
  <c r="V47" i="58"/>
  <c r="F49" i="58"/>
  <c r="V50" i="58"/>
  <c r="N52" i="58"/>
  <c r="R55" i="58"/>
  <c r="F57" i="58"/>
  <c r="N62" i="58"/>
  <c r="N34" i="60"/>
  <c r="F37" i="61"/>
  <c r="Z14" i="68"/>
  <c r="V52" i="69"/>
  <c r="V14" i="55"/>
  <c r="V16" i="55"/>
  <c r="V18" i="55"/>
  <c r="J26" i="55"/>
  <c r="J53" i="56"/>
  <c r="V57" i="56"/>
  <c r="R62" i="56"/>
  <c r="R63" i="56"/>
  <c r="V65" i="56"/>
  <c r="F72" i="56"/>
  <c r="L12" i="57"/>
  <c r="J23" i="57"/>
  <c r="J27" i="57"/>
  <c r="F32" i="57"/>
  <c r="J33" i="57"/>
  <c r="R36" i="57"/>
  <c r="R37" i="57"/>
  <c r="J43" i="57"/>
  <c r="J51" i="57"/>
  <c r="J59" i="57"/>
  <c r="R63" i="57"/>
  <c r="R65" i="57"/>
  <c r="V22" i="58"/>
  <c r="V26" i="58"/>
  <c r="R31" i="58"/>
  <c r="V38" i="58"/>
  <c r="F43" i="58"/>
  <c r="J44" i="58"/>
  <c r="N49" i="58"/>
  <c r="N57" i="58"/>
  <c r="J64" i="58"/>
  <c r="F69" i="58"/>
  <c r="F44" i="60"/>
  <c r="F43" i="60"/>
  <c r="F36" i="60"/>
  <c r="L12" i="60"/>
  <c r="F27" i="60"/>
  <c r="F23" i="60"/>
  <c r="F46" i="60"/>
  <c r="F45" i="60"/>
  <c r="F38" i="60"/>
  <c r="F37" i="60"/>
  <c r="F29" i="60"/>
  <c r="F28" i="60"/>
  <c r="F50" i="60"/>
  <c r="F48" i="60"/>
  <c r="F31" i="60"/>
  <c r="F30" i="60"/>
  <c r="F18" i="60"/>
  <c r="F16" i="60"/>
  <c r="F14" i="60"/>
  <c r="F52" i="60"/>
  <c r="D16" i="60"/>
  <c r="F41" i="60"/>
  <c r="F33" i="60"/>
  <c r="F32" i="60"/>
  <c r="F25" i="60"/>
  <c r="F21" i="60"/>
  <c r="F42" i="60"/>
  <c r="F26" i="60"/>
  <c r="F22" i="60"/>
  <c r="F20" i="60"/>
  <c r="Z28" i="60"/>
  <c r="V38" i="60"/>
  <c r="V50" i="60"/>
  <c r="N38" i="63"/>
  <c r="Z67" i="63"/>
  <c r="Z76" i="63"/>
  <c r="L85" i="63"/>
  <c r="N85" i="63" s="1"/>
  <c r="R24" i="54"/>
  <c r="X12" i="55"/>
  <c r="V19" i="55"/>
  <c r="F23" i="55"/>
  <c r="F24" i="55"/>
  <c r="J25" i="55"/>
  <c r="R28" i="55"/>
  <c r="J37" i="55"/>
  <c r="J40" i="55"/>
  <c r="L19" i="56"/>
  <c r="N19" i="56" s="1"/>
  <c r="F23" i="56"/>
  <c r="F27" i="56"/>
  <c r="J28" i="56"/>
  <c r="V30" i="56"/>
  <c r="F34" i="56"/>
  <c r="F35" i="56"/>
  <c r="J36" i="56"/>
  <c r="R39" i="56"/>
  <c r="R40" i="56"/>
  <c r="V42" i="56"/>
  <c r="F46" i="56"/>
  <c r="F47" i="56"/>
  <c r="V50" i="56"/>
  <c r="R55" i="56"/>
  <c r="R56" i="56"/>
  <c r="F59" i="56"/>
  <c r="V62" i="56"/>
  <c r="X65" i="56"/>
  <c r="Z65" i="56" s="1"/>
  <c r="F68" i="56"/>
  <c r="F70" i="56"/>
  <c r="J72" i="56"/>
  <c r="N12" i="57"/>
  <c r="R29" i="57"/>
  <c r="J32" i="57"/>
  <c r="L33" i="57"/>
  <c r="N33" i="57" s="1"/>
  <c r="V36" i="57"/>
  <c r="F40" i="57"/>
  <c r="F41" i="57"/>
  <c r="J42" i="57"/>
  <c r="R45" i="57"/>
  <c r="F48" i="57"/>
  <c r="F49" i="57"/>
  <c r="J50" i="57"/>
  <c r="R53" i="57"/>
  <c r="F56" i="57"/>
  <c r="F57" i="57"/>
  <c r="J58" i="57"/>
  <c r="R61" i="57"/>
  <c r="F19" i="58"/>
  <c r="F20" i="58"/>
  <c r="F24" i="58"/>
  <c r="F28" i="58"/>
  <c r="V31" i="58"/>
  <c r="R36" i="58"/>
  <c r="R37" i="58"/>
  <c r="V39" i="58"/>
  <c r="J49" i="58"/>
  <c r="R52" i="58"/>
  <c r="J57" i="58"/>
  <c r="Z62" i="58"/>
  <c r="L64" i="58"/>
  <c r="N64" i="58" s="1"/>
  <c r="Z50" i="59"/>
  <c r="V18" i="60"/>
  <c r="Z34" i="60"/>
  <c r="Z14" i="61"/>
  <c r="X14" i="61"/>
  <c r="N19" i="61"/>
  <c r="Z51" i="63"/>
  <c r="X51" i="63"/>
  <c r="Z12" i="55"/>
  <c r="J24" i="55"/>
  <c r="L12" i="56"/>
  <c r="R20" i="56"/>
  <c r="J23" i="56"/>
  <c r="R24" i="56"/>
  <c r="J27" i="56"/>
  <c r="J35" i="56"/>
  <c r="V39" i="56"/>
  <c r="J47" i="56"/>
  <c r="R48" i="56"/>
  <c r="F52" i="56"/>
  <c r="V55" i="56"/>
  <c r="J59" i="56"/>
  <c r="R60" i="56"/>
  <c r="R61" i="56"/>
  <c r="V63" i="56"/>
  <c r="R19" i="57"/>
  <c r="F22" i="57"/>
  <c r="F26" i="57"/>
  <c r="V29" i="57"/>
  <c r="R34" i="57"/>
  <c r="R35" i="57"/>
  <c r="V37" i="57"/>
  <c r="J41" i="57"/>
  <c r="V45" i="57"/>
  <c r="J49" i="57"/>
  <c r="V53" i="57"/>
  <c r="J57" i="57"/>
  <c r="V61" i="57"/>
  <c r="V63" i="57"/>
  <c r="V65" i="57"/>
  <c r="F69" i="57"/>
  <c r="F72" i="57"/>
  <c r="J14" i="58"/>
  <c r="J16" i="58"/>
  <c r="J18" i="58"/>
  <c r="J20" i="58"/>
  <c r="R21" i="58"/>
  <c r="J24" i="58"/>
  <c r="R25" i="58"/>
  <c r="J28" i="58"/>
  <c r="R29" i="58"/>
  <c r="R30" i="58"/>
  <c r="F33" i="58"/>
  <c r="V36" i="58"/>
  <c r="J43" i="58"/>
  <c r="R45" i="58"/>
  <c r="X49" i="58"/>
  <c r="Z49" i="58" s="1"/>
  <c r="Z52" i="58"/>
  <c r="R54" i="58"/>
  <c r="X57" i="58"/>
  <c r="Z57" i="58" s="1"/>
  <c r="J69" i="58"/>
  <c r="Z18" i="59"/>
  <c r="H16" i="60"/>
  <c r="Z38" i="63"/>
  <c r="Z93" i="63"/>
  <c r="N97" i="63"/>
  <c r="H96" i="63"/>
  <c r="H101" i="63" s="1"/>
  <c r="F21" i="55"/>
  <c r="F22" i="55"/>
  <c r="J23" i="55"/>
  <c r="R26" i="55"/>
  <c r="F31" i="55"/>
  <c r="N12" i="56"/>
  <c r="R14" i="56"/>
  <c r="R16" i="56"/>
  <c r="R18" i="56"/>
  <c r="V20" i="56"/>
  <c r="V24" i="56"/>
  <c r="R29" i="56"/>
  <c r="F32" i="56"/>
  <c r="F33" i="56"/>
  <c r="J34" i="56"/>
  <c r="R37" i="56"/>
  <c r="R38" i="56"/>
  <c r="V40" i="56"/>
  <c r="F44" i="56"/>
  <c r="J46" i="56"/>
  <c r="V48" i="56"/>
  <c r="J52" i="56"/>
  <c r="R53" i="56"/>
  <c r="R54" i="56"/>
  <c r="V56" i="56"/>
  <c r="J68" i="56"/>
  <c r="R74" i="56"/>
  <c r="V14" i="57"/>
  <c r="V16" i="57"/>
  <c r="V18" i="57"/>
  <c r="J22" i="57"/>
  <c r="R23" i="57"/>
  <c r="J26" i="57"/>
  <c r="R27" i="57"/>
  <c r="R28" i="57"/>
  <c r="F31" i="57"/>
  <c r="F39" i="57"/>
  <c r="J40" i="57"/>
  <c r="R43" i="57"/>
  <c r="R44" i="57"/>
  <c r="F47" i="57"/>
  <c r="J48" i="57"/>
  <c r="R51" i="57"/>
  <c r="R52" i="57"/>
  <c r="R59" i="57"/>
  <c r="F67" i="58"/>
  <c r="F66" i="58"/>
  <c r="F59" i="58"/>
  <c r="F51" i="58"/>
  <c r="F73" i="58"/>
  <c r="F54" i="58"/>
  <c r="F46" i="58"/>
  <c r="F45" i="58"/>
  <c r="F61" i="58"/>
  <c r="F65" i="58"/>
  <c r="F64" i="58"/>
  <c r="V21" i="58"/>
  <c r="V25" i="58"/>
  <c r="V29" i="58"/>
  <c r="J33" i="58"/>
  <c r="R34" i="58"/>
  <c r="R35" i="58"/>
  <c r="V37" i="58"/>
  <c r="F41" i="58"/>
  <c r="J42" i="58"/>
  <c r="R44" i="58"/>
  <c r="F48" i="58"/>
  <c r="R49" i="58"/>
  <c r="F56" i="58"/>
  <c r="R57" i="58"/>
  <c r="F63" i="58"/>
  <c r="Z64" i="58"/>
  <c r="Z36" i="59"/>
  <c r="X36" i="59"/>
  <c r="F35" i="60"/>
  <c r="V46" i="60"/>
  <c r="F30" i="61"/>
  <c r="D16" i="61"/>
  <c r="F55" i="61"/>
  <c r="F52" i="61"/>
  <c r="F25" i="61"/>
  <c r="F21" i="61"/>
  <c r="F40" i="61"/>
  <c r="F31" i="61"/>
  <c r="F42" i="61"/>
  <c r="F41" i="61"/>
  <c r="F33" i="61"/>
  <c r="F32" i="61"/>
  <c r="F44" i="61"/>
  <c r="F43" i="61"/>
  <c r="F28" i="61"/>
  <c r="F27" i="61"/>
  <c r="L12" i="61"/>
  <c r="F35" i="61"/>
  <c r="F34" i="61"/>
  <c r="F23" i="61"/>
  <c r="F50" i="61"/>
  <c r="F24" i="61"/>
  <c r="F20" i="61"/>
  <c r="F19" i="61"/>
  <c r="F39" i="61"/>
  <c r="F38" i="61"/>
  <c r="F18" i="61"/>
  <c r="F16" i="61"/>
  <c r="F14" i="61"/>
  <c r="F26" i="61"/>
  <c r="Z41" i="61"/>
  <c r="X41" i="61"/>
  <c r="N14" i="67"/>
  <c r="H16" i="67"/>
  <c r="L14" i="67"/>
  <c r="H12" i="70"/>
  <c r="L16" i="70"/>
  <c r="N16" i="70" s="1"/>
  <c r="D16" i="59"/>
  <c r="J21" i="59"/>
  <c r="R22" i="59"/>
  <c r="J25" i="59"/>
  <c r="R26" i="59"/>
  <c r="J29" i="59"/>
  <c r="F34" i="59"/>
  <c r="J45" i="59"/>
  <c r="R46" i="59"/>
  <c r="R54" i="59"/>
  <c r="R55" i="59"/>
  <c r="F59" i="59"/>
  <c r="F61" i="59"/>
  <c r="J63" i="59"/>
  <c r="R14" i="60"/>
  <c r="R16" i="60"/>
  <c r="R18" i="60"/>
  <c r="R29" i="60"/>
  <c r="R30" i="60"/>
  <c r="J36" i="60"/>
  <c r="J44" i="60"/>
  <c r="R48" i="60"/>
  <c r="R50" i="60"/>
  <c r="V22" i="61"/>
  <c r="V26" i="61"/>
  <c r="J30" i="61"/>
  <c r="V34" i="61"/>
  <c r="V42" i="61"/>
  <c r="J52" i="61"/>
  <c r="J55" i="61"/>
  <c r="Z12" i="63"/>
  <c r="Z14" i="63"/>
  <c r="F21" i="63"/>
  <c r="F25" i="63"/>
  <c r="F29" i="63"/>
  <c r="J30" i="63"/>
  <c r="V32" i="63"/>
  <c r="V36" i="63"/>
  <c r="F40" i="63"/>
  <c r="F41" i="63"/>
  <c r="V44" i="63"/>
  <c r="F48" i="63"/>
  <c r="F49" i="63"/>
  <c r="V52" i="63"/>
  <c r="J60" i="63"/>
  <c r="V64" i="63"/>
  <c r="F69" i="63"/>
  <c r="V72" i="63"/>
  <c r="R77" i="63"/>
  <c r="R78" i="63"/>
  <c r="F81" i="63"/>
  <c r="J88" i="63"/>
  <c r="V90" i="63"/>
  <c r="F92" i="63"/>
  <c r="F98" i="63"/>
  <c r="J101" i="63"/>
  <c r="F20" i="67"/>
  <c r="F32" i="67"/>
  <c r="V42" i="67"/>
  <c r="L16" i="68"/>
  <c r="N42" i="68"/>
  <c r="X38" i="69"/>
  <c r="Z38" i="69" s="1"/>
  <c r="X50" i="69"/>
  <c r="Z50" i="69" s="1"/>
  <c r="R31" i="59"/>
  <c r="R35" i="59"/>
  <c r="R36" i="59"/>
  <c r="F42" i="59"/>
  <c r="F43" i="59"/>
  <c r="J44" i="59"/>
  <c r="F50" i="59"/>
  <c r="F51" i="59"/>
  <c r="R19" i="60"/>
  <c r="R38" i="60"/>
  <c r="R39" i="60"/>
  <c r="J43" i="60"/>
  <c r="R46" i="60"/>
  <c r="H16" i="61"/>
  <c r="V27" i="61"/>
  <c r="V31" i="61"/>
  <c r="J39" i="61"/>
  <c r="V43" i="61"/>
  <c r="D16" i="63"/>
  <c r="J21" i="63"/>
  <c r="R22" i="63"/>
  <c r="J25" i="63"/>
  <c r="R26" i="63"/>
  <c r="J29" i="63"/>
  <c r="F34" i="63"/>
  <c r="J41" i="63"/>
  <c r="R42" i="63"/>
  <c r="R43" i="63"/>
  <c r="V45" i="63"/>
  <c r="J49" i="63"/>
  <c r="R50" i="63"/>
  <c r="R51" i="63"/>
  <c r="V53" i="63"/>
  <c r="F57" i="63"/>
  <c r="F58" i="63"/>
  <c r="J59" i="63"/>
  <c r="R62" i="63"/>
  <c r="R63" i="63"/>
  <c r="V65" i="63"/>
  <c r="J69" i="63"/>
  <c r="R70" i="63"/>
  <c r="F74" i="63"/>
  <c r="V77" i="63"/>
  <c r="J81" i="63"/>
  <c r="R82" i="63"/>
  <c r="F85" i="63"/>
  <c r="F86" i="63"/>
  <c r="J87" i="63"/>
  <c r="J92" i="63"/>
  <c r="F99" i="63"/>
  <c r="N18" i="68"/>
  <c r="N20" i="68"/>
  <c r="X25" i="68"/>
  <c r="Z25" i="68" s="1"/>
  <c r="X27" i="68"/>
  <c r="Z27" i="68" s="1"/>
  <c r="N83" i="68"/>
  <c r="L83" i="68"/>
  <c r="X97" i="68"/>
  <c r="Z97" i="68" s="1"/>
  <c r="L100" i="68"/>
  <c r="N16" i="69"/>
  <c r="R38" i="69"/>
  <c r="Z40" i="69"/>
  <c r="R50" i="69"/>
  <c r="Z52" i="69"/>
  <c r="Z19" i="72"/>
  <c r="H72" i="72"/>
  <c r="N100" i="68"/>
  <c r="Z16" i="69"/>
  <c r="N55" i="69"/>
  <c r="X59" i="69"/>
  <c r="Z59" i="69" s="1"/>
  <c r="J19" i="59"/>
  <c r="J33" i="59"/>
  <c r="R34" i="59"/>
  <c r="J41" i="59"/>
  <c r="J49" i="59"/>
  <c r="J57" i="59"/>
  <c r="J34" i="60"/>
  <c r="J54" i="60"/>
  <c r="J57" i="60"/>
  <c r="V30" i="61"/>
  <c r="J36" i="61"/>
  <c r="J46" i="61"/>
  <c r="J48" i="61"/>
  <c r="J14" i="63"/>
  <c r="J16" i="63"/>
  <c r="J18" i="63"/>
  <c r="J20" i="63"/>
  <c r="R21" i="63"/>
  <c r="J24" i="63"/>
  <c r="R25" i="63"/>
  <c r="J28" i="63"/>
  <c r="R29" i="63"/>
  <c r="R30" i="63"/>
  <c r="F33" i="63"/>
  <c r="F37" i="63"/>
  <c r="J38" i="63"/>
  <c r="R41" i="63"/>
  <c r="R49" i="63"/>
  <c r="J56" i="63"/>
  <c r="V60" i="63"/>
  <c r="J68" i="63"/>
  <c r="R69" i="63"/>
  <c r="F72" i="63"/>
  <c r="F73" i="63"/>
  <c r="V76" i="63"/>
  <c r="J80" i="63"/>
  <c r="R81" i="63"/>
  <c r="J84" i="63"/>
  <c r="V88" i="63"/>
  <c r="Z89" i="63"/>
  <c r="F91" i="63"/>
  <c r="V92" i="63"/>
  <c r="V101" i="63"/>
  <c r="R108" i="63"/>
  <c r="F19" i="67"/>
  <c r="Z29" i="68"/>
  <c r="Z31" i="68"/>
  <c r="V57" i="72"/>
  <c r="V49" i="72"/>
  <c r="V33" i="72"/>
  <c r="V29" i="72"/>
  <c r="V74" i="72"/>
  <c r="V56" i="72"/>
  <c r="V48" i="72"/>
  <c r="V20" i="72"/>
  <c r="V63" i="72"/>
  <c r="V59" i="72"/>
  <c r="V51" i="72"/>
  <c r="V39" i="72"/>
  <c r="V35" i="72"/>
  <c r="V58" i="72"/>
  <c r="V50" i="72"/>
  <c r="V34" i="72"/>
  <c r="V30" i="72"/>
  <c r="V26" i="72"/>
  <c r="V65" i="72"/>
  <c r="V53" i="72"/>
  <c r="V41" i="72"/>
  <c r="V25" i="72"/>
  <c r="V21" i="72"/>
  <c r="V64" i="72"/>
  <c r="V60" i="72"/>
  <c r="V52" i="72"/>
  <c r="V40" i="72"/>
  <c r="V36" i="72"/>
  <c r="T23" i="72"/>
  <c r="V23" i="72" s="1"/>
  <c r="V67" i="72"/>
  <c r="V43" i="72"/>
  <c r="V31" i="72"/>
  <c r="V27" i="72"/>
  <c r="V66" i="72"/>
  <c r="V54" i="72"/>
  <c r="V42" i="72"/>
  <c r="V61" i="72"/>
  <c r="V45" i="72"/>
  <c r="V37" i="72"/>
  <c r="V55" i="72"/>
  <c r="V47" i="72"/>
  <c r="V19" i="72"/>
  <c r="V38" i="72"/>
  <c r="V70" i="72"/>
  <c r="V44" i="72"/>
  <c r="V46" i="72"/>
  <c r="V32" i="72"/>
  <c r="V62" i="72"/>
  <c r="V28" i="72"/>
  <c r="V68" i="72"/>
  <c r="F23" i="59"/>
  <c r="F27" i="59"/>
  <c r="F38" i="59"/>
  <c r="F39" i="59"/>
  <c r="J40" i="59"/>
  <c r="R43" i="59"/>
  <c r="R44" i="59"/>
  <c r="F47" i="59"/>
  <c r="J48" i="59"/>
  <c r="R51" i="59"/>
  <c r="J21" i="60"/>
  <c r="R22" i="60"/>
  <c r="J25" i="60"/>
  <c r="R26" i="60"/>
  <c r="J33" i="60"/>
  <c r="J41" i="60"/>
  <c r="R42" i="60"/>
  <c r="R43" i="60"/>
  <c r="J23" i="61"/>
  <c r="J35" i="61"/>
  <c r="V39" i="61"/>
  <c r="J19" i="63"/>
  <c r="V21" i="63"/>
  <c r="V25" i="63"/>
  <c r="V29" i="63"/>
  <c r="J33" i="63"/>
  <c r="R34" i="63"/>
  <c r="J37" i="63"/>
  <c r="V41" i="63"/>
  <c r="F45" i="63"/>
  <c r="F46" i="63"/>
  <c r="V49" i="63"/>
  <c r="F53" i="63"/>
  <c r="F54" i="63"/>
  <c r="J55" i="63"/>
  <c r="R58" i="63"/>
  <c r="R59" i="63"/>
  <c r="V61" i="63"/>
  <c r="F65" i="63"/>
  <c r="F66" i="63"/>
  <c r="J67" i="63"/>
  <c r="V69" i="63"/>
  <c r="J73" i="63"/>
  <c r="R74" i="63"/>
  <c r="V81" i="63"/>
  <c r="R86" i="63"/>
  <c r="R87" i="63"/>
  <c r="F28" i="67"/>
  <c r="N28" i="68"/>
  <c r="N92" i="68"/>
  <c r="N94" i="68"/>
  <c r="Z100" i="68"/>
  <c r="N110" i="68"/>
  <c r="R37" i="69"/>
  <c r="R55" i="69"/>
  <c r="X14" i="70"/>
  <c r="Z14" i="70"/>
  <c r="P16" i="59"/>
  <c r="R20" i="59"/>
  <c r="J23" i="59"/>
  <c r="R24" i="59"/>
  <c r="J27" i="59"/>
  <c r="R28" i="59"/>
  <c r="F32" i="59"/>
  <c r="J39" i="59"/>
  <c r="J47" i="59"/>
  <c r="F55" i="59"/>
  <c r="F56" i="59"/>
  <c r="R59" i="59"/>
  <c r="R61" i="59"/>
  <c r="J32" i="60"/>
  <c r="R35" i="60"/>
  <c r="J52" i="60"/>
  <c r="V20" i="61"/>
  <c r="V24" i="61"/>
  <c r="J28" i="61"/>
  <c r="J34" i="61"/>
  <c r="J44" i="61"/>
  <c r="V50" i="61"/>
  <c r="V52" i="61"/>
  <c r="V55" i="61"/>
  <c r="J108" i="63"/>
  <c r="J105" i="63"/>
  <c r="J91" i="63"/>
  <c r="F23" i="63"/>
  <c r="F27" i="63"/>
  <c r="V30" i="63"/>
  <c r="V34" i="63"/>
  <c r="R39" i="63"/>
  <c r="R40" i="63"/>
  <c r="J46" i="63"/>
  <c r="R47" i="63"/>
  <c r="R48" i="63"/>
  <c r="J54" i="63"/>
  <c r="V58" i="63"/>
  <c r="J66" i="63"/>
  <c r="F71" i="63"/>
  <c r="J72" i="63"/>
  <c r="V74" i="63"/>
  <c r="F78" i="63"/>
  <c r="F79" i="63"/>
  <c r="F83" i="63"/>
  <c r="V86" i="63"/>
  <c r="R98" i="63"/>
  <c r="Z99" i="63"/>
  <c r="F103" i="63"/>
  <c r="F18" i="67"/>
  <c r="Z22" i="68"/>
  <c r="L26" i="68"/>
  <c r="N26" i="68" s="1"/>
  <c r="Z33" i="68"/>
  <c r="Z35" i="68"/>
  <c r="R20" i="69"/>
  <c r="R23" i="69"/>
  <c r="R49" i="69"/>
  <c r="Z22" i="70"/>
  <c r="P112" i="70"/>
  <c r="X114" i="70"/>
  <c r="J67" i="72"/>
  <c r="J61" i="72"/>
  <c r="J43" i="72"/>
  <c r="J37" i="72"/>
  <c r="J68" i="72"/>
  <c r="J44" i="72"/>
  <c r="J32" i="72"/>
  <c r="J28" i="72"/>
  <c r="J55" i="72"/>
  <c r="J45" i="72"/>
  <c r="J72" i="72"/>
  <c r="J70" i="72"/>
  <c r="J62" i="72"/>
  <c r="J46" i="72"/>
  <c r="J38" i="72"/>
  <c r="J47" i="72"/>
  <c r="J33" i="72"/>
  <c r="J29" i="72"/>
  <c r="J19" i="72"/>
  <c r="J74" i="72"/>
  <c r="J56" i="72"/>
  <c r="J48" i="72"/>
  <c r="J20" i="72"/>
  <c r="J63" i="72"/>
  <c r="J57" i="72"/>
  <c r="J49" i="72"/>
  <c r="J39" i="72"/>
  <c r="J58" i="72"/>
  <c r="J50" i="72"/>
  <c r="J34" i="72"/>
  <c r="J30" i="72"/>
  <c r="J59" i="72"/>
  <c r="J51" i="72"/>
  <c r="J35" i="72"/>
  <c r="J21" i="72"/>
  <c r="J65" i="72"/>
  <c r="J53" i="72"/>
  <c r="J41" i="72"/>
  <c r="J31" i="72"/>
  <c r="J27" i="72"/>
  <c r="J25" i="72"/>
  <c r="J23" i="72"/>
  <c r="J66" i="72"/>
  <c r="J60" i="72"/>
  <c r="J36" i="72"/>
  <c r="J64" i="72"/>
  <c r="J42" i="72"/>
  <c r="J54" i="72"/>
  <c r="J40" i="72"/>
  <c r="J52" i="72"/>
  <c r="L48" i="74"/>
  <c r="N48" i="74" s="1"/>
  <c r="P16" i="63"/>
  <c r="R56" i="63"/>
  <c r="R57" i="63"/>
  <c r="R68" i="63"/>
  <c r="R80" i="63"/>
  <c r="R84" i="63"/>
  <c r="R85" i="63"/>
  <c r="R91" i="63"/>
  <c r="V99" i="63"/>
  <c r="J103" i="63"/>
  <c r="R105" i="63"/>
  <c r="F48" i="67"/>
  <c r="F47" i="67"/>
  <c r="F58" i="67"/>
  <c r="F56" i="67"/>
  <c r="F39" i="67"/>
  <c r="F38" i="67"/>
  <c r="F27" i="67"/>
  <c r="F23" i="67"/>
  <c r="F49" i="67"/>
  <c r="F41" i="67"/>
  <c r="F40" i="67"/>
  <c r="F33" i="67"/>
  <c r="F65" i="67"/>
  <c r="F62" i="67"/>
  <c r="F43" i="67"/>
  <c r="F42" i="67"/>
  <c r="F50" i="67"/>
  <c r="F34" i="67"/>
  <c r="F30" i="67"/>
  <c r="F29" i="67"/>
  <c r="D16" i="67"/>
  <c r="F45" i="67"/>
  <c r="F44" i="67"/>
  <c r="F25" i="67"/>
  <c r="F21" i="67"/>
  <c r="F54" i="67"/>
  <c r="F53" i="67"/>
  <c r="F46" i="67"/>
  <c r="F26" i="67"/>
  <c r="F22" i="67"/>
  <c r="F37" i="67"/>
  <c r="F36" i="67"/>
  <c r="F51" i="67"/>
  <c r="F60" i="67"/>
  <c r="P12" i="68"/>
  <c r="X15" i="68"/>
  <c r="N32" i="68"/>
  <c r="D12" i="70"/>
  <c r="L13" i="70"/>
  <c r="Z114" i="70"/>
  <c r="T112" i="70"/>
  <c r="N40" i="74"/>
  <c r="L40" i="74"/>
  <c r="R19" i="59"/>
  <c r="F26" i="59"/>
  <c r="J37" i="59"/>
  <c r="F46" i="59"/>
  <c r="F53" i="59"/>
  <c r="F54" i="59"/>
  <c r="J55" i="59"/>
  <c r="F65" i="59"/>
  <c r="F68" i="59"/>
  <c r="R21" i="60"/>
  <c r="R25" i="60"/>
  <c r="J30" i="60"/>
  <c r="R33" i="60"/>
  <c r="R34" i="60"/>
  <c r="J40" i="60"/>
  <c r="R41" i="60"/>
  <c r="J48" i="60"/>
  <c r="J50" i="60"/>
  <c r="R54" i="60"/>
  <c r="R57" i="60"/>
  <c r="V14" i="61"/>
  <c r="V16" i="61"/>
  <c r="V18" i="61"/>
  <c r="V38" i="61"/>
  <c r="J42" i="61"/>
  <c r="R14" i="63"/>
  <c r="R16" i="63"/>
  <c r="R18" i="63"/>
  <c r="V24" i="63"/>
  <c r="V28" i="63"/>
  <c r="J32" i="63"/>
  <c r="R33" i="63"/>
  <c r="J36" i="63"/>
  <c r="R37" i="63"/>
  <c r="R38" i="63"/>
  <c r="V40" i="63"/>
  <c r="J44" i="63"/>
  <c r="V48" i="63"/>
  <c r="J52" i="63"/>
  <c r="V56" i="63"/>
  <c r="J64" i="63"/>
  <c r="V68" i="63"/>
  <c r="F76" i="63"/>
  <c r="F77" i="63"/>
  <c r="J78" i="63"/>
  <c r="V80" i="63"/>
  <c r="V84" i="63"/>
  <c r="J90" i="63"/>
  <c r="V91" i="63"/>
  <c r="J94" i="63"/>
  <c r="X96" i="63"/>
  <c r="Z96" i="63" s="1"/>
  <c r="X97" i="63"/>
  <c r="V98" i="63"/>
  <c r="V31" i="67"/>
  <c r="Z36" i="67"/>
  <c r="Z38" i="67"/>
  <c r="L53" i="67"/>
  <c r="Z13" i="68"/>
  <c r="T12" i="68"/>
  <c r="Z15" i="68"/>
  <c r="Z26" i="68"/>
  <c r="L30" i="68"/>
  <c r="Z37" i="68"/>
  <c r="Z39" i="68"/>
  <c r="X41" i="68"/>
  <c r="Z40" i="70"/>
  <c r="N29" i="74"/>
  <c r="V109" i="76"/>
  <c r="V101" i="76"/>
  <c r="V99" i="76"/>
  <c r="V91" i="76"/>
  <c r="V93" i="76"/>
  <c r="V102" i="76"/>
  <c r="V98" i="76"/>
  <c r="V76" i="76"/>
  <c r="V64" i="76"/>
  <c r="V60" i="76"/>
  <c r="V95" i="76"/>
  <c r="V92" i="76"/>
  <c r="V79" i="76"/>
  <c r="V51" i="76"/>
  <c r="V47" i="76"/>
  <c r="V43" i="76"/>
  <c r="V39" i="76"/>
  <c r="V103" i="76"/>
  <c r="V88" i="76"/>
  <c r="V87" i="76"/>
  <c r="V78" i="76"/>
  <c r="V70" i="76"/>
  <c r="V65" i="76"/>
  <c r="V61" i="76"/>
  <c r="V57" i="76"/>
  <c r="V104" i="76"/>
  <c r="V96" i="76"/>
  <c r="V80" i="76"/>
  <c r="V56" i="76"/>
  <c r="V52" i="76"/>
  <c r="V48" i="76"/>
  <c r="V44" i="76"/>
  <c r="V40" i="76"/>
  <c r="V105" i="76"/>
  <c r="V71" i="76"/>
  <c r="V67" i="76"/>
  <c r="T54" i="76"/>
  <c r="V54" i="76" s="1"/>
  <c r="V90" i="76"/>
  <c r="V89" i="76"/>
  <c r="V82" i="76"/>
  <c r="V66" i="76"/>
  <c r="V62" i="76"/>
  <c r="V58" i="76"/>
  <c r="V81" i="76"/>
  <c r="V73" i="76"/>
  <c r="V49" i="76"/>
  <c r="V45" i="76"/>
  <c r="V41" i="76"/>
  <c r="V94" i="76"/>
  <c r="V84" i="76"/>
  <c r="V72" i="76"/>
  <c r="V68" i="76"/>
  <c r="V97" i="76"/>
  <c r="V74" i="76"/>
  <c r="V50" i="76"/>
  <c r="V46" i="76"/>
  <c r="V42" i="76"/>
  <c r="V86" i="76"/>
  <c r="V85" i="76"/>
  <c r="V77" i="76"/>
  <c r="V69" i="76"/>
  <c r="V75" i="76"/>
  <c r="V59" i="76"/>
  <c r="V83" i="76"/>
  <c r="V63" i="76"/>
  <c r="L32" i="61"/>
  <c r="N32" i="61" s="1"/>
  <c r="X38" i="61"/>
  <c r="Z38" i="61" s="1"/>
  <c r="R97" i="63"/>
  <c r="R94" i="63"/>
  <c r="R101" i="63"/>
  <c r="R99" i="63"/>
  <c r="R93" i="63"/>
  <c r="R92" i="63"/>
  <c r="R19" i="63"/>
  <c r="X40" i="63"/>
  <c r="Z40" i="63" s="1"/>
  <c r="R46" i="63"/>
  <c r="X48" i="63"/>
  <c r="Z48" i="63" s="1"/>
  <c r="R54" i="63"/>
  <c r="R55" i="63"/>
  <c r="R66" i="63"/>
  <c r="R67" i="63"/>
  <c r="V73" i="63"/>
  <c r="J77" i="63"/>
  <c r="L78" i="63"/>
  <c r="N78" i="63" s="1"/>
  <c r="F82" i="63"/>
  <c r="F89" i="63"/>
  <c r="F93" i="63"/>
  <c r="R96" i="63"/>
  <c r="Z97" i="63"/>
  <c r="L12" i="67"/>
  <c r="L18" i="67"/>
  <c r="N18" i="67" s="1"/>
  <c r="X19" i="67"/>
  <c r="Z19" i="67" s="1"/>
  <c r="Z41" i="68"/>
  <c r="R61" i="69"/>
  <c r="R63" i="69"/>
  <c r="R62" i="69"/>
  <c r="R64" i="69"/>
  <c r="R34" i="69"/>
  <c r="R53" i="69"/>
  <c r="R42" i="69"/>
  <c r="R41" i="69"/>
  <c r="R29" i="69"/>
  <c r="R25" i="69"/>
  <c r="R72" i="69"/>
  <c r="R60" i="69"/>
  <c r="R68" i="69"/>
  <c r="R44" i="69"/>
  <c r="R43" i="69"/>
  <c r="R35" i="69"/>
  <c r="R16" i="69"/>
  <c r="R30" i="69"/>
  <c r="R26" i="69"/>
  <c r="R57" i="69"/>
  <c r="R46" i="69"/>
  <c r="R45" i="69"/>
  <c r="R17" i="69"/>
  <c r="R54" i="69"/>
  <c r="R36" i="69"/>
  <c r="X12" i="69"/>
  <c r="Z12" i="69" s="1"/>
  <c r="R75" i="69"/>
  <c r="R48" i="69"/>
  <c r="R47" i="69"/>
  <c r="R32" i="69"/>
  <c r="R31" i="69"/>
  <c r="R27" i="69"/>
  <c r="R28" i="69"/>
  <c r="R24" i="69"/>
  <c r="P20" i="69"/>
  <c r="R66" i="69"/>
  <c r="R56" i="69"/>
  <c r="R52" i="69"/>
  <c r="R51" i="69"/>
  <c r="R40" i="69"/>
  <c r="R39" i="69"/>
  <c r="R33" i="69"/>
  <c r="X12" i="59"/>
  <c r="J31" i="59"/>
  <c r="R32" i="59"/>
  <c r="J35" i="59"/>
  <c r="F52" i="59"/>
  <c r="J53" i="59"/>
  <c r="R56" i="59"/>
  <c r="J65" i="59"/>
  <c r="J68" i="59"/>
  <c r="J28" i="60"/>
  <c r="R31" i="60"/>
  <c r="R32" i="60"/>
  <c r="J38" i="60"/>
  <c r="L39" i="60"/>
  <c r="N39" i="60" s="1"/>
  <c r="J46" i="60"/>
  <c r="Z12" i="61"/>
  <c r="X19" i="61"/>
  <c r="Z19" i="61" s="1"/>
  <c r="V28" i="61"/>
  <c r="V36" i="61"/>
  <c r="J40" i="61"/>
  <c r="L41" i="61"/>
  <c r="N41" i="61" s="1"/>
  <c r="V44" i="61"/>
  <c r="V46" i="61"/>
  <c r="V48" i="61"/>
  <c r="V108" i="63"/>
  <c r="V105" i="63"/>
  <c r="V103" i="63"/>
  <c r="V89" i="63"/>
  <c r="V97" i="63"/>
  <c r="V14" i="63"/>
  <c r="V16" i="63"/>
  <c r="V18" i="63"/>
  <c r="R23" i="63"/>
  <c r="R27" i="63"/>
  <c r="F35" i="63"/>
  <c r="V38" i="63"/>
  <c r="J42" i="63"/>
  <c r="L43" i="63"/>
  <c r="N43" i="63" s="1"/>
  <c r="V46" i="63"/>
  <c r="J50" i="63"/>
  <c r="V54" i="63"/>
  <c r="J62" i="63"/>
  <c r="V66" i="63"/>
  <c r="J70" i="63"/>
  <c r="R71" i="63"/>
  <c r="R72" i="63"/>
  <c r="F75" i="63"/>
  <c r="J76" i="63"/>
  <c r="R79" i="63"/>
  <c r="J82" i="63"/>
  <c r="R83" i="63"/>
  <c r="N93" i="63"/>
  <c r="V96" i="63"/>
  <c r="F101" i="63"/>
  <c r="R103" i="63"/>
  <c r="F16" i="67"/>
  <c r="V47" i="67"/>
  <c r="Z17" i="68"/>
  <c r="Z19" i="68"/>
  <c r="L34" i="68"/>
  <c r="N34" i="68" s="1"/>
  <c r="N78" i="68"/>
  <c r="Z14" i="69"/>
  <c r="X22" i="69"/>
  <c r="Z22" i="69" s="1"/>
  <c r="L35" i="70"/>
  <c r="N35" i="70"/>
  <c r="N112" i="70"/>
  <c r="J26" i="72"/>
  <c r="F21" i="59"/>
  <c r="F25" i="59"/>
  <c r="F29" i="59"/>
  <c r="J30" i="59"/>
  <c r="R37" i="59"/>
  <c r="F44" i="59"/>
  <c r="F45" i="59"/>
  <c r="P16" i="60"/>
  <c r="R20" i="60"/>
  <c r="J23" i="60"/>
  <c r="R24" i="60"/>
  <c r="J27" i="60"/>
  <c r="J37" i="60"/>
  <c r="J21" i="61"/>
  <c r="X12" i="63"/>
  <c r="V19" i="63"/>
  <c r="V23" i="63"/>
  <c r="V27" i="63"/>
  <c r="J31" i="63"/>
  <c r="R32" i="63"/>
  <c r="J35" i="63"/>
  <c r="R36" i="63"/>
  <c r="R44" i="63"/>
  <c r="R45" i="63"/>
  <c r="R52" i="63"/>
  <c r="R53" i="63"/>
  <c r="V55" i="63"/>
  <c r="F59" i="63"/>
  <c r="F60" i="63"/>
  <c r="J61" i="63"/>
  <c r="R64" i="63"/>
  <c r="R65" i="63"/>
  <c r="V67" i="63"/>
  <c r="V71" i="63"/>
  <c r="J75" i="63"/>
  <c r="V79" i="63"/>
  <c r="V83" i="63"/>
  <c r="F87" i="63"/>
  <c r="F88" i="63"/>
  <c r="J89" i="63"/>
  <c r="R90" i="63"/>
  <c r="J93" i="63"/>
  <c r="V94" i="63"/>
  <c r="F108" i="63"/>
  <c r="V51" i="67"/>
  <c r="V43" i="67"/>
  <c r="V50" i="67"/>
  <c r="V34" i="67"/>
  <c r="V30" i="67"/>
  <c r="V52" i="67"/>
  <c r="V36" i="67"/>
  <c r="V58" i="67"/>
  <c r="V56" i="67"/>
  <c r="V54" i="67"/>
  <c r="V46" i="67"/>
  <c r="V38" i="67"/>
  <c r="V26" i="67"/>
  <c r="V37" i="67"/>
  <c r="V48" i="67"/>
  <c r="V40" i="67"/>
  <c r="V32" i="67"/>
  <c r="Z12" i="67"/>
  <c r="V49" i="67"/>
  <c r="V41" i="67"/>
  <c r="V33" i="67"/>
  <c r="V29" i="67"/>
  <c r="T16" i="67"/>
  <c r="X16" i="67" s="1"/>
  <c r="V44" i="67"/>
  <c r="V28" i="67"/>
  <c r="V24" i="67"/>
  <c r="V20" i="67"/>
  <c r="Z18" i="67"/>
  <c r="V23" i="67"/>
  <c r="V35" i="67"/>
  <c r="X40" i="67"/>
  <c r="Z40" i="67" s="1"/>
  <c r="Z42" i="67"/>
  <c r="H12" i="68"/>
  <c r="N14" i="68"/>
  <c r="N16" i="68"/>
  <c r="X21" i="68"/>
  <c r="Z21" i="68" s="1"/>
  <c r="X23" i="68"/>
  <c r="Z23" i="68" s="1"/>
  <c r="N38" i="68"/>
  <c r="N40" i="68"/>
  <c r="R22" i="69"/>
  <c r="N44" i="69"/>
  <c r="R70" i="69"/>
  <c r="T12" i="70"/>
  <c r="N12" i="67"/>
  <c r="R14" i="67"/>
  <c r="R16" i="67"/>
  <c r="R18" i="67"/>
  <c r="J32" i="67"/>
  <c r="R33" i="67"/>
  <c r="J38" i="67"/>
  <c r="R41" i="67"/>
  <c r="R42" i="67"/>
  <c r="J48" i="67"/>
  <c r="R49" i="67"/>
  <c r="J56" i="67"/>
  <c r="J58" i="67"/>
  <c r="R62" i="67"/>
  <c r="R65" i="67"/>
  <c r="L15" i="68"/>
  <c r="N15" i="68" s="1"/>
  <c r="L19" i="68"/>
  <c r="N19" i="68" s="1"/>
  <c r="L23" i="68"/>
  <c r="N23" i="68" s="1"/>
  <c r="L27" i="68"/>
  <c r="N27" i="68" s="1"/>
  <c r="L31" i="68"/>
  <c r="N31" i="68" s="1"/>
  <c r="L35" i="68"/>
  <c r="N35" i="68" s="1"/>
  <c r="L39" i="68"/>
  <c r="N39" i="68" s="1"/>
  <c r="D109" i="68"/>
  <c r="L109" i="68" s="1"/>
  <c r="N109" i="68" s="1"/>
  <c r="Z110" i="68"/>
  <c r="H12" i="69"/>
  <c r="F27" i="69"/>
  <c r="F31" i="69"/>
  <c r="F46" i="69"/>
  <c r="F47" i="69"/>
  <c r="F75" i="69"/>
  <c r="Z20" i="70"/>
  <c r="Z27" i="70"/>
  <c r="X29" i="70"/>
  <c r="Z29" i="70" s="1"/>
  <c r="X72" i="70"/>
  <c r="Z88" i="70"/>
  <c r="L93" i="70"/>
  <c r="N93" i="70" s="1"/>
  <c r="F26" i="72"/>
  <c r="R55" i="72"/>
  <c r="Z14" i="73"/>
  <c r="X14" i="73"/>
  <c r="Z71" i="73"/>
  <c r="J76" i="73"/>
  <c r="D128" i="74"/>
  <c r="L128" i="74" s="1"/>
  <c r="L129" i="74"/>
  <c r="R19" i="67"/>
  <c r="J37" i="67"/>
  <c r="J47" i="67"/>
  <c r="R60" i="67"/>
  <c r="L12" i="69"/>
  <c r="F36" i="69"/>
  <c r="F61" i="69"/>
  <c r="F64" i="69"/>
  <c r="X17" i="70"/>
  <c r="Z17" i="70" s="1"/>
  <c r="Z36" i="70"/>
  <c r="N40" i="70"/>
  <c r="L40" i="70"/>
  <c r="Z72" i="70"/>
  <c r="X79" i="70"/>
  <c r="Z79" i="70" s="1"/>
  <c r="N41" i="72"/>
  <c r="D12" i="73"/>
  <c r="Z18" i="73"/>
  <c r="X18" i="73"/>
  <c r="N32" i="74"/>
  <c r="L32" i="74"/>
  <c r="D12" i="74"/>
  <c r="L34" i="74"/>
  <c r="R37" i="67"/>
  <c r="R38" i="67"/>
  <c r="J52" i="67"/>
  <c r="R56" i="67"/>
  <c r="R58" i="67"/>
  <c r="F35" i="69"/>
  <c r="F42" i="69"/>
  <c r="F43" i="69"/>
  <c r="F63" i="69"/>
  <c r="D68" i="69"/>
  <c r="Z24" i="70"/>
  <c r="N28" i="70"/>
  <c r="X33" i="70"/>
  <c r="Z33" i="70" s="1"/>
  <c r="X22" i="73"/>
  <c r="Z22" i="73" s="1"/>
  <c r="V44" i="73"/>
  <c r="V54" i="73"/>
  <c r="V70" i="73"/>
  <c r="N20" i="74"/>
  <c r="L20" i="74"/>
  <c r="Z34" i="74"/>
  <c r="X44" i="74"/>
  <c r="Z44" i="74" s="1"/>
  <c r="Z46" i="74"/>
  <c r="X46" i="74"/>
  <c r="V72" i="75"/>
  <c r="V52" i="75"/>
  <c r="V36" i="75"/>
  <c r="V32" i="75"/>
  <c r="V71" i="75"/>
  <c r="V59" i="75"/>
  <c r="V51" i="75"/>
  <c r="V74" i="75"/>
  <c r="V66" i="75"/>
  <c r="V42" i="75"/>
  <c r="V73" i="75"/>
  <c r="V61" i="75"/>
  <c r="V53" i="75"/>
  <c r="V37" i="75"/>
  <c r="V33" i="75"/>
  <c r="V78" i="75"/>
  <c r="V60" i="75"/>
  <c r="V44" i="75"/>
  <c r="V77" i="75"/>
  <c r="V75" i="75"/>
  <c r="V67" i="75"/>
  <c r="V63" i="75"/>
  <c r="V55" i="75"/>
  <c r="V43" i="75"/>
  <c r="V62" i="75"/>
  <c r="V54" i="75"/>
  <c r="V46" i="75"/>
  <c r="V38" i="75"/>
  <c r="V34" i="75"/>
  <c r="V57" i="75"/>
  <c r="V45" i="75"/>
  <c r="V82" i="75"/>
  <c r="V68" i="75"/>
  <c r="V64" i="75"/>
  <c r="V56" i="75"/>
  <c r="V48" i="75"/>
  <c r="V40" i="75"/>
  <c r="V70" i="75"/>
  <c r="V58" i="75"/>
  <c r="V50" i="75"/>
  <c r="V30" i="75"/>
  <c r="V26" i="75"/>
  <c r="V69" i="75"/>
  <c r="V65" i="75"/>
  <c r="V49" i="75"/>
  <c r="V41" i="75"/>
  <c r="T28" i="75"/>
  <c r="V39" i="75"/>
  <c r="V31" i="75"/>
  <c r="V47" i="75"/>
  <c r="V35" i="75"/>
  <c r="R22" i="67"/>
  <c r="R26" i="67"/>
  <c r="J45" i="67"/>
  <c r="R46" i="67"/>
  <c r="R47" i="67"/>
  <c r="J51" i="67"/>
  <c r="R54" i="67"/>
  <c r="F72" i="69"/>
  <c r="Z19" i="70"/>
  <c r="L115" i="70"/>
  <c r="N115" i="70" s="1"/>
  <c r="L35" i="72"/>
  <c r="Z43" i="72"/>
  <c r="Z45" i="72"/>
  <c r="Z47" i="72"/>
  <c r="L59" i="72"/>
  <c r="L65" i="72"/>
  <c r="N65" i="72" s="1"/>
  <c r="R84" i="73"/>
  <c r="R71" i="73"/>
  <c r="R70" i="73"/>
  <c r="R58" i="73"/>
  <c r="R89" i="73"/>
  <c r="R86" i="73"/>
  <c r="R54" i="73"/>
  <c r="R49" i="73"/>
  <c r="R45" i="73"/>
  <c r="R41" i="73"/>
  <c r="R37" i="73"/>
  <c r="R73" i="73"/>
  <c r="R72" i="73"/>
  <c r="R64" i="73"/>
  <c r="R53" i="73"/>
  <c r="R51" i="73"/>
  <c r="X12" i="73"/>
  <c r="R59" i="73"/>
  <c r="R55" i="73"/>
  <c r="P51" i="73"/>
  <c r="R75" i="73"/>
  <c r="R74" i="73"/>
  <c r="R46" i="73"/>
  <c r="R42" i="73"/>
  <c r="R38" i="73"/>
  <c r="R66" i="73"/>
  <c r="R65" i="73"/>
  <c r="R34" i="73"/>
  <c r="R77" i="73"/>
  <c r="R76" i="73"/>
  <c r="R60" i="73"/>
  <c r="R56" i="73"/>
  <c r="R68" i="73"/>
  <c r="R67" i="73"/>
  <c r="R47" i="73"/>
  <c r="R43" i="73"/>
  <c r="R39" i="73"/>
  <c r="R35" i="73"/>
  <c r="R78" i="73"/>
  <c r="R48" i="73"/>
  <c r="R44" i="73"/>
  <c r="R40" i="73"/>
  <c r="R36" i="73"/>
  <c r="Z15" i="73"/>
  <c r="R62" i="73"/>
  <c r="X23" i="79"/>
  <c r="Z23" i="79" s="1"/>
  <c r="R36" i="67"/>
  <c r="P109" i="68"/>
  <c r="X109" i="68" s="1"/>
  <c r="Z109" i="68" s="1"/>
  <c r="F25" i="69"/>
  <c r="F29" i="69"/>
  <c r="F40" i="69"/>
  <c r="F41" i="69"/>
  <c r="F52" i="69"/>
  <c r="F53" i="69"/>
  <c r="F60" i="69"/>
  <c r="Z16" i="70"/>
  <c r="X21" i="70"/>
  <c r="Z21" i="70" s="1"/>
  <c r="X37" i="70"/>
  <c r="Z37" i="70" s="1"/>
  <c r="L98" i="70"/>
  <c r="F66" i="72"/>
  <c r="F65" i="72"/>
  <c r="F54" i="72"/>
  <c r="F53" i="72"/>
  <c r="F42" i="72"/>
  <c r="F41" i="72"/>
  <c r="F25" i="72"/>
  <c r="F23" i="72"/>
  <c r="F61" i="72"/>
  <c r="F37" i="72"/>
  <c r="D23" i="72"/>
  <c r="F68" i="72"/>
  <c r="F67" i="72"/>
  <c r="F44" i="72"/>
  <c r="F43" i="72"/>
  <c r="F32" i="72"/>
  <c r="F28" i="72"/>
  <c r="F55" i="72"/>
  <c r="F62" i="72"/>
  <c r="F46" i="72"/>
  <c r="F45" i="72"/>
  <c r="F38" i="72"/>
  <c r="F72" i="72"/>
  <c r="F70" i="72"/>
  <c r="F33" i="72"/>
  <c r="F29" i="72"/>
  <c r="F74" i="72"/>
  <c r="F56" i="72"/>
  <c r="F48" i="72"/>
  <c r="F47" i="72"/>
  <c r="F20" i="72"/>
  <c r="F19" i="72"/>
  <c r="F63" i="72"/>
  <c r="F39" i="72"/>
  <c r="F58" i="72"/>
  <c r="F57" i="72"/>
  <c r="F50" i="72"/>
  <c r="F49" i="72"/>
  <c r="F34" i="72"/>
  <c r="F30" i="72"/>
  <c r="F64" i="72"/>
  <c r="F60" i="72"/>
  <c r="F59" i="72"/>
  <c r="F52" i="72"/>
  <c r="F51" i="72"/>
  <c r="F40" i="72"/>
  <c r="F36" i="72"/>
  <c r="F35" i="72"/>
  <c r="L12" i="72"/>
  <c r="N12" i="72" s="1"/>
  <c r="N25" i="72"/>
  <c r="N35" i="72"/>
  <c r="N59" i="72"/>
  <c r="F76" i="72"/>
  <c r="V73" i="73"/>
  <c r="V53" i="73"/>
  <c r="V49" i="73"/>
  <c r="V45" i="73"/>
  <c r="V41" i="73"/>
  <c r="V37" i="73"/>
  <c r="V72" i="73"/>
  <c r="V64" i="73"/>
  <c r="T51" i="73"/>
  <c r="Z12" i="73"/>
  <c r="V75" i="73"/>
  <c r="V59" i="73"/>
  <c r="V55" i="73"/>
  <c r="V74" i="73"/>
  <c r="V66" i="73"/>
  <c r="V46" i="73"/>
  <c r="V42" i="73"/>
  <c r="V38" i="73"/>
  <c r="V34" i="73"/>
  <c r="V77" i="73"/>
  <c r="V65" i="73"/>
  <c r="V76" i="73"/>
  <c r="V68" i="73"/>
  <c r="V60" i="73"/>
  <c r="V56" i="73"/>
  <c r="V67" i="73"/>
  <c r="V47" i="73"/>
  <c r="V43" i="73"/>
  <c r="V39" i="73"/>
  <c r="V35" i="73"/>
  <c r="V80" i="73"/>
  <c r="V78" i="73"/>
  <c r="V62" i="73"/>
  <c r="V69" i="73"/>
  <c r="V61" i="73"/>
  <c r="V57" i="73"/>
  <c r="V71" i="73"/>
  <c r="V63" i="73"/>
  <c r="X26" i="73"/>
  <c r="Z26" i="73" s="1"/>
  <c r="V36" i="73"/>
  <c r="L75" i="73"/>
  <c r="N77" i="73"/>
  <c r="N26" i="74"/>
  <c r="L26" i="74"/>
  <c r="Z28" i="70"/>
  <c r="N98" i="70"/>
  <c r="R80" i="73"/>
  <c r="R21" i="67"/>
  <c r="R25" i="67"/>
  <c r="J42" i="67"/>
  <c r="R45" i="67"/>
  <c r="J62" i="67"/>
  <c r="J65" i="67"/>
  <c r="F20" i="69"/>
  <c r="F22" i="69"/>
  <c r="F38" i="69"/>
  <c r="F39" i="69"/>
  <c r="F50" i="69"/>
  <c r="F51" i="69"/>
  <c r="F56" i="69"/>
  <c r="F59" i="69"/>
  <c r="F62" i="69"/>
  <c r="X63" i="69"/>
  <c r="Z63" i="69" s="1"/>
  <c r="L32" i="70"/>
  <c r="N62" i="70"/>
  <c r="L100" i="70"/>
  <c r="N100" i="70" s="1"/>
  <c r="R62" i="72"/>
  <c r="R47" i="72"/>
  <c r="R46" i="72"/>
  <c r="R38" i="72"/>
  <c r="R19" i="72"/>
  <c r="R33" i="72"/>
  <c r="R29" i="72"/>
  <c r="R74" i="72"/>
  <c r="R57" i="72"/>
  <c r="R56" i="72"/>
  <c r="R49" i="72"/>
  <c r="R48" i="72"/>
  <c r="R20" i="72"/>
  <c r="R79" i="72"/>
  <c r="R76" i="72"/>
  <c r="R63" i="72"/>
  <c r="R39" i="72"/>
  <c r="R59" i="72"/>
  <c r="R58" i="72"/>
  <c r="R51" i="72"/>
  <c r="R50" i="72"/>
  <c r="R35" i="72"/>
  <c r="R34" i="72"/>
  <c r="R30" i="72"/>
  <c r="R26" i="72"/>
  <c r="R21" i="72"/>
  <c r="R65" i="72"/>
  <c r="R64" i="72"/>
  <c r="R60" i="72"/>
  <c r="R53" i="72"/>
  <c r="R52" i="72"/>
  <c r="R41" i="72"/>
  <c r="R40" i="72"/>
  <c r="R36" i="72"/>
  <c r="R25" i="72"/>
  <c r="R23" i="72"/>
  <c r="X12" i="72"/>
  <c r="Z12" i="72" s="1"/>
  <c r="R31" i="72"/>
  <c r="R27" i="72"/>
  <c r="P23" i="72"/>
  <c r="R67" i="72"/>
  <c r="R66" i="72"/>
  <c r="R54" i="72"/>
  <c r="R43" i="72"/>
  <c r="R42" i="72"/>
  <c r="R68" i="72"/>
  <c r="R45" i="72"/>
  <c r="R44" i="72"/>
  <c r="R32" i="72"/>
  <c r="R28" i="72"/>
  <c r="Z67" i="72"/>
  <c r="F79" i="72"/>
  <c r="X30" i="73"/>
  <c r="Z30" i="73" s="1"/>
  <c r="V58" i="73"/>
  <c r="T12" i="74"/>
  <c r="Z15" i="74"/>
  <c r="J69" i="73"/>
  <c r="J61" i="73"/>
  <c r="J57" i="73"/>
  <c r="J80" i="73"/>
  <c r="J62" i="73"/>
  <c r="J48" i="73"/>
  <c r="J44" i="73"/>
  <c r="J40" i="73"/>
  <c r="J36" i="73"/>
  <c r="J63" i="73"/>
  <c r="J84" i="73"/>
  <c r="J70" i="73"/>
  <c r="J58" i="73"/>
  <c r="J71" i="73"/>
  <c r="J49" i="73"/>
  <c r="J45" i="73"/>
  <c r="J41" i="73"/>
  <c r="J37" i="73"/>
  <c r="J72" i="73"/>
  <c r="J64" i="73"/>
  <c r="J54" i="73"/>
  <c r="J73" i="73"/>
  <c r="J59" i="73"/>
  <c r="J55" i="73"/>
  <c r="J53" i="73"/>
  <c r="J74" i="73"/>
  <c r="H51" i="73"/>
  <c r="J51" i="73" s="1"/>
  <c r="J46" i="73"/>
  <c r="J42" i="73"/>
  <c r="J38" i="73"/>
  <c r="J75" i="73"/>
  <c r="J65" i="73"/>
  <c r="J77" i="73"/>
  <c r="J67" i="73"/>
  <c r="J47" i="73"/>
  <c r="J43" i="73"/>
  <c r="J39" i="73"/>
  <c r="J35" i="73"/>
  <c r="X48" i="75"/>
  <c r="Z48" i="75" s="1"/>
  <c r="J40" i="67"/>
  <c r="R43" i="67"/>
  <c r="F32" i="69"/>
  <c r="F33" i="69"/>
  <c r="F37" i="69"/>
  <c r="F48" i="69"/>
  <c r="F49" i="69"/>
  <c r="F55" i="69"/>
  <c r="Z18" i="70"/>
  <c r="L20" i="70"/>
  <c r="N20" i="70" s="1"/>
  <c r="N27" i="70"/>
  <c r="Z32" i="70"/>
  <c r="X42" i="70"/>
  <c r="Z42" i="70" s="1"/>
  <c r="L61" i="70"/>
  <c r="N61" i="70" s="1"/>
  <c r="X84" i="70"/>
  <c r="Z104" i="70"/>
  <c r="X13" i="72"/>
  <c r="Z13" i="72" s="1"/>
  <c r="F21" i="72"/>
  <c r="L51" i="72"/>
  <c r="J56" i="73"/>
  <c r="R63" i="73"/>
  <c r="R69" i="73"/>
  <c r="N14" i="74"/>
  <c r="H12" i="74"/>
  <c r="L14" i="74"/>
  <c r="N23" i="74"/>
  <c r="D101" i="76"/>
  <c r="L103" i="76"/>
  <c r="F68" i="69"/>
  <c r="F66" i="69"/>
  <c r="F54" i="69"/>
  <c r="F57" i="69"/>
  <c r="F18" i="69"/>
  <c r="F70" i="69"/>
  <c r="P12" i="70"/>
  <c r="Z84" i="70"/>
  <c r="Z86" i="70"/>
  <c r="N51" i="72"/>
  <c r="N53" i="72"/>
  <c r="V40" i="73"/>
  <c r="J78" i="73"/>
  <c r="P12" i="74"/>
  <c r="X14" i="74"/>
  <c r="X41" i="74"/>
  <c r="Z49" i="74"/>
  <c r="L80" i="74"/>
  <c r="N80" i="74" s="1"/>
  <c r="Z111" i="74"/>
  <c r="L77" i="75"/>
  <c r="N77" i="75" s="1"/>
  <c r="Z29" i="76"/>
  <c r="X17" i="74"/>
  <c r="X23" i="74"/>
  <c r="Z23" i="74" s="1"/>
  <c r="X29" i="74"/>
  <c r="N34" i="74"/>
  <c r="X80" i="74"/>
  <c r="N106" i="74"/>
  <c r="L114" i="74"/>
  <c r="N74" i="75"/>
  <c r="L74" i="75"/>
  <c r="Z24" i="76"/>
  <c r="Z33" i="76"/>
  <c r="N22" i="74"/>
  <c r="X43" i="74"/>
  <c r="Z43" i="74" s="1"/>
  <c r="N108" i="74"/>
  <c r="D12" i="75"/>
  <c r="L14" i="75"/>
  <c r="D12" i="76"/>
  <c r="L14" i="76"/>
  <c r="N14" i="76" s="1"/>
  <c r="N42" i="74"/>
  <c r="Z80" i="74"/>
  <c r="N114" i="74"/>
  <c r="N14" i="75"/>
  <c r="X14" i="78"/>
  <c r="P12" i="78"/>
  <c r="D12" i="84"/>
  <c r="L20" i="84"/>
  <c r="N20" i="84" s="1"/>
  <c r="X13" i="73"/>
  <c r="X17" i="73"/>
  <c r="Z17" i="73" s="1"/>
  <c r="X21" i="73"/>
  <c r="Z21" i="73" s="1"/>
  <c r="X25" i="73"/>
  <c r="Z25" i="73" s="1"/>
  <c r="X29" i="73"/>
  <c r="Z29" i="73" s="1"/>
  <c r="X37" i="74"/>
  <c r="Z37" i="74" s="1"/>
  <c r="X40" i="74"/>
  <c r="X48" i="74"/>
  <c r="Z48" i="74" s="1"/>
  <c r="Z17" i="75"/>
  <c r="X40" i="75"/>
  <c r="Z40" i="75" s="1"/>
  <c r="X91" i="70"/>
  <c r="Z91" i="70" s="1"/>
  <c r="X107" i="70"/>
  <c r="Z107" i="70" s="1"/>
  <c r="Z13" i="73"/>
  <c r="Z114" i="74"/>
  <c r="Z19" i="75"/>
  <c r="Z19" i="76"/>
  <c r="N24" i="74"/>
  <c r="Z45" i="74"/>
  <c r="X79" i="74"/>
  <c r="N96" i="74"/>
  <c r="L98" i="74"/>
  <c r="X108" i="74"/>
  <c r="Z108" i="74" s="1"/>
  <c r="N124" i="74"/>
  <c r="Z21" i="75"/>
  <c r="Z72" i="75"/>
  <c r="Z21" i="76"/>
  <c r="Z79" i="76"/>
  <c r="H101" i="76"/>
  <c r="L104" i="76"/>
  <c r="N104" i="76" s="1"/>
  <c r="F70" i="79"/>
  <c r="F36" i="79"/>
  <c r="L12" i="79"/>
  <c r="F59" i="79"/>
  <c r="F47" i="79"/>
  <c r="F46" i="79"/>
  <c r="F31" i="79"/>
  <c r="F27" i="79"/>
  <c r="F75" i="79"/>
  <c r="F72" i="79"/>
  <c r="F37" i="79"/>
  <c r="F33" i="79"/>
  <c r="F32" i="79"/>
  <c r="F60" i="79"/>
  <c r="F48" i="79"/>
  <c r="F28" i="79"/>
  <c r="F24" i="79"/>
  <c r="F23" i="79"/>
  <c r="F55" i="79"/>
  <c r="F39" i="79"/>
  <c r="F38" i="79"/>
  <c r="F22" i="79"/>
  <c r="F20" i="79"/>
  <c r="F62" i="79"/>
  <c r="F61" i="79"/>
  <c r="F34" i="79"/>
  <c r="D20" i="79"/>
  <c r="F57" i="79"/>
  <c r="F56" i="79"/>
  <c r="F49" i="79"/>
  <c r="F41" i="79"/>
  <c r="F40" i="79"/>
  <c r="F29" i="79"/>
  <c r="F25" i="79"/>
  <c r="F64" i="79"/>
  <c r="F63" i="79"/>
  <c r="F58" i="79"/>
  <c r="F30" i="79"/>
  <c r="F26" i="79"/>
  <c r="F68" i="79"/>
  <c r="F66" i="79"/>
  <c r="F53" i="79"/>
  <c r="F52" i="79"/>
  <c r="F45" i="79"/>
  <c r="F44" i="79"/>
  <c r="F17" i="79"/>
  <c r="F16" i="79"/>
  <c r="F43" i="79"/>
  <c r="F51" i="79"/>
  <c r="F18" i="79"/>
  <c r="F42" i="79"/>
  <c r="F50" i="79"/>
  <c r="F54" i="79"/>
  <c r="R61" i="79"/>
  <c r="R60" i="79"/>
  <c r="R48" i="79"/>
  <c r="R28" i="79"/>
  <c r="R24" i="79"/>
  <c r="P20" i="79"/>
  <c r="R56" i="79"/>
  <c r="R55" i="79"/>
  <c r="R40" i="79"/>
  <c r="R39" i="79"/>
  <c r="R57" i="79"/>
  <c r="R50" i="79"/>
  <c r="R49" i="79"/>
  <c r="R42" i="79"/>
  <c r="R41" i="79"/>
  <c r="R29" i="79"/>
  <c r="R25" i="79"/>
  <c r="R64" i="79"/>
  <c r="R66" i="79"/>
  <c r="R52" i="79"/>
  <c r="R51" i="79"/>
  <c r="R44" i="79"/>
  <c r="R43" i="79"/>
  <c r="R35" i="79"/>
  <c r="R16" i="79"/>
  <c r="R58" i="79"/>
  <c r="R30" i="79"/>
  <c r="R26" i="79"/>
  <c r="R53" i="79"/>
  <c r="R46" i="79"/>
  <c r="R45" i="79"/>
  <c r="R17" i="79"/>
  <c r="R70" i="79"/>
  <c r="R36" i="79"/>
  <c r="X12" i="79"/>
  <c r="R54" i="79"/>
  <c r="R23" i="79"/>
  <c r="R18" i="79"/>
  <c r="R38" i="79"/>
  <c r="R37" i="79"/>
  <c r="R33" i="79"/>
  <c r="R22" i="79"/>
  <c r="R20" i="79"/>
  <c r="R62" i="79"/>
  <c r="R34" i="79"/>
  <c r="R27" i="79"/>
  <c r="R59" i="79"/>
  <c r="R63" i="79"/>
  <c r="R31" i="79"/>
  <c r="R32" i="79"/>
  <c r="R47" i="79"/>
  <c r="F35" i="79"/>
  <c r="N44" i="74"/>
  <c r="L13" i="72"/>
  <c r="N13" i="72" s="1"/>
  <c r="L17" i="72"/>
  <c r="N17" i="72" s="1"/>
  <c r="L44" i="74"/>
  <c r="Z79" i="74"/>
  <c r="N98" i="74"/>
  <c r="X120" i="74"/>
  <c r="Z120" i="74" s="1"/>
  <c r="N46" i="75"/>
  <c r="N57" i="75"/>
  <c r="Z23" i="76"/>
  <c r="N73" i="76"/>
  <c r="X15" i="74"/>
  <c r="X21" i="74"/>
  <c r="Z21" i="74" s="1"/>
  <c r="X27" i="74"/>
  <c r="X33" i="74"/>
  <c r="Z33" i="74" s="1"/>
  <c r="N46" i="74"/>
  <c r="Z47" i="74"/>
  <c r="Z103" i="74"/>
  <c r="Z124" i="74"/>
  <c r="N44" i="75"/>
  <c r="N22" i="76"/>
  <c r="Z25" i="76"/>
  <c r="Z84" i="76"/>
  <c r="X84" i="76"/>
  <c r="P12" i="75"/>
  <c r="Z13" i="75"/>
  <c r="J45" i="75"/>
  <c r="J55" i="75"/>
  <c r="J63" i="75"/>
  <c r="J77" i="75"/>
  <c r="P12" i="76"/>
  <c r="Z13" i="76"/>
  <c r="J41" i="76"/>
  <c r="J45" i="76"/>
  <c r="J49" i="76"/>
  <c r="H54" i="76"/>
  <c r="J67" i="76"/>
  <c r="J81" i="76"/>
  <c r="J90" i="76"/>
  <c r="X98" i="76"/>
  <c r="Z98" i="76" s="1"/>
  <c r="P101" i="76"/>
  <c r="X101" i="76" s="1"/>
  <c r="Z101" i="76" s="1"/>
  <c r="F39" i="78"/>
  <c r="J23" i="79"/>
  <c r="J34" i="75"/>
  <c r="J38" i="75"/>
  <c r="J44" i="75"/>
  <c r="J54" i="75"/>
  <c r="J62" i="75"/>
  <c r="J78" i="75"/>
  <c r="J54" i="76"/>
  <c r="J56" i="76"/>
  <c r="J58" i="76"/>
  <c r="J62" i="76"/>
  <c r="J66" i="76"/>
  <c r="J93" i="76"/>
  <c r="L96" i="76"/>
  <c r="L105" i="76"/>
  <c r="N105" i="76" s="1"/>
  <c r="Z61" i="78"/>
  <c r="N14" i="79"/>
  <c r="J26" i="79"/>
  <c r="J52" i="79"/>
  <c r="J55" i="80"/>
  <c r="J49" i="80"/>
  <c r="J37" i="80"/>
  <c r="J31" i="80"/>
  <c r="J27" i="80"/>
  <c r="J56" i="80"/>
  <c r="J50" i="80"/>
  <c r="J38" i="80"/>
  <c r="J32" i="80"/>
  <c r="J18" i="80"/>
  <c r="J61" i="80"/>
  <c r="J57" i="80"/>
  <c r="J39" i="80"/>
  <c r="J33" i="80"/>
  <c r="J62" i="80"/>
  <c r="J40" i="80"/>
  <c r="J28" i="80"/>
  <c r="J24" i="80"/>
  <c r="J22" i="80"/>
  <c r="J63" i="80"/>
  <c r="J51" i="80"/>
  <c r="J41" i="80"/>
  <c r="H20" i="80"/>
  <c r="J20" i="80" s="1"/>
  <c r="J64" i="80"/>
  <c r="J58" i="80"/>
  <c r="J52" i="80"/>
  <c r="J42" i="80"/>
  <c r="J34" i="80"/>
  <c r="J65" i="80"/>
  <c r="J53" i="80"/>
  <c r="J43" i="80"/>
  <c r="J29" i="80"/>
  <c r="J25" i="80"/>
  <c r="J44" i="80"/>
  <c r="J67" i="80"/>
  <c r="J59" i="80"/>
  <c r="J45" i="80"/>
  <c r="J35" i="80"/>
  <c r="J71" i="80"/>
  <c r="J47" i="80"/>
  <c r="J17" i="80"/>
  <c r="J60" i="80"/>
  <c r="J48" i="80"/>
  <c r="J36" i="80"/>
  <c r="V38" i="80"/>
  <c r="Z45" i="80"/>
  <c r="Z18" i="81"/>
  <c r="X18" i="81"/>
  <c r="R80" i="83"/>
  <c r="R78" i="83"/>
  <c r="R63" i="83"/>
  <c r="R70" i="83"/>
  <c r="R58" i="83"/>
  <c r="R47" i="83"/>
  <c r="R46" i="83"/>
  <c r="R82" i="83"/>
  <c r="R65" i="83"/>
  <c r="R64" i="83"/>
  <c r="R67" i="83"/>
  <c r="R66" i="83"/>
  <c r="R51" i="83"/>
  <c r="R50" i="83"/>
  <c r="R34" i="83"/>
  <c r="R44" i="83"/>
  <c r="R43" i="83"/>
  <c r="R35" i="83"/>
  <c r="R76" i="83"/>
  <c r="R57" i="83"/>
  <c r="R56" i="83"/>
  <c r="R36" i="83"/>
  <c r="R68" i="83"/>
  <c r="R49" i="83"/>
  <c r="R75" i="83"/>
  <c r="R73" i="83"/>
  <c r="R45" i="83"/>
  <c r="R42" i="83"/>
  <c r="R38" i="83"/>
  <c r="R26" i="83"/>
  <c r="R18" i="83"/>
  <c r="R55" i="83"/>
  <c r="R30" i="83"/>
  <c r="R71" i="83"/>
  <c r="R62" i="83"/>
  <c r="R52" i="83"/>
  <c r="R20" i="83"/>
  <c r="R27" i="83"/>
  <c r="R23" i="83"/>
  <c r="R22" i="83"/>
  <c r="P20" i="83"/>
  <c r="R87" i="83"/>
  <c r="R69" i="83"/>
  <c r="R53" i="83"/>
  <c r="R60" i="83"/>
  <c r="R39" i="83"/>
  <c r="R31" i="83"/>
  <c r="R24" i="83"/>
  <c r="R74" i="83"/>
  <c r="R32" i="83"/>
  <c r="R28" i="83"/>
  <c r="R16" i="83"/>
  <c r="R40" i="83"/>
  <c r="R72" i="83"/>
  <c r="R54" i="83"/>
  <c r="R29" i="83"/>
  <c r="R59" i="83"/>
  <c r="R48" i="83"/>
  <c r="R41" i="83"/>
  <c r="R33" i="83"/>
  <c r="X21" i="84"/>
  <c r="Z21" i="84" s="1"/>
  <c r="J60" i="75"/>
  <c r="J74" i="75"/>
  <c r="P77" i="75"/>
  <c r="X77" i="75" s="1"/>
  <c r="Z77" i="75" s="1"/>
  <c r="N78" i="75"/>
  <c r="J40" i="76"/>
  <c r="J44" i="76"/>
  <c r="J48" i="76"/>
  <c r="J52" i="76"/>
  <c r="J80" i="76"/>
  <c r="J99" i="76"/>
  <c r="J104" i="76"/>
  <c r="J109" i="76"/>
  <c r="Z14" i="78"/>
  <c r="T12" i="78"/>
  <c r="Z46" i="78"/>
  <c r="L57" i="78"/>
  <c r="V63" i="79"/>
  <c r="V55" i="79"/>
  <c r="V39" i="79"/>
  <c r="V62" i="79"/>
  <c r="V50" i="79"/>
  <c r="V42" i="79"/>
  <c r="V34" i="79"/>
  <c r="V66" i="79"/>
  <c r="V64" i="79"/>
  <c r="V52" i="79"/>
  <c r="V44" i="79"/>
  <c r="V16" i="79"/>
  <c r="V51" i="79"/>
  <c r="V43" i="79"/>
  <c r="V35" i="79"/>
  <c r="V58" i="79"/>
  <c r="V46" i="79"/>
  <c r="V30" i="79"/>
  <c r="V26" i="79"/>
  <c r="V53" i="79"/>
  <c r="V45" i="79"/>
  <c r="V17" i="79"/>
  <c r="V70" i="79"/>
  <c r="V36" i="79"/>
  <c r="V32" i="79"/>
  <c r="Z12" i="79"/>
  <c r="V59" i="79"/>
  <c r="V47" i="79"/>
  <c r="V31" i="79"/>
  <c r="V27" i="79"/>
  <c r="V23" i="79"/>
  <c r="V61" i="79"/>
  <c r="V37" i="79"/>
  <c r="V33" i="79"/>
  <c r="T20" i="79"/>
  <c r="V20" i="79" s="1"/>
  <c r="V60" i="79"/>
  <c r="V56" i="79"/>
  <c r="V48" i="79"/>
  <c r="V40" i="79"/>
  <c r="V28" i="79"/>
  <c r="V24" i="79"/>
  <c r="Z14" i="79"/>
  <c r="X50" i="79"/>
  <c r="V54" i="79"/>
  <c r="V22" i="80"/>
  <c r="J46" i="80"/>
  <c r="V50" i="80"/>
  <c r="V62" i="80"/>
  <c r="H12" i="82"/>
  <c r="L13" i="82"/>
  <c r="N13" i="82" s="1"/>
  <c r="Z22" i="83"/>
  <c r="X51" i="83"/>
  <c r="Z51" i="83" s="1"/>
  <c r="J33" i="75"/>
  <c r="J37" i="75"/>
  <c r="J53" i="75"/>
  <c r="J73" i="75"/>
  <c r="J39" i="76"/>
  <c r="J61" i="76"/>
  <c r="J65" i="76"/>
  <c r="J79" i="76"/>
  <c r="J88" i="76"/>
  <c r="J103" i="76"/>
  <c r="F65" i="78"/>
  <c r="F60" i="78"/>
  <c r="F31" i="78"/>
  <c r="F59" i="78"/>
  <c r="F54" i="78"/>
  <c r="F53" i="78"/>
  <c r="F22" i="78"/>
  <c r="F18" i="78"/>
  <c r="F17" i="78"/>
  <c r="F70" i="78"/>
  <c r="F67" i="78"/>
  <c r="F57" i="78"/>
  <c r="F32" i="78"/>
  <c r="F28" i="78"/>
  <c r="F27" i="78"/>
  <c r="F56" i="78"/>
  <c r="F47" i="78"/>
  <c r="F46" i="78"/>
  <c r="F26" i="78"/>
  <c r="F24" i="78"/>
  <c r="F19" i="78"/>
  <c r="F38" i="78"/>
  <c r="D24" i="78"/>
  <c r="F49" i="78"/>
  <c r="F48" i="78"/>
  <c r="F33" i="78"/>
  <c r="F29" i="78"/>
  <c r="F51" i="78"/>
  <c r="F50" i="78"/>
  <c r="F21" i="78"/>
  <c r="F63" i="78"/>
  <c r="F61" i="78"/>
  <c r="F52" i="78"/>
  <c r="F44" i="78"/>
  <c r="F43" i="78"/>
  <c r="F36" i="78"/>
  <c r="F35" i="78"/>
  <c r="Z27" i="78"/>
  <c r="H56" i="78"/>
  <c r="N56" i="78" s="1"/>
  <c r="N57" i="78"/>
  <c r="Z50" i="79"/>
  <c r="Z14" i="81"/>
  <c r="X14" i="81"/>
  <c r="L48" i="87"/>
  <c r="N48" i="87" s="1"/>
  <c r="J42" i="75"/>
  <c r="J52" i="75"/>
  <c r="J66" i="75"/>
  <c r="J72" i="75"/>
  <c r="J70" i="76"/>
  <c r="J78" i="76"/>
  <c r="J87" i="76"/>
  <c r="Z105" i="76"/>
  <c r="H12" i="78"/>
  <c r="F30" i="78"/>
  <c r="F45" i="78"/>
  <c r="Z52" i="79"/>
  <c r="V18" i="80"/>
  <c r="H12" i="83"/>
  <c r="L14" i="83"/>
  <c r="N14" i="83" s="1"/>
  <c r="Z47" i="83"/>
  <c r="R61" i="83"/>
  <c r="H28" i="75"/>
  <c r="J51" i="75"/>
  <c r="J59" i="75"/>
  <c r="J71" i="75"/>
  <c r="J43" i="76"/>
  <c r="J47" i="76"/>
  <c r="J51" i="76"/>
  <c r="J77" i="76"/>
  <c r="X90" i="76"/>
  <c r="Z90" i="76" s="1"/>
  <c r="J92" i="76"/>
  <c r="Z96" i="76"/>
  <c r="L13" i="78"/>
  <c r="N13" i="78" s="1"/>
  <c r="X41" i="78"/>
  <c r="J59" i="79"/>
  <c r="J47" i="79"/>
  <c r="J31" i="79"/>
  <c r="J27" i="79"/>
  <c r="J54" i="79"/>
  <c r="J32" i="79"/>
  <c r="J18" i="79"/>
  <c r="J60" i="79"/>
  <c r="J48" i="79"/>
  <c r="J38" i="79"/>
  <c r="J28" i="79"/>
  <c r="J24" i="79"/>
  <c r="J22" i="79"/>
  <c r="J61" i="79"/>
  <c r="J55" i="79"/>
  <c r="J39" i="79"/>
  <c r="H20" i="79"/>
  <c r="J62" i="79"/>
  <c r="J56" i="79"/>
  <c r="J40" i="79"/>
  <c r="J34" i="79"/>
  <c r="J63" i="79"/>
  <c r="J57" i="79"/>
  <c r="J49" i="79"/>
  <c r="J41" i="79"/>
  <c r="J29" i="79"/>
  <c r="J25" i="79"/>
  <c r="J64" i="79"/>
  <c r="J50" i="79"/>
  <c r="J42" i="79"/>
  <c r="J51" i="79"/>
  <c r="J43" i="79"/>
  <c r="J35" i="79"/>
  <c r="J53" i="79"/>
  <c r="J45" i="79"/>
  <c r="J17" i="79"/>
  <c r="J70" i="79"/>
  <c r="J46" i="79"/>
  <c r="J36" i="79"/>
  <c r="N12" i="79"/>
  <c r="V22" i="79"/>
  <c r="N42" i="79"/>
  <c r="J26" i="75"/>
  <c r="J28" i="75"/>
  <c r="J30" i="75"/>
  <c r="J32" i="75"/>
  <c r="J36" i="75"/>
  <c r="J50" i="75"/>
  <c r="J70" i="75"/>
  <c r="J60" i="76"/>
  <c r="J64" i="76"/>
  <c r="J76" i="76"/>
  <c r="J98" i="76"/>
  <c r="Z41" i="78"/>
  <c r="J16" i="79"/>
  <c r="V29" i="79"/>
  <c r="X42" i="79"/>
  <c r="J30" i="80"/>
  <c r="N32" i="80"/>
  <c r="N67" i="80"/>
  <c r="L67" i="80"/>
  <c r="T16" i="81"/>
  <c r="Z20" i="81"/>
  <c r="X20" i="81"/>
  <c r="R25" i="83"/>
  <c r="J31" i="75"/>
  <c r="J41" i="75"/>
  <c r="J49" i="75"/>
  <c r="J65" i="75"/>
  <c r="J69" i="75"/>
  <c r="J69" i="76"/>
  <c r="J75" i="76"/>
  <c r="F40" i="78"/>
  <c r="Z42" i="79"/>
  <c r="V57" i="79"/>
  <c r="F60" i="80"/>
  <c r="F48" i="80"/>
  <c r="F47" i="80"/>
  <c r="F36" i="80"/>
  <c r="L12" i="80"/>
  <c r="N12" i="80" s="1"/>
  <c r="F55" i="80"/>
  <c r="F31" i="80"/>
  <c r="F27" i="80"/>
  <c r="F76" i="80"/>
  <c r="F73" i="80"/>
  <c r="F50" i="80"/>
  <c r="F49" i="80"/>
  <c r="F38" i="80"/>
  <c r="F37" i="80"/>
  <c r="F61" i="80"/>
  <c r="F57" i="80"/>
  <c r="F56" i="80"/>
  <c r="F33" i="80"/>
  <c r="F32" i="80"/>
  <c r="F40" i="80"/>
  <c r="F39" i="80"/>
  <c r="F28" i="80"/>
  <c r="F24" i="80"/>
  <c r="F23" i="80"/>
  <c r="F63" i="80"/>
  <c r="F62" i="80"/>
  <c r="F51" i="80"/>
  <c r="F22" i="80"/>
  <c r="F20" i="80"/>
  <c r="F58" i="80"/>
  <c r="F42" i="80"/>
  <c r="F41" i="80"/>
  <c r="F34" i="80"/>
  <c r="D20" i="80"/>
  <c r="F65" i="80"/>
  <c r="F64" i="80"/>
  <c r="F53" i="80"/>
  <c r="F52" i="80"/>
  <c r="F29" i="80"/>
  <c r="F25" i="80"/>
  <c r="F44" i="80"/>
  <c r="F43" i="80"/>
  <c r="F69" i="80"/>
  <c r="F67" i="80"/>
  <c r="F54" i="80"/>
  <c r="F46" i="80"/>
  <c r="F45" i="80"/>
  <c r="F30" i="80"/>
  <c r="F26" i="80"/>
  <c r="F71" i="80"/>
  <c r="F17" i="80"/>
  <c r="F16" i="80"/>
  <c r="F35" i="80"/>
  <c r="X39" i="80"/>
  <c r="Z39" i="80" s="1"/>
  <c r="J40" i="75"/>
  <c r="J48" i="75"/>
  <c r="J58" i="75"/>
  <c r="J95" i="76"/>
  <c r="J96" i="76"/>
  <c r="J102" i="76"/>
  <c r="J101" i="76"/>
  <c r="J94" i="76"/>
  <c r="J86" i="76"/>
  <c r="J42" i="76"/>
  <c r="J46" i="76"/>
  <c r="J50" i="76"/>
  <c r="J74" i="76"/>
  <c r="J84" i="76"/>
  <c r="R24" i="81"/>
  <c r="R29" i="81"/>
  <c r="R26" i="81"/>
  <c r="X12" i="81"/>
  <c r="R22" i="81"/>
  <c r="R20" i="81"/>
  <c r="R18" i="81"/>
  <c r="R16" i="81"/>
  <c r="R14" i="81"/>
  <c r="P16" i="81"/>
  <c r="V106" i="84"/>
  <c r="V94" i="84"/>
  <c r="V82" i="84"/>
  <c r="V66" i="84"/>
  <c r="V62" i="84"/>
  <c r="V58" i="84"/>
  <c r="V119" i="84"/>
  <c r="V101" i="84"/>
  <c r="V85" i="84"/>
  <c r="V73" i="84"/>
  <c r="V57" i="84"/>
  <c r="V53" i="84"/>
  <c r="V49" i="84"/>
  <c r="V45" i="84"/>
  <c r="V41" i="84"/>
  <c r="V108" i="84"/>
  <c r="V96" i="84"/>
  <c r="V84" i="84"/>
  <c r="V72" i="84"/>
  <c r="V68" i="84"/>
  <c r="T55" i="84"/>
  <c r="V107" i="84"/>
  <c r="V103" i="84"/>
  <c r="V95" i="84"/>
  <c r="V87" i="84"/>
  <c r="V75" i="84"/>
  <c r="V63" i="84"/>
  <c r="V59" i="84"/>
  <c r="V110" i="84"/>
  <c r="V102" i="84"/>
  <c r="V86" i="84"/>
  <c r="V74" i="84"/>
  <c r="V50" i="84"/>
  <c r="V46" i="84"/>
  <c r="V42" i="84"/>
  <c r="V109" i="84"/>
  <c r="V97" i="84"/>
  <c r="V89" i="84"/>
  <c r="V77" i="84"/>
  <c r="V69" i="84"/>
  <c r="V112" i="84"/>
  <c r="V104" i="84"/>
  <c r="V88" i="84"/>
  <c r="V76" i="84"/>
  <c r="V64" i="84"/>
  <c r="V60" i="84"/>
  <c r="V98" i="84"/>
  <c r="V90" i="84"/>
  <c r="V78" i="84"/>
  <c r="V70" i="84"/>
  <c r="V100" i="84"/>
  <c r="V92" i="84"/>
  <c r="V80" i="84"/>
  <c r="V52" i="84"/>
  <c r="V48" i="84"/>
  <c r="V44" i="84"/>
  <c r="V40" i="84"/>
  <c r="V99" i="84"/>
  <c r="V83" i="84"/>
  <c r="V71" i="84"/>
  <c r="V67" i="84"/>
  <c r="V51" i="84"/>
  <c r="V39" i="84"/>
  <c r="V111" i="84"/>
  <c r="V91" i="84"/>
  <c r="V61" i="84"/>
  <c r="V93" i="84"/>
  <c r="V113" i="84"/>
  <c r="V43" i="84"/>
  <c r="V81" i="84"/>
  <c r="V79" i="84"/>
  <c r="V65" i="84"/>
  <c r="V115" i="84"/>
  <c r="V47" i="84"/>
  <c r="V105" i="84"/>
  <c r="L20" i="75"/>
  <c r="N20" i="75" s="1"/>
  <c r="L24" i="75"/>
  <c r="J35" i="75"/>
  <c r="J39" i="75"/>
  <c r="J47" i="75"/>
  <c r="J57" i="75"/>
  <c r="L16" i="76"/>
  <c r="N16" i="76" s="1"/>
  <c r="L20" i="76"/>
  <c r="L24" i="76"/>
  <c r="L28" i="76"/>
  <c r="N28" i="76" s="1"/>
  <c r="L32" i="76"/>
  <c r="L36" i="76"/>
  <c r="J59" i="76"/>
  <c r="J63" i="76"/>
  <c r="J73" i="76"/>
  <c r="J83" i="76"/>
  <c r="L84" i="76"/>
  <c r="X88" i="76"/>
  <c r="Z88" i="76" s="1"/>
  <c r="J91" i="76"/>
  <c r="J97" i="76"/>
  <c r="X26" i="78"/>
  <c r="Z26" i="78" s="1"/>
  <c r="F58" i="78"/>
  <c r="V63" i="80"/>
  <c r="V51" i="80"/>
  <c r="V43" i="80"/>
  <c r="V58" i="80"/>
  <c r="V42" i="80"/>
  <c r="V34" i="80"/>
  <c r="V67" i="80"/>
  <c r="V65" i="80"/>
  <c r="V53" i="80"/>
  <c r="V45" i="80"/>
  <c r="V29" i="80"/>
  <c r="V44" i="80"/>
  <c r="V16" i="80"/>
  <c r="V59" i="80"/>
  <c r="V47" i="80"/>
  <c r="V35" i="80"/>
  <c r="V54" i="80"/>
  <c r="V46" i="80"/>
  <c r="V30" i="80"/>
  <c r="V26" i="80"/>
  <c r="V71" i="80"/>
  <c r="V49" i="80"/>
  <c r="V37" i="80"/>
  <c r="V17" i="80"/>
  <c r="V60" i="80"/>
  <c r="V56" i="80"/>
  <c r="V48" i="80"/>
  <c r="V36" i="80"/>
  <c r="V32" i="80"/>
  <c r="V55" i="80"/>
  <c r="V39" i="80"/>
  <c r="V31" i="80"/>
  <c r="V27" i="80"/>
  <c r="V23" i="80"/>
  <c r="X12" i="80"/>
  <c r="Z12" i="80" s="1"/>
  <c r="V61" i="80"/>
  <c r="V57" i="80"/>
  <c r="V41" i="80"/>
  <c r="V33" i="80"/>
  <c r="T20" i="80"/>
  <c r="V64" i="80"/>
  <c r="V52" i="80"/>
  <c r="V40" i="80"/>
  <c r="V28" i="80"/>
  <c r="V24" i="80"/>
  <c r="F59" i="80"/>
  <c r="J46" i="75"/>
  <c r="J56" i="75"/>
  <c r="J64" i="75"/>
  <c r="J68" i="75"/>
  <c r="J68" i="76"/>
  <c r="J72" i="76"/>
  <c r="J82" i="76"/>
  <c r="F37" i="78"/>
  <c r="Z16" i="79"/>
  <c r="N32" i="79"/>
  <c r="J37" i="79"/>
  <c r="J58" i="79"/>
  <c r="N22" i="80"/>
  <c r="X23" i="80"/>
  <c r="Z23" i="80" s="1"/>
  <c r="J26" i="80"/>
  <c r="L45" i="80"/>
  <c r="N45" i="80" s="1"/>
  <c r="Z49" i="80"/>
  <c r="Z56" i="80"/>
  <c r="P12" i="82"/>
  <c r="X14" i="82"/>
  <c r="Z14" i="82" s="1"/>
  <c r="F74" i="83"/>
  <c r="F73" i="83"/>
  <c r="F62" i="83"/>
  <c r="F61" i="83"/>
  <c r="F54" i="83"/>
  <c r="F53" i="83"/>
  <c r="F76" i="83"/>
  <c r="F75" i="83"/>
  <c r="F56" i="83"/>
  <c r="F70" i="83"/>
  <c r="F58" i="83"/>
  <c r="F57" i="83"/>
  <c r="F46" i="83"/>
  <c r="F18" i="83"/>
  <c r="F80" i="83"/>
  <c r="F78" i="83"/>
  <c r="F71" i="83"/>
  <c r="F59" i="83"/>
  <c r="F39" i="83"/>
  <c r="F38" i="83"/>
  <c r="F87" i="83"/>
  <c r="F84" i="83"/>
  <c r="F72" i="83"/>
  <c r="F68" i="83"/>
  <c r="F67" i="83"/>
  <c r="F60" i="83"/>
  <c r="F52" i="83"/>
  <c r="F51" i="83"/>
  <c r="F63" i="83"/>
  <c r="F47" i="83"/>
  <c r="F44" i="83"/>
  <c r="F37" i="83"/>
  <c r="F40" i="83"/>
  <c r="F35" i="83"/>
  <c r="F32" i="83"/>
  <c r="F25" i="83"/>
  <c r="F17" i="83"/>
  <c r="F16" i="83"/>
  <c r="F33" i="83"/>
  <c r="F29" i="83"/>
  <c r="L12" i="83"/>
  <c r="F48" i="83"/>
  <c r="F45" i="83"/>
  <c r="F41" i="83"/>
  <c r="F82" i="83"/>
  <c r="F66" i="83"/>
  <c r="F55" i="83"/>
  <c r="F49" i="83"/>
  <c r="F26" i="83"/>
  <c r="F42" i="83"/>
  <c r="F30" i="83"/>
  <c r="F64" i="83"/>
  <c r="F43" i="83"/>
  <c r="F36" i="83"/>
  <c r="F69" i="83"/>
  <c r="F34" i="83"/>
  <c r="F27" i="83"/>
  <c r="F20" i="83"/>
  <c r="F24" i="83"/>
  <c r="F65" i="83"/>
  <c r="F28" i="83"/>
  <c r="P56" i="78"/>
  <c r="X56" i="78" s="1"/>
  <c r="Z56" i="78" s="1"/>
  <c r="R20" i="80"/>
  <c r="R22" i="80"/>
  <c r="R33" i="80"/>
  <c r="R57" i="80"/>
  <c r="R61" i="80"/>
  <c r="R62" i="80"/>
  <c r="V17" i="82"/>
  <c r="T12" i="83"/>
  <c r="Z17" i="84"/>
  <c r="X17" i="84"/>
  <c r="X15" i="85"/>
  <c r="X54" i="87"/>
  <c r="Z54" i="87" s="1"/>
  <c r="R18" i="80"/>
  <c r="R23" i="80"/>
  <c r="R38" i="80"/>
  <c r="R39" i="80"/>
  <c r="R50" i="80"/>
  <c r="F19" i="82"/>
  <c r="L22" i="83"/>
  <c r="N22" i="83" s="1"/>
  <c r="Z14" i="84"/>
  <c r="X33" i="84"/>
  <c r="Z33" i="84" s="1"/>
  <c r="N79" i="84"/>
  <c r="J15" i="85"/>
  <c r="J16" i="85"/>
  <c r="J21" i="85"/>
  <c r="J22" i="85"/>
  <c r="J20" i="85"/>
  <c r="J23" i="85"/>
  <c r="H18" i="85"/>
  <c r="J24" i="85"/>
  <c r="J25" i="85"/>
  <c r="J32" i="85"/>
  <c r="Z15" i="85"/>
  <c r="R36" i="80"/>
  <c r="R37" i="80"/>
  <c r="R48" i="80"/>
  <c r="R49" i="80"/>
  <c r="R60" i="80"/>
  <c r="R73" i="80"/>
  <c r="R76" i="80"/>
  <c r="V14" i="81"/>
  <c r="V16" i="81"/>
  <c r="V18" i="81"/>
  <c r="V20" i="81"/>
  <c r="V22" i="81"/>
  <c r="X44" i="83"/>
  <c r="Z44" i="83" s="1"/>
  <c r="Z61" i="83"/>
  <c r="X65" i="83"/>
  <c r="N18" i="84"/>
  <c r="L34" i="84"/>
  <c r="Z57" i="84"/>
  <c r="N108" i="84"/>
  <c r="Z112" i="84"/>
  <c r="F32" i="85"/>
  <c r="F16" i="85"/>
  <c r="F15" i="85"/>
  <c r="F37" i="85"/>
  <c r="F34" i="85"/>
  <c r="F22" i="85"/>
  <c r="F21" i="85"/>
  <c r="F20" i="85"/>
  <c r="F18" i="85"/>
  <c r="F24" i="85"/>
  <c r="F23" i="85"/>
  <c r="D18" i="85"/>
  <c r="L12" i="85"/>
  <c r="N12" i="85" s="1"/>
  <c r="F26" i="85"/>
  <c r="F25" i="85"/>
  <c r="F30" i="85"/>
  <c r="F28" i="85"/>
  <c r="L25" i="85"/>
  <c r="J28" i="85"/>
  <c r="R71" i="80"/>
  <c r="F17" i="82"/>
  <c r="F18" i="82"/>
  <c r="Z65" i="83"/>
  <c r="N34" i="84"/>
  <c r="X37" i="84"/>
  <c r="Z37" i="84" s="1"/>
  <c r="P76" i="92"/>
  <c r="R26" i="80"/>
  <c r="R30" i="80"/>
  <c r="R46" i="80"/>
  <c r="R47" i="80"/>
  <c r="R54" i="80"/>
  <c r="Z12" i="81"/>
  <c r="J26" i="81"/>
  <c r="T21" i="82"/>
  <c r="L38" i="83"/>
  <c r="N38" i="83" s="1"/>
  <c r="L55" i="83"/>
  <c r="Z67" i="83"/>
  <c r="Z16" i="84"/>
  <c r="Z18" i="84"/>
  <c r="Z25" i="84"/>
  <c r="X25" i="84"/>
  <c r="L39" i="84"/>
  <c r="L58" i="84"/>
  <c r="J57" i="88"/>
  <c r="J49" i="88"/>
  <c r="J58" i="88"/>
  <c r="J63" i="88"/>
  <c r="J59" i="88"/>
  <c r="J66" i="88"/>
  <c r="J60" i="88"/>
  <c r="J43" i="88"/>
  <c r="J35" i="88"/>
  <c r="J61" i="88"/>
  <c r="J44" i="88"/>
  <c r="J30" i="88"/>
  <c r="J26" i="88"/>
  <c r="J16" i="88"/>
  <c r="J55" i="88"/>
  <c r="J51" i="88"/>
  <c r="J45" i="88"/>
  <c r="J17" i="88"/>
  <c r="J64" i="88"/>
  <c r="J36" i="88"/>
  <c r="J56" i="88"/>
  <c r="J52" i="88"/>
  <c r="J46" i="88"/>
  <c r="J31" i="88"/>
  <c r="J27" i="88"/>
  <c r="J67" i="88"/>
  <c r="J32" i="88"/>
  <c r="J18" i="88"/>
  <c r="J53" i="88"/>
  <c r="J47" i="88"/>
  <c r="J37" i="88"/>
  <c r="J33" i="88"/>
  <c r="J23" i="88"/>
  <c r="J62" i="88"/>
  <c r="J48" i="88"/>
  <c r="J38" i="88"/>
  <c r="J28" i="88"/>
  <c r="J24" i="88"/>
  <c r="J22" i="88"/>
  <c r="J73" i="88"/>
  <c r="J65" i="88"/>
  <c r="J39" i="88"/>
  <c r="H20" i="88"/>
  <c r="J54" i="88"/>
  <c r="J41" i="88"/>
  <c r="J29" i="88"/>
  <c r="J25" i="88"/>
  <c r="J50" i="88"/>
  <c r="J42" i="88"/>
  <c r="J40" i="88"/>
  <c r="J34" i="88"/>
  <c r="J69" i="88"/>
  <c r="D56" i="78"/>
  <c r="L56" i="78" s="1"/>
  <c r="R16" i="80"/>
  <c r="R35" i="80"/>
  <c r="R59" i="80"/>
  <c r="D16" i="81"/>
  <c r="L12" i="82"/>
  <c r="V19" i="82"/>
  <c r="V21" i="82"/>
  <c r="V23" i="82"/>
  <c r="V25" i="82"/>
  <c r="L13" i="83"/>
  <c r="N13" i="83" s="1"/>
  <c r="Z40" i="83"/>
  <c r="Z34" i="84"/>
  <c r="N39" i="84"/>
  <c r="N58" i="84"/>
  <c r="P12" i="85"/>
  <c r="X13" i="85"/>
  <c r="R44" i="80"/>
  <c r="R45" i="80"/>
  <c r="R67" i="80"/>
  <c r="R69" i="80"/>
  <c r="N49" i="83"/>
  <c r="N55" i="83"/>
  <c r="L75" i="83"/>
  <c r="P12" i="84"/>
  <c r="Z22" i="84"/>
  <c r="L26" i="84"/>
  <c r="Z100" i="84"/>
  <c r="V25" i="85"/>
  <c r="V24" i="85"/>
  <c r="V28" i="85"/>
  <c r="V26" i="85"/>
  <c r="V15" i="85"/>
  <c r="V21" i="85"/>
  <c r="V23" i="85"/>
  <c r="T18" i="85"/>
  <c r="V22" i="85"/>
  <c r="Z23" i="85"/>
  <c r="V65" i="88"/>
  <c r="V53" i="88"/>
  <c r="V60" i="88"/>
  <c r="V69" i="88"/>
  <c r="V67" i="88"/>
  <c r="V56" i="88"/>
  <c r="V48" i="88"/>
  <c r="V62" i="88"/>
  <c r="V58" i="88"/>
  <c r="V59" i="88"/>
  <c r="V31" i="88"/>
  <c r="V27" i="88"/>
  <c r="V23" i="88"/>
  <c r="X12" i="88"/>
  <c r="V38" i="88"/>
  <c r="V22" i="88"/>
  <c r="V18" i="88"/>
  <c r="V47" i="88"/>
  <c r="V37" i="88"/>
  <c r="V33" i="88"/>
  <c r="T20" i="88"/>
  <c r="V20" i="88" s="1"/>
  <c r="V40" i="88"/>
  <c r="V28" i="88"/>
  <c r="V24" i="88"/>
  <c r="V57" i="88"/>
  <c r="V39" i="88"/>
  <c r="V73" i="88"/>
  <c r="V42" i="88"/>
  <c r="V34" i="88"/>
  <c r="V50" i="88"/>
  <c r="V49" i="88"/>
  <c r="V41" i="88"/>
  <c r="V29" i="88"/>
  <c r="V25" i="88"/>
  <c r="V54" i="88"/>
  <c r="V44" i="88"/>
  <c r="V16" i="88"/>
  <c r="V43" i="88"/>
  <c r="V35" i="88"/>
  <c r="V61" i="88"/>
  <c r="V55" i="88"/>
  <c r="V52" i="88"/>
  <c r="V51" i="88"/>
  <c r="V17" i="88"/>
  <c r="V64" i="88"/>
  <c r="V46" i="88"/>
  <c r="V45" i="88"/>
  <c r="V36" i="88"/>
  <c r="V32" i="88"/>
  <c r="Z12" i="88"/>
  <c r="V63" i="88"/>
  <c r="V30" i="88"/>
  <c r="V66" i="88"/>
  <c r="R53" i="80"/>
  <c r="R65" i="80"/>
  <c r="H16" i="81"/>
  <c r="N75" i="83"/>
  <c r="Z13" i="84"/>
  <c r="X13" i="84"/>
  <c r="N26" i="84"/>
  <c r="R34" i="80"/>
  <c r="R42" i="80"/>
  <c r="R43" i="80"/>
  <c r="R58" i="80"/>
  <c r="L15" i="82"/>
  <c r="N15" i="82" s="1"/>
  <c r="V18" i="82"/>
  <c r="D21" i="82"/>
  <c r="F29" i="82"/>
  <c r="N57" i="83"/>
  <c r="Z29" i="84"/>
  <c r="X29" i="84"/>
  <c r="L96" i="84"/>
  <c r="N96" i="84" s="1"/>
  <c r="X21" i="85"/>
  <c r="Z21" i="85" s="1"/>
  <c r="J26" i="85"/>
  <c r="L26" i="78"/>
  <c r="N26" i="78" s="1"/>
  <c r="L46" i="78"/>
  <c r="L23" i="79"/>
  <c r="N23" i="79" s="1"/>
  <c r="R51" i="80"/>
  <c r="R52" i="80"/>
  <c r="R63" i="80"/>
  <c r="R64" i="80"/>
  <c r="F21" i="82"/>
  <c r="F23" i="82"/>
  <c r="F25" i="82"/>
  <c r="X13" i="83"/>
  <c r="Z13" i="83" s="1"/>
  <c r="X23" i="83"/>
  <c r="Z23" i="83" s="1"/>
  <c r="X49" i="83"/>
  <c r="Z49" i="83" s="1"/>
  <c r="Z55" i="83"/>
  <c r="P20" i="80"/>
  <c r="R24" i="80"/>
  <c r="R28" i="80"/>
  <c r="R40" i="80"/>
  <c r="V24" i="81"/>
  <c r="V26" i="81"/>
  <c r="X57" i="83"/>
  <c r="Z57" i="83" s="1"/>
  <c r="Z73" i="83"/>
  <c r="Z75" i="83"/>
  <c r="N14" i="84"/>
  <c r="H12" i="84"/>
  <c r="L30" i="84"/>
  <c r="N20" i="85"/>
  <c r="V32" i="85"/>
  <c r="D12" i="87"/>
  <c r="V26" i="87"/>
  <c r="R81" i="87"/>
  <c r="J81" i="87"/>
  <c r="J61" i="87"/>
  <c r="J53" i="87"/>
  <c r="J43" i="87"/>
  <c r="J29" i="87"/>
  <c r="J25" i="87"/>
  <c r="J72" i="87"/>
  <c r="J68" i="87"/>
  <c r="J54" i="87"/>
  <c r="J44" i="87"/>
  <c r="J85" i="87"/>
  <c r="J55" i="87"/>
  <c r="J35" i="87"/>
  <c r="J62" i="87"/>
  <c r="J30" i="87"/>
  <c r="J26" i="87"/>
  <c r="J16" i="87"/>
  <c r="J73" i="87"/>
  <c r="J69" i="87"/>
  <c r="J63" i="87"/>
  <c r="J45" i="87"/>
  <c r="J17" i="87"/>
  <c r="J74" i="87"/>
  <c r="J64" i="87"/>
  <c r="J56" i="87"/>
  <c r="J46" i="87"/>
  <c r="J36" i="87"/>
  <c r="J75" i="87"/>
  <c r="J57" i="87"/>
  <c r="J47" i="87"/>
  <c r="J37" i="87"/>
  <c r="J31" i="87"/>
  <c r="J27" i="87"/>
  <c r="J76" i="87"/>
  <c r="J70" i="87"/>
  <c r="J58" i="87"/>
  <c r="J48" i="87"/>
  <c r="J38" i="87"/>
  <c r="J32" i="87"/>
  <c r="J18" i="87"/>
  <c r="J78" i="87"/>
  <c r="J66" i="87"/>
  <c r="J60" i="87"/>
  <c r="J50" i="87"/>
  <c r="J40" i="87"/>
  <c r="J28" i="87"/>
  <c r="J24" i="87"/>
  <c r="J22" i="87"/>
  <c r="J79" i="87"/>
  <c r="J71" i="87"/>
  <c r="J67" i="87"/>
  <c r="J51" i="87"/>
  <c r="J41" i="87"/>
  <c r="H20" i="87"/>
  <c r="J20" i="87" s="1"/>
  <c r="V24" i="87"/>
  <c r="Z37" i="87"/>
  <c r="Z41" i="87"/>
  <c r="D12" i="88"/>
  <c r="L13" i="88"/>
  <c r="N13" i="88" s="1"/>
  <c r="Z40" i="88"/>
  <c r="Z12" i="87"/>
  <c r="L32" i="87"/>
  <c r="N32" i="87" s="1"/>
  <c r="J42" i="87"/>
  <c r="J77" i="87"/>
  <c r="R83" i="87"/>
  <c r="N23" i="88"/>
  <c r="V74" i="87"/>
  <c r="N23" i="87"/>
  <c r="V32" i="87"/>
  <c r="R42" i="87"/>
  <c r="V61" i="87"/>
  <c r="P91" i="91"/>
  <c r="X16" i="91"/>
  <c r="L67" i="84"/>
  <c r="N67" i="84" s="1"/>
  <c r="X77" i="84"/>
  <c r="Z77" i="84" s="1"/>
  <c r="L83" i="84"/>
  <c r="N83" i="84" s="1"/>
  <c r="X89" i="84"/>
  <c r="Z89" i="84" s="1"/>
  <c r="Z13" i="85"/>
  <c r="R17" i="87"/>
  <c r="J23" i="87"/>
  <c r="V25" i="87"/>
  <c r="V30" i="87"/>
  <c r="V46" i="87"/>
  <c r="J49" i="87"/>
  <c r="R85" i="87"/>
  <c r="R90" i="87"/>
  <c r="R87" i="87"/>
  <c r="R63" i="87"/>
  <c r="R62" i="87"/>
  <c r="R30" i="87"/>
  <c r="R26" i="87"/>
  <c r="R74" i="87"/>
  <c r="R73" i="87"/>
  <c r="R69" i="87"/>
  <c r="R46" i="87"/>
  <c r="R45" i="87"/>
  <c r="R64" i="87"/>
  <c r="R57" i="87"/>
  <c r="R56" i="87"/>
  <c r="R37" i="87"/>
  <c r="R36" i="87"/>
  <c r="R76" i="87"/>
  <c r="R75" i="87"/>
  <c r="R48" i="87"/>
  <c r="R47" i="87"/>
  <c r="R32" i="87"/>
  <c r="R31" i="87"/>
  <c r="R27" i="87"/>
  <c r="R70" i="87"/>
  <c r="R59" i="87"/>
  <c r="R58" i="87"/>
  <c r="R39" i="87"/>
  <c r="R38" i="87"/>
  <c r="R23" i="87"/>
  <c r="R18" i="87"/>
  <c r="R78" i="87"/>
  <c r="R77" i="87"/>
  <c r="R66" i="87"/>
  <c r="R65" i="87"/>
  <c r="R50" i="87"/>
  <c r="R49" i="87"/>
  <c r="R33" i="87"/>
  <c r="R60" i="87"/>
  <c r="R41" i="87"/>
  <c r="R40" i="87"/>
  <c r="R28" i="87"/>
  <c r="R24" i="87"/>
  <c r="P20" i="87"/>
  <c r="R79" i="87"/>
  <c r="R71" i="87"/>
  <c r="R67" i="87"/>
  <c r="R52" i="87"/>
  <c r="R51" i="87"/>
  <c r="R61" i="87"/>
  <c r="R54" i="87"/>
  <c r="R53" i="87"/>
  <c r="R29" i="87"/>
  <c r="R25" i="87"/>
  <c r="R72" i="87"/>
  <c r="R68" i="87"/>
  <c r="R44" i="87"/>
  <c r="J59" i="87"/>
  <c r="V73" i="87"/>
  <c r="V69" i="87"/>
  <c r="V57" i="87"/>
  <c r="V45" i="87"/>
  <c r="V37" i="87"/>
  <c r="V17" i="87"/>
  <c r="V76" i="87"/>
  <c r="V64" i="87"/>
  <c r="V56" i="87"/>
  <c r="V48" i="87"/>
  <c r="V75" i="87"/>
  <c r="V59" i="87"/>
  <c r="V47" i="87"/>
  <c r="V39" i="87"/>
  <c r="V31" i="87"/>
  <c r="V27" i="87"/>
  <c r="V23" i="87"/>
  <c r="V78" i="87"/>
  <c r="V70" i="87"/>
  <c r="V66" i="87"/>
  <c r="V58" i="87"/>
  <c r="V50" i="87"/>
  <c r="V38" i="87"/>
  <c r="V22" i="87"/>
  <c r="V18" i="87"/>
  <c r="V77" i="87"/>
  <c r="V65" i="87"/>
  <c r="V49" i="87"/>
  <c r="V41" i="87"/>
  <c r="V33" i="87"/>
  <c r="T20" i="87"/>
  <c r="V20" i="87" s="1"/>
  <c r="V60" i="87"/>
  <c r="V52" i="87"/>
  <c r="V40" i="87"/>
  <c r="V81" i="87"/>
  <c r="V79" i="87"/>
  <c r="V71" i="87"/>
  <c r="V67" i="87"/>
  <c r="V51" i="87"/>
  <c r="V43" i="87"/>
  <c r="V54" i="87"/>
  <c r="V42" i="87"/>
  <c r="V34" i="87"/>
  <c r="V72" i="87"/>
  <c r="V68" i="87"/>
  <c r="V44" i="87"/>
  <c r="V16" i="87"/>
  <c r="V85" i="87"/>
  <c r="V63" i="87"/>
  <c r="V55" i="87"/>
  <c r="V35" i="87"/>
  <c r="Z23" i="87"/>
  <c r="V53" i="87"/>
  <c r="X96" i="84"/>
  <c r="Z96" i="84" s="1"/>
  <c r="X108" i="84"/>
  <c r="Z108" i="84" s="1"/>
  <c r="R35" i="87"/>
  <c r="Z42" i="88"/>
  <c r="N43" i="87"/>
  <c r="V62" i="87"/>
  <c r="N76" i="87"/>
  <c r="L76" i="87"/>
  <c r="N16" i="91"/>
  <c r="H91" i="91"/>
  <c r="R17" i="88"/>
  <c r="R51" i="88"/>
  <c r="R55" i="88"/>
  <c r="R71" i="88"/>
  <c r="R82" i="91"/>
  <c r="R74" i="91"/>
  <c r="R70" i="91"/>
  <c r="R91" i="91"/>
  <c r="R89" i="91"/>
  <c r="R88" i="91"/>
  <c r="R85" i="91"/>
  <c r="R78" i="91"/>
  <c r="R77" i="91"/>
  <c r="R65" i="91"/>
  <c r="R93" i="91"/>
  <c r="R80" i="91"/>
  <c r="R79" i="91"/>
  <c r="R75" i="91"/>
  <c r="R52" i="91"/>
  <c r="R51" i="91"/>
  <c r="R62" i="91"/>
  <c r="R42" i="91"/>
  <c r="R34" i="91"/>
  <c r="R30" i="91"/>
  <c r="R54" i="91"/>
  <c r="R53" i="91"/>
  <c r="R25" i="91"/>
  <c r="R21" i="91"/>
  <c r="R76" i="91"/>
  <c r="R73" i="91"/>
  <c r="R95" i="91"/>
  <c r="R66" i="91"/>
  <c r="R63" i="91"/>
  <c r="R56" i="91"/>
  <c r="R55" i="91"/>
  <c r="R67" i="91"/>
  <c r="R26" i="91"/>
  <c r="R22" i="91"/>
  <c r="R71" i="91"/>
  <c r="R58" i="91"/>
  <c r="R57" i="91"/>
  <c r="R46" i="91"/>
  <c r="R45" i="91"/>
  <c r="R38" i="91"/>
  <c r="R37" i="91"/>
  <c r="R87" i="91"/>
  <c r="R83" i="91"/>
  <c r="R32" i="91"/>
  <c r="X12" i="91"/>
  <c r="R98" i="91"/>
  <c r="R84" i="91"/>
  <c r="R81" i="91"/>
  <c r="R72" i="91"/>
  <c r="R50" i="91"/>
  <c r="R49" i="91"/>
  <c r="R41" i="91"/>
  <c r="R33" i="91"/>
  <c r="R18" i="91"/>
  <c r="R16" i="91"/>
  <c r="R14" i="91"/>
  <c r="R69" i="91"/>
  <c r="R61" i="91"/>
  <c r="R60" i="91"/>
  <c r="R29" i="91"/>
  <c r="R28" i="91"/>
  <c r="R24" i="91"/>
  <c r="R20" i="91"/>
  <c r="V18" i="91"/>
  <c r="N36" i="91"/>
  <c r="R39" i="91"/>
  <c r="X50" i="91"/>
  <c r="L56" i="91"/>
  <c r="N67" i="91"/>
  <c r="R26" i="88"/>
  <c r="R30" i="88"/>
  <c r="R63" i="88"/>
  <c r="R75" i="88"/>
  <c r="V91" i="91"/>
  <c r="V87" i="91"/>
  <c r="V85" i="91"/>
  <c r="V77" i="91"/>
  <c r="V65" i="91"/>
  <c r="V80" i="91"/>
  <c r="V72" i="91"/>
  <c r="V79" i="91"/>
  <c r="V62" i="91"/>
  <c r="V54" i="91"/>
  <c r="V42" i="91"/>
  <c r="V34" i="91"/>
  <c r="V30" i="91"/>
  <c r="V76" i="91"/>
  <c r="V53" i="91"/>
  <c r="V25" i="91"/>
  <c r="V21" i="91"/>
  <c r="V82" i="91"/>
  <c r="V73" i="91"/>
  <c r="V70" i="91"/>
  <c r="V56" i="91"/>
  <c r="V44" i="91"/>
  <c r="V36" i="91"/>
  <c r="V95" i="91"/>
  <c r="V67" i="91"/>
  <c r="V66" i="91"/>
  <c r="V63" i="91"/>
  <c r="V55" i="91"/>
  <c r="V43" i="91"/>
  <c r="V35" i="91"/>
  <c r="V31" i="91"/>
  <c r="V58" i="91"/>
  <c r="V71" i="91"/>
  <c r="V57" i="91"/>
  <c r="V45" i="91"/>
  <c r="V37" i="91"/>
  <c r="V83" i="91"/>
  <c r="V48" i="91"/>
  <c r="V40" i="91"/>
  <c r="V32" i="91"/>
  <c r="V78" i="91"/>
  <c r="V74" i="91"/>
  <c r="V64" i="91"/>
  <c r="V59" i="91"/>
  <c r="V47" i="91"/>
  <c r="V39" i="91"/>
  <c r="V27" i="91"/>
  <c r="V23" i="91"/>
  <c r="V19" i="91"/>
  <c r="V89" i="91"/>
  <c r="V60" i="91"/>
  <c r="V52" i="91"/>
  <c r="V28" i="91"/>
  <c r="V24" i="91"/>
  <c r="V20" i="91"/>
  <c r="V93" i="91"/>
  <c r="V75" i="91"/>
  <c r="V51" i="91"/>
  <c r="R64" i="91"/>
  <c r="R50" i="88"/>
  <c r="R54" i="88"/>
  <c r="T91" i="91"/>
  <c r="R25" i="88"/>
  <c r="R29" i="88"/>
  <c r="R41" i="88"/>
  <c r="R42" i="88"/>
  <c r="R49" i="88"/>
  <c r="Z50" i="88"/>
  <c r="R58" i="88"/>
  <c r="R47" i="91"/>
  <c r="V81" i="91"/>
  <c r="N22" i="92"/>
  <c r="R34" i="88"/>
  <c r="Z58" i="88"/>
  <c r="R69" i="88"/>
  <c r="N14" i="91"/>
  <c r="L14" i="91"/>
  <c r="Z13" i="87"/>
  <c r="R39" i="88"/>
  <c r="R40" i="88"/>
  <c r="R57" i="88"/>
  <c r="Z69" i="88"/>
  <c r="X69" i="88"/>
  <c r="N29" i="91"/>
  <c r="P20" i="88"/>
  <c r="R24" i="88"/>
  <c r="R28" i="88"/>
  <c r="R62" i="88"/>
  <c r="N64" i="88"/>
  <c r="X14" i="91"/>
  <c r="R31" i="91"/>
  <c r="R35" i="91"/>
  <c r="R44" i="91"/>
  <c r="N61" i="91"/>
  <c r="R68" i="91"/>
  <c r="R20" i="88"/>
  <c r="R22" i="88"/>
  <c r="R33" i="88"/>
  <c r="R37" i="88"/>
  <c r="R38" i="88"/>
  <c r="R47" i="88"/>
  <c r="R48" i="88"/>
  <c r="R53" i="88"/>
  <c r="V68" i="91"/>
  <c r="X84" i="91"/>
  <c r="Z84" i="91" s="1"/>
  <c r="X44" i="92"/>
  <c r="Z44" i="92" s="1"/>
  <c r="L41" i="93"/>
  <c r="N41" i="93" s="1"/>
  <c r="R66" i="88"/>
  <c r="R65" i="88"/>
  <c r="R60" i="88"/>
  <c r="R61" i="88"/>
  <c r="R46" i="88"/>
  <c r="R45" i="88"/>
  <c r="R73" i="88"/>
  <c r="R18" i="88"/>
  <c r="R23" i="88"/>
  <c r="L50" i="88"/>
  <c r="R67" i="88"/>
  <c r="Z29" i="91"/>
  <c r="Z61" i="91"/>
  <c r="V84" i="91"/>
  <c r="R27" i="88"/>
  <c r="R31" i="88"/>
  <c r="R32" i="88"/>
  <c r="R59" i="88"/>
  <c r="R64" i="88"/>
  <c r="X18" i="91"/>
  <c r="Z18" i="91" s="1"/>
  <c r="X19" i="91"/>
  <c r="Z19" i="91" s="1"/>
  <c r="V29" i="91"/>
  <c r="V46" i="91"/>
  <c r="V61" i="91"/>
  <c r="Z42" i="92"/>
  <c r="R52" i="88"/>
  <c r="R56" i="88"/>
  <c r="Z64" i="88"/>
  <c r="X87" i="91"/>
  <c r="Z87" i="91" s="1"/>
  <c r="X13" i="92"/>
  <c r="Z13" i="92" s="1"/>
  <c r="T12" i="92"/>
  <c r="F64" i="91"/>
  <c r="F67" i="91"/>
  <c r="D87" i="91"/>
  <c r="L87" i="91" s="1"/>
  <c r="N87" i="91" s="1"/>
  <c r="Z89" i="91"/>
  <c r="H12" i="92"/>
  <c r="L13" i="92"/>
  <c r="L65" i="92"/>
  <c r="N65" i="92" s="1"/>
  <c r="F36" i="91"/>
  <c r="F37" i="91"/>
  <c r="F44" i="91"/>
  <c r="F45" i="91"/>
  <c r="F56" i="91"/>
  <c r="F57" i="91"/>
  <c r="J58" i="91"/>
  <c r="F71" i="91"/>
  <c r="J74" i="91"/>
  <c r="F77" i="91"/>
  <c r="J83" i="91"/>
  <c r="N13" i="92"/>
  <c r="F35" i="92"/>
  <c r="Z50" i="92"/>
  <c r="X58" i="92"/>
  <c r="Z58" i="92" s="1"/>
  <c r="R70" i="92"/>
  <c r="N43" i="93"/>
  <c r="N51" i="93"/>
  <c r="N22" i="94"/>
  <c r="J31" i="91"/>
  <c r="J35" i="91"/>
  <c r="J43" i="91"/>
  <c r="J55" i="91"/>
  <c r="J63" i="91"/>
  <c r="J66" i="91"/>
  <c r="F76" i="91"/>
  <c r="X88" i="91"/>
  <c r="Z88" i="91" s="1"/>
  <c r="Z16" i="92"/>
  <c r="D12" i="93"/>
  <c r="L13" i="93"/>
  <c r="N16" i="93"/>
  <c r="V58" i="93"/>
  <c r="L64" i="93"/>
  <c r="D63" i="93"/>
  <c r="L63" i="93" s="1"/>
  <c r="N63" i="93" s="1"/>
  <c r="F52" i="91"/>
  <c r="F53" i="91"/>
  <c r="X67" i="91"/>
  <c r="F73" i="91"/>
  <c r="J80" i="91"/>
  <c r="J91" i="91"/>
  <c r="F47" i="92"/>
  <c r="F46" i="92"/>
  <c r="F27" i="92"/>
  <c r="F23" i="92"/>
  <c r="F22" i="92"/>
  <c r="F62" i="92"/>
  <c r="F72" i="92"/>
  <c r="F70" i="92"/>
  <c r="F57" i="92"/>
  <c r="F49" i="92"/>
  <c r="F48" i="92"/>
  <c r="F37" i="92"/>
  <c r="F33" i="92"/>
  <c r="D19" i="92"/>
  <c r="F74" i="92"/>
  <c r="F63" i="92"/>
  <c r="F59" i="92"/>
  <c r="F58" i="92"/>
  <c r="F51" i="92"/>
  <c r="F50" i="92"/>
  <c r="F39" i="92"/>
  <c r="F38" i="92"/>
  <c r="F34" i="92"/>
  <c r="F79" i="92"/>
  <c r="F76" i="92"/>
  <c r="F53" i="92"/>
  <c r="F52" i="92"/>
  <c r="F41" i="92"/>
  <c r="F40" i="92"/>
  <c r="F29" i="92"/>
  <c r="F25" i="92"/>
  <c r="F64" i="92"/>
  <c r="F60" i="92"/>
  <c r="F61" i="92"/>
  <c r="F45" i="92"/>
  <c r="F44" i="92"/>
  <c r="F17" i="92"/>
  <c r="F16" i="92"/>
  <c r="F68" i="92"/>
  <c r="F67" i="92"/>
  <c r="F56" i="92"/>
  <c r="F55" i="92"/>
  <c r="F24" i="92"/>
  <c r="F26" i="92"/>
  <c r="F28" i="92"/>
  <c r="F30" i="92"/>
  <c r="F43" i="92"/>
  <c r="J58" i="93"/>
  <c r="J46" i="93"/>
  <c r="J30" i="93"/>
  <c r="J26" i="93"/>
  <c r="J16" i="93"/>
  <c r="J53" i="93"/>
  <c r="J47" i="93"/>
  <c r="J17" i="93"/>
  <c r="J54" i="93"/>
  <c r="J48" i="93"/>
  <c r="J36" i="93"/>
  <c r="J59" i="93"/>
  <c r="J55" i="93"/>
  <c r="J37" i="93"/>
  <c r="J31" i="93"/>
  <c r="J27" i="93"/>
  <c r="J60" i="93"/>
  <c r="J38" i="93"/>
  <c r="J32" i="93"/>
  <c r="J18" i="93"/>
  <c r="J61" i="93"/>
  <c r="J49" i="93"/>
  <c r="J39" i="93"/>
  <c r="J33" i="93"/>
  <c r="J23" i="93"/>
  <c r="J64" i="93"/>
  <c r="J56" i="93"/>
  <c r="J40" i="93"/>
  <c r="J28" i="93"/>
  <c r="J24" i="93"/>
  <c r="J22" i="93"/>
  <c r="J63" i="93"/>
  <c r="J41" i="93"/>
  <c r="H20" i="93"/>
  <c r="J68" i="93"/>
  <c r="J52" i="93"/>
  <c r="J44" i="93"/>
  <c r="J45" i="93"/>
  <c r="J35" i="93"/>
  <c r="P20" i="93"/>
  <c r="X16" i="93"/>
  <c r="D16" i="91"/>
  <c r="J21" i="91"/>
  <c r="J25" i="91"/>
  <c r="F29" i="91"/>
  <c r="F30" i="91"/>
  <c r="F34" i="91"/>
  <c r="F42" i="91"/>
  <c r="J53" i="91"/>
  <c r="F61" i="91"/>
  <c r="F62" i="91"/>
  <c r="J70" i="91"/>
  <c r="L76" i="91"/>
  <c r="N76" i="91" s="1"/>
  <c r="J82" i="91"/>
  <c r="F85" i="91"/>
  <c r="L12" i="92"/>
  <c r="L14" i="92"/>
  <c r="Z37" i="93"/>
  <c r="Z47" i="93"/>
  <c r="X47" i="93"/>
  <c r="N64" i="93"/>
  <c r="F81" i="94"/>
  <c r="F78" i="94"/>
  <c r="F43" i="94"/>
  <c r="F42" i="94"/>
  <c r="F22" i="94"/>
  <c r="F20" i="94"/>
  <c r="F66" i="94"/>
  <c r="F62" i="94"/>
  <c r="F54" i="94"/>
  <c r="F53" i="94"/>
  <c r="F68" i="94"/>
  <c r="F67" i="94"/>
  <c r="F56" i="94"/>
  <c r="F55" i="94"/>
  <c r="F63" i="94"/>
  <c r="F47" i="94"/>
  <c r="F46" i="94"/>
  <c r="F35" i="94"/>
  <c r="F70" i="94"/>
  <c r="F69" i="94"/>
  <c r="F58" i="94"/>
  <c r="F57" i="94"/>
  <c r="F30" i="94"/>
  <c r="F26" i="94"/>
  <c r="F49" i="94"/>
  <c r="F48" i="94"/>
  <c r="F37" i="94"/>
  <c r="F36" i="94"/>
  <c r="F17" i="94"/>
  <c r="F16" i="94"/>
  <c r="F64" i="94"/>
  <c r="F60" i="94"/>
  <c r="F59" i="94"/>
  <c r="F32" i="94"/>
  <c r="F31" i="94"/>
  <c r="F74" i="94"/>
  <c r="F72" i="94"/>
  <c r="F51" i="94"/>
  <c r="F50" i="94"/>
  <c r="F39" i="94"/>
  <c r="F38" i="94"/>
  <c r="F27" i="94"/>
  <c r="F65" i="94"/>
  <c r="F61" i="94"/>
  <c r="F41" i="94"/>
  <c r="F40" i="94"/>
  <c r="F33" i="94"/>
  <c r="F52" i="94"/>
  <c r="F28" i="94"/>
  <c r="F24" i="94"/>
  <c r="F23" i="94"/>
  <c r="F44" i="94"/>
  <c r="F76" i="94"/>
  <c r="F29" i="94"/>
  <c r="D20" i="94"/>
  <c r="F34" i="94"/>
  <c r="F45" i="94"/>
  <c r="L12" i="94"/>
  <c r="F25" i="94"/>
  <c r="Z67" i="91"/>
  <c r="R79" i="92"/>
  <c r="R76" i="92"/>
  <c r="R63" i="92"/>
  <c r="R59" i="92"/>
  <c r="R52" i="92"/>
  <c r="R51" i="92"/>
  <c r="R40" i="92"/>
  <c r="R39" i="92"/>
  <c r="R53" i="92"/>
  <c r="R42" i="92"/>
  <c r="R41" i="92"/>
  <c r="R29" i="92"/>
  <c r="R25" i="92"/>
  <c r="R65" i="92"/>
  <c r="R64" i="92"/>
  <c r="R60" i="92"/>
  <c r="R44" i="92"/>
  <c r="R43" i="92"/>
  <c r="R35" i="92"/>
  <c r="R16" i="92"/>
  <c r="R67" i="92"/>
  <c r="R66" i="92"/>
  <c r="R55" i="92"/>
  <c r="R54" i="92"/>
  <c r="R31" i="92"/>
  <c r="R30" i="92"/>
  <c r="R26" i="92"/>
  <c r="R61" i="92"/>
  <c r="R46" i="92"/>
  <c r="R45" i="92"/>
  <c r="R22" i="92"/>
  <c r="R68" i="92"/>
  <c r="R56" i="92"/>
  <c r="R36" i="92"/>
  <c r="R32" i="92"/>
  <c r="R21" i="92"/>
  <c r="R19" i="92"/>
  <c r="X12" i="92"/>
  <c r="R58" i="92"/>
  <c r="R57" i="92"/>
  <c r="R50" i="92"/>
  <c r="R49" i="92"/>
  <c r="R38" i="92"/>
  <c r="R37" i="92"/>
  <c r="R33" i="92"/>
  <c r="R74" i="92"/>
  <c r="N14" i="92"/>
  <c r="R24" i="92"/>
  <c r="R28" i="92"/>
  <c r="V64" i="93"/>
  <c r="V38" i="93"/>
  <c r="V22" i="93"/>
  <c r="V20" i="93"/>
  <c r="V18" i="93"/>
  <c r="V63" i="93"/>
  <c r="V61" i="93"/>
  <c r="V49" i="93"/>
  <c r="V41" i="93"/>
  <c r="V33" i="93"/>
  <c r="T20" i="93"/>
  <c r="V56" i="93"/>
  <c r="V40" i="93"/>
  <c r="V28" i="93"/>
  <c r="V24" i="93"/>
  <c r="V51" i="93"/>
  <c r="V43" i="93"/>
  <c r="V50" i="93"/>
  <c r="V42" i="93"/>
  <c r="V34" i="93"/>
  <c r="V57" i="93"/>
  <c r="V45" i="93"/>
  <c r="V29" i="93"/>
  <c r="V25" i="93"/>
  <c r="V68" i="93"/>
  <c r="V52" i="93"/>
  <c r="V44" i="93"/>
  <c r="V16" i="93"/>
  <c r="V47" i="93"/>
  <c r="V35" i="93"/>
  <c r="V60" i="93"/>
  <c r="V48" i="93"/>
  <c r="V36" i="93"/>
  <c r="V32" i="93"/>
  <c r="V59" i="93"/>
  <c r="V55" i="93"/>
  <c r="V39" i="93"/>
  <c r="V31" i="93"/>
  <c r="V27" i="93"/>
  <c r="V23" i="93"/>
  <c r="X12" i="93"/>
  <c r="Z12" i="93" s="1"/>
  <c r="Z16" i="93"/>
  <c r="V37" i="93"/>
  <c r="J50" i="93"/>
  <c r="F28" i="91"/>
  <c r="J51" i="91"/>
  <c r="F60" i="91"/>
  <c r="J61" i="91"/>
  <c r="F65" i="91"/>
  <c r="N69" i="91"/>
  <c r="J75" i="91"/>
  <c r="F79" i="91"/>
  <c r="F36" i="92"/>
  <c r="R47" i="92"/>
  <c r="R62" i="92"/>
  <c r="Z54" i="93"/>
  <c r="J57" i="93"/>
  <c r="F33" i="91"/>
  <c r="F40" i="91"/>
  <c r="F41" i="91"/>
  <c r="F48" i="91"/>
  <c r="F49" i="91"/>
  <c r="J50" i="91"/>
  <c r="J60" i="91"/>
  <c r="J65" i="91"/>
  <c r="J69" i="91"/>
  <c r="F78" i="91"/>
  <c r="F84" i="91"/>
  <c r="F88" i="91"/>
  <c r="J89" i="91"/>
  <c r="Z14" i="92"/>
  <c r="R17" i="92"/>
  <c r="F32" i="92"/>
  <c r="N38" i="92"/>
  <c r="L38" i="92"/>
  <c r="V54" i="93"/>
  <c r="F87" i="91"/>
  <c r="F98" i="91"/>
  <c r="F95" i="91"/>
  <c r="F82" i="91"/>
  <c r="F74" i="91"/>
  <c r="F70" i="91"/>
  <c r="F69" i="91"/>
  <c r="F83" i="91"/>
  <c r="F75" i="91"/>
  <c r="F91" i="91"/>
  <c r="F89" i="91"/>
  <c r="L18" i="91"/>
  <c r="N18" i="91" s="1"/>
  <c r="X36" i="91"/>
  <c r="Z36" i="91" s="1"/>
  <c r="J41" i="91"/>
  <c r="X44" i="91"/>
  <c r="Z44" i="91" s="1"/>
  <c r="F68" i="91"/>
  <c r="F72" i="91"/>
  <c r="R34" i="92"/>
  <c r="V46" i="93"/>
  <c r="J98" i="91"/>
  <c r="J95" i="91"/>
  <c r="J81" i="91"/>
  <c r="J73" i="91"/>
  <c r="J64" i="91"/>
  <c r="J84" i="91"/>
  <c r="J76" i="91"/>
  <c r="J93" i="91"/>
  <c r="J87" i="91"/>
  <c r="J79" i="91"/>
  <c r="F23" i="91"/>
  <c r="F27" i="91"/>
  <c r="F38" i="91"/>
  <c r="F39" i="91"/>
  <c r="J40" i="91"/>
  <c r="F46" i="91"/>
  <c r="F47" i="91"/>
  <c r="J48" i="91"/>
  <c r="F58" i="91"/>
  <c r="F59" i="91"/>
  <c r="J68" i="91"/>
  <c r="J72" i="91"/>
  <c r="Z76" i="91"/>
  <c r="J78" i="91"/>
  <c r="F81" i="91"/>
  <c r="L84" i="91"/>
  <c r="N84" i="91" s="1"/>
  <c r="J88" i="91"/>
  <c r="L16" i="92"/>
  <c r="N16" i="92" s="1"/>
  <c r="Z38" i="92"/>
  <c r="F42" i="92"/>
  <c r="L44" i="92"/>
  <c r="N44" i="92" s="1"/>
  <c r="N50" i="92"/>
  <c r="L50" i="92"/>
  <c r="F54" i="92"/>
  <c r="F65" i="92"/>
  <c r="V17" i="93"/>
  <c r="J25" i="93"/>
  <c r="P20" i="94"/>
  <c r="X16" i="94"/>
  <c r="Z16" i="94" s="1"/>
  <c r="R36" i="93"/>
  <c r="R37" i="93"/>
  <c r="R48" i="93"/>
  <c r="J23" i="94"/>
  <c r="Z38" i="94"/>
  <c r="R66" i="94"/>
  <c r="J31" i="95"/>
  <c r="R17" i="93"/>
  <c r="R53" i="93"/>
  <c r="R54" i="93"/>
  <c r="V72" i="94"/>
  <c r="V70" i="94"/>
  <c r="V58" i="94"/>
  <c r="V50" i="94"/>
  <c r="V38" i="94"/>
  <c r="V30" i="94"/>
  <c r="V26" i="94"/>
  <c r="V49" i="94"/>
  <c r="V64" i="94"/>
  <c r="V60" i="94"/>
  <c r="V51" i="94"/>
  <c r="V76" i="94"/>
  <c r="V42" i="94"/>
  <c r="V22" i="94"/>
  <c r="V18" i="94"/>
  <c r="V65" i="94"/>
  <c r="V61" i="94"/>
  <c r="V53" i="94"/>
  <c r="V41" i="94"/>
  <c r="V33" i="94"/>
  <c r="V52" i="94"/>
  <c r="V44" i="94"/>
  <c r="V28" i="94"/>
  <c r="V24" i="94"/>
  <c r="V67" i="94"/>
  <c r="V55" i="94"/>
  <c r="V43" i="94"/>
  <c r="V66" i="94"/>
  <c r="V62" i="94"/>
  <c r="V54" i="94"/>
  <c r="V46" i="94"/>
  <c r="V34" i="94"/>
  <c r="V68" i="94"/>
  <c r="V56" i="94"/>
  <c r="V48" i="94"/>
  <c r="V36" i="94"/>
  <c r="V16" i="94"/>
  <c r="V63" i="94"/>
  <c r="V59" i="94"/>
  <c r="V47" i="94"/>
  <c r="V35" i="94"/>
  <c r="V31" i="94"/>
  <c r="J25" i="94"/>
  <c r="V29" i="94"/>
  <c r="N46" i="94"/>
  <c r="N50" i="94"/>
  <c r="X40" i="95"/>
  <c r="Z40" i="95" s="1"/>
  <c r="R48" i="95"/>
  <c r="R44" i="93"/>
  <c r="R45" i="93"/>
  <c r="R52" i="93"/>
  <c r="R68" i="93"/>
  <c r="V37" i="94"/>
  <c r="V39" i="94"/>
  <c r="Z50" i="94"/>
  <c r="J65" i="94"/>
  <c r="R91" i="95"/>
  <c r="R81" i="95"/>
  <c r="R80" i="95"/>
  <c r="R87" i="95"/>
  <c r="R65" i="95"/>
  <c r="R42" i="95"/>
  <c r="R41" i="95"/>
  <c r="R29" i="95"/>
  <c r="R25" i="95"/>
  <c r="R76" i="95"/>
  <c r="R72" i="95"/>
  <c r="R61" i="95"/>
  <c r="R60" i="95"/>
  <c r="R53" i="95"/>
  <c r="R52" i="95"/>
  <c r="R44" i="95"/>
  <c r="R43" i="95"/>
  <c r="R35" i="95"/>
  <c r="R16" i="95"/>
  <c r="R84" i="95"/>
  <c r="R67" i="95"/>
  <c r="R66" i="95"/>
  <c r="R62" i="95"/>
  <c r="R55" i="95"/>
  <c r="R54" i="95"/>
  <c r="R30" i="95"/>
  <c r="R26" i="95"/>
  <c r="R77" i="95"/>
  <c r="R73" i="95"/>
  <c r="R45" i="95"/>
  <c r="R17" i="95"/>
  <c r="R68" i="95"/>
  <c r="R57" i="95"/>
  <c r="R56" i="95"/>
  <c r="R36" i="95"/>
  <c r="R63" i="95"/>
  <c r="R32" i="95"/>
  <c r="R31" i="95"/>
  <c r="R27" i="95"/>
  <c r="R78" i="95"/>
  <c r="R74" i="95"/>
  <c r="R58" i="95"/>
  <c r="R47" i="95"/>
  <c r="R46" i="95"/>
  <c r="R23" i="95"/>
  <c r="R18" i="95"/>
  <c r="R82" i="95"/>
  <c r="R70" i="95"/>
  <c r="R69" i="95"/>
  <c r="R38" i="95"/>
  <c r="R37" i="95"/>
  <c r="R33" i="95"/>
  <c r="R22" i="95"/>
  <c r="R20" i="95"/>
  <c r="R83" i="95"/>
  <c r="R75" i="95"/>
  <c r="R71" i="95"/>
  <c r="R59" i="95"/>
  <c r="R40" i="95"/>
  <c r="R39" i="95"/>
  <c r="R51" i="95"/>
  <c r="R50" i="95"/>
  <c r="R34" i="95"/>
  <c r="N53" i="95"/>
  <c r="R25" i="93"/>
  <c r="R29" i="93"/>
  <c r="R57" i="93"/>
  <c r="R63" i="94"/>
  <c r="R48" i="94"/>
  <c r="R47" i="94"/>
  <c r="R36" i="94"/>
  <c r="R35" i="94"/>
  <c r="R16" i="94"/>
  <c r="R70" i="94"/>
  <c r="R59" i="94"/>
  <c r="R58" i="94"/>
  <c r="R72" i="94"/>
  <c r="R64" i="94"/>
  <c r="R60" i="94"/>
  <c r="R51" i="94"/>
  <c r="R40" i="94"/>
  <c r="R39" i="94"/>
  <c r="R27" i="94"/>
  <c r="R76" i="94"/>
  <c r="R23" i="94"/>
  <c r="R65" i="94"/>
  <c r="R61" i="94"/>
  <c r="R42" i="94"/>
  <c r="R41" i="94"/>
  <c r="R33" i="94"/>
  <c r="R22" i="94"/>
  <c r="R20" i="94"/>
  <c r="R53" i="94"/>
  <c r="R52" i="94"/>
  <c r="R28" i="94"/>
  <c r="R24" i="94"/>
  <c r="R44" i="94"/>
  <c r="R43" i="94"/>
  <c r="R46" i="94"/>
  <c r="R45" i="94"/>
  <c r="R29" i="94"/>
  <c r="R25" i="94"/>
  <c r="R69" i="94"/>
  <c r="R68" i="94"/>
  <c r="R57" i="94"/>
  <c r="R56" i="94"/>
  <c r="N14" i="94"/>
  <c r="J45" i="94"/>
  <c r="X46" i="94"/>
  <c r="Z46" i="94" s="1"/>
  <c r="V57" i="94"/>
  <c r="R62" i="94"/>
  <c r="N13" i="93"/>
  <c r="R34" i="93"/>
  <c r="R42" i="93"/>
  <c r="R43" i="93"/>
  <c r="R50" i="93"/>
  <c r="R51" i="93"/>
  <c r="X12" i="94"/>
  <c r="J17" i="94"/>
  <c r="R67" i="94"/>
  <c r="N32" i="95"/>
  <c r="N49" i="95"/>
  <c r="Z67" i="95"/>
  <c r="P63" i="93"/>
  <c r="X63" i="93" s="1"/>
  <c r="Z63" i="93" s="1"/>
  <c r="Z12" i="94"/>
  <c r="R30" i="94"/>
  <c r="R32" i="94"/>
  <c r="J27" i="95"/>
  <c r="R28" i="93"/>
  <c r="R40" i="93"/>
  <c r="R41" i="93"/>
  <c r="R56" i="93"/>
  <c r="R63" i="93"/>
  <c r="R66" i="93"/>
  <c r="H74" i="94"/>
  <c r="J83" i="95"/>
  <c r="J84" i="95"/>
  <c r="J87" i="95"/>
  <c r="J91" i="95"/>
  <c r="J70" i="95"/>
  <c r="J64" i="95"/>
  <c r="J48" i="95"/>
  <c r="J38" i="95"/>
  <c r="J28" i="95"/>
  <c r="J24" i="95"/>
  <c r="J22" i="95"/>
  <c r="J75" i="95"/>
  <c r="J71" i="95"/>
  <c r="J59" i="95"/>
  <c r="J49" i="95"/>
  <c r="J39" i="95"/>
  <c r="H20" i="95"/>
  <c r="J50" i="95"/>
  <c r="J40" i="95"/>
  <c r="J34" i="95"/>
  <c r="J80" i="95"/>
  <c r="J65" i="95"/>
  <c r="J51" i="95"/>
  <c r="J41" i="95"/>
  <c r="J29" i="95"/>
  <c r="J25" i="95"/>
  <c r="J76" i="95"/>
  <c r="J72" i="95"/>
  <c r="J60" i="95"/>
  <c r="J52" i="95"/>
  <c r="J42" i="95"/>
  <c r="J61" i="95"/>
  <c r="J53" i="95"/>
  <c r="J43" i="95"/>
  <c r="J35" i="95"/>
  <c r="J66" i="95"/>
  <c r="J62" i="95"/>
  <c r="J54" i="95"/>
  <c r="J44" i="95"/>
  <c r="J30" i="95"/>
  <c r="J26" i="95"/>
  <c r="J16" i="95"/>
  <c r="J81" i="95"/>
  <c r="J77" i="95"/>
  <c r="J73" i="95"/>
  <c r="J67" i="95"/>
  <c r="J55" i="95"/>
  <c r="J45" i="95"/>
  <c r="J17" i="95"/>
  <c r="J68" i="95"/>
  <c r="J56" i="95"/>
  <c r="J36" i="95"/>
  <c r="J78" i="95"/>
  <c r="J74" i="95"/>
  <c r="J58" i="95"/>
  <c r="J46" i="95"/>
  <c r="J32" i="95"/>
  <c r="J18" i="95"/>
  <c r="J82" i="95"/>
  <c r="J79" i="95"/>
  <c r="J69" i="95"/>
  <c r="J47" i="95"/>
  <c r="J37" i="95"/>
  <c r="J33" i="95"/>
  <c r="J23" i="95"/>
  <c r="X13" i="93"/>
  <c r="R20" i="93"/>
  <c r="R22" i="93"/>
  <c r="R33" i="93"/>
  <c r="R49" i="93"/>
  <c r="R61" i="93"/>
  <c r="L13" i="94"/>
  <c r="R17" i="94"/>
  <c r="R26" i="94"/>
  <c r="N38" i="94"/>
  <c r="N40" i="94"/>
  <c r="L40" i="94"/>
  <c r="R49" i="94"/>
  <c r="V69" i="94"/>
  <c r="Z16" i="95"/>
  <c r="Z22" i="95"/>
  <c r="L58" i="92"/>
  <c r="N58" i="92" s="1"/>
  <c r="R73" i="93"/>
  <c r="R70" i="93"/>
  <c r="Z13" i="93"/>
  <c r="R18" i="93"/>
  <c r="R23" i="93"/>
  <c r="R38" i="93"/>
  <c r="R39" i="93"/>
  <c r="L54" i="93"/>
  <c r="N54" i="93" s="1"/>
  <c r="J66" i="94"/>
  <c r="J62" i="94"/>
  <c r="J54" i="94"/>
  <c r="J44" i="94"/>
  <c r="J34" i="94"/>
  <c r="J67" i="94"/>
  <c r="J55" i="94"/>
  <c r="J68" i="94"/>
  <c r="J69" i="94"/>
  <c r="J63" i="94"/>
  <c r="J57" i="94"/>
  <c r="J47" i="94"/>
  <c r="J70" i="94"/>
  <c r="J58" i="94"/>
  <c r="J48" i="94"/>
  <c r="J36" i="94"/>
  <c r="J30" i="94"/>
  <c r="J26" i="94"/>
  <c r="J16" i="94"/>
  <c r="J59" i="94"/>
  <c r="J49" i="94"/>
  <c r="J37" i="94"/>
  <c r="J31" i="94"/>
  <c r="J74" i="94"/>
  <c r="J72" i="94"/>
  <c r="J64" i="94"/>
  <c r="J60" i="94"/>
  <c r="J50" i="94"/>
  <c r="J38" i="94"/>
  <c r="J32" i="94"/>
  <c r="N12" i="94"/>
  <c r="J51" i="94"/>
  <c r="J39" i="94"/>
  <c r="J27" i="94"/>
  <c r="J76" i="94"/>
  <c r="J40" i="94"/>
  <c r="J18" i="94"/>
  <c r="J52" i="94"/>
  <c r="J42" i="94"/>
  <c r="J28" i="94"/>
  <c r="J24" i="94"/>
  <c r="J22" i="94"/>
  <c r="J20" i="94"/>
  <c r="J53" i="94"/>
  <c r="J43" i="94"/>
  <c r="J29" i="94"/>
  <c r="J61" i="94"/>
  <c r="T12" i="95"/>
  <c r="X12" i="95" s="1"/>
  <c r="Z13" i="95"/>
  <c r="X13" i="95"/>
  <c r="R27" i="93"/>
  <c r="R31" i="93"/>
  <c r="R32" i="93"/>
  <c r="R55" i="93"/>
  <c r="R59" i="93"/>
  <c r="R60" i="93"/>
  <c r="N13" i="94"/>
  <c r="T20" i="94"/>
  <c r="V20" i="94" s="1"/>
  <c r="J33" i="94"/>
  <c r="J35" i="94"/>
  <c r="R38" i="94"/>
  <c r="Z40" i="94"/>
  <c r="L55" i="94"/>
  <c r="N55" i="94" s="1"/>
  <c r="Z42" i="95"/>
  <c r="D12" i="95"/>
  <c r="N13" i="95"/>
  <c r="X14" i="95"/>
  <c r="Z14" i="95" s="1"/>
  <c r="R63" i="97"/>
  <c r="R48" i="97"/>
  <c r="R47" i="97"/>
  <c r="R75" i="97"/>
  <c r="R74" i="97"/>
  <c r="R70" i="97"/>
  <c r="R58" i="97"/>
  <c r="R39" i="97"/>
  <c r="R38" i="97"/>
  <c r="R34" i="97"/>
  <c r="R50" i="97"/>
  <c r="R49" i="97"/>
  <c r="R29" i="97"/>
  <c r="R25" i="97"/>
  <c r="R77" i="97"/>
  <c r="R76" i="97"/>
  <c r="R65" i="97"/>
  <c r="R64" i="97"/>
  <c r="R41" i="97"/>
  <c r="R40" i="97"/>
  <c r="R71" i="97"/>
  <c r="R59" i="97"/>
  <c r="R52" i="97"/>
  <c r="R51" i="97"/>
  <c r="R35" i="97"/>
  <c r="R16" i="97"/>
  <c r="R83" i="97"/>
  <c r="R81" i="97"/>
  <c r="R78" i="97"/>
  <c r="R66" i="97"/>
  <c r="R43" i="97"/>
  <c r="R42" i="97"/>
  <c r="R30" i="97"/>
  <c r="R26" i="97"/>
  <c r="R80" i="97"/>
  <c r="R54" i="97"/>
  <c r="R53" i="97"/>
  <c r="R17" i="97"/>
  <c r="R72" i="97"/>
  <c r="R61" i="97"/>
  <c r="R60" i="97"/>
  <c r="R45" i="97"/>
  <c r="R44" i="97"/>
  <c r="R36" i="97"/>
  <c r="R85" i="97"/>
  <c r="R68" i="97"/>
  <c r="R67" i="97"/>
  <c r="R55" i="97"/>
  <c r="R32" i="97"/>
  <c r="R31" i="97"/>
  <c r="R27" i="97"/>
  <c r="R73" i="97"/>
  <c r="R69" i="97"/>
  <c r="R37" i="97"/>
  <c r="R33" i="97"/>
  <c r="R22" i="97"/>
  <c r="R20" i="97"/>
  <c r="R57" i="97"/>
  <c r="R56" i="97"/>
  <c r="R28" i="97"/>
  <c r="R24" i="97"/>
  <c r="R62" i="97"/>
  <c r="T12" i="97"/>
  <c r="X12" i="97" s="1"/>
  <c r="Z14" i="97"/>
  <c r="R18" i="97"/>
  <c r="Z48" i="97"/>
  <c r="R87" i="97"/>
  <c r="Z79" i="95"/>
  <c r="F85" i="97"/>
  <c r="F80" i="97"/>
  <c r="F67" i="97"/>
  <c r="F55" i="97"/>
  <c r="F54" i="97"/>
  <c r="F31" i="97"/>
  <c r="F27" i="97"/>
  <c r="F62" i="97"/>
  <c r="F61" i="97"/>
  <c r="F46" i="97"/>
  <c r="F45" i="97"/>
  <c r="F18" i="97"/>
  <c r="F73" i="97"/>
  <c r="F69" i="97"/>
  <c r="F68" i="97"/>
  <c r="F37" i="97"/>
  <c r="F33" i="97"/>
  <c r="F32" i="97"/>
  <c r="F90" i="97"/>
  <c r="F87" i="97"/>
  <c r="F56" i="97"/>
  <c r="F28" i="97"/>
  <c r="F24" i="97"/>
  <c r="F23" i="97"/>
  <c r="F63" i="97"/>
  <c r="F47" i="97"/>
  <c r="F22" i="97"/>
  <c r="F20" i="97"/>
  <c r="F74" i="97"/>
  <c r="F70" i="97"/>
  <c r="F58" i="97"/>
  <c r="F57" i="97"/>
  <c r="F38" i="97"/>
  <c r="F34" i="97"/>
  <c r="D20" i="97"/>
  <c r="F49" i="97"/>
  <c r="F48" i="97"/>
  <c r="F29" i="97"/>
  <c r="F25" i="97"/>
  <c r="F76" i="97"/>
  <c r="F75" i="97"/>
  <c r="F64" i="97"/>
  <c r="F40" i="97"/>
  <c r="F39" i="97"/>
  <c r="F71" i="97"/>
  <c r="F59" i="97"/>
  <c r="F51" i="97"/>
  <c r="F50" i="97"/>
  <c r="F35" i="97"/>
  <c r="F53" i="97"/>
  <c r="F52" i="97"/>
  <c r="F17" i="97"/>
  <c r="F16" i="97"/>
  <c r="F83" i="97"/>
  <c r="F81" i="97"/>
  <c r="F72" i="97"/>
  <c r="F60" i="97"/>
  <c r="F44" i="97"/>
  <c r="F43" i="97"/>
  <c r="F36" i="97"/>
  <c r="N16" i="97"/>
  <c r="R23" i="97"/>
  <c r="F42" i="97"/>
  <c r="H12" i="97"/>
  <c r="N13" i="97"/>
  <c r="L13" i="97"/>
  <c r="X16" i="97"/>
  <c r="Z16" i="97" s="1"/>
  <c r="Z23" i="97"/>
  <c r="F78" i="97"/>
  <c r="X39" i="98"/>
  <c r="Z39" i="98" s="1"/>
  <c r="P20" i="97"/>
  <c r="L87" i="95"/>
  <c r="D86" i="95"/>
  <c r="L86" i="95" s="1"/>
  <c r="F66" i="97"/>
  <c r="P47" i="98"/>
  <c r="R19" i="98"/>
  <c r="X47" i="95"/>
  <c r="Z47" i="95" s="1"/>
  <c r="L61" i="95"/>
  <c r="N61" i="95" s="1"/>
  <c r="N87" i="95"/>
  <c r="H86" i="95"/>
  <c r="J86" i="95" s="1"/>
  <c r="F30" i="97"/>
  <c r="V40" i="98"/>
  <c r="V32" i="98"/>
  <c r="V42" i="98"/>
  <c r="V41" i="98"/>
  <c r="V33" i="98"/>
  <c r="V34" i="98"/>
  <c r="V30" i="98"/>
  <c r="V35" i="98"/>
  <c r="V29" i="98"/>
  <c r="V27" i="98"/>
  <c r="V25" i="98"/>
  <c r="V43" i="98"/>
  <c r="V16" i="98"/>
  <c r="V38" i="98"/>
  <c r="V22" i="98"/>
  <c r="V45" i="98"/>
  <c r="V21" i="98"/>
  <c r="V17" i="98"/>
  <c r="V36" i="98"/>
  <c r="V28" i="98"/>
  <c r="T19" i="98"/>
  <c r="X19" i="98" s="1"/>
  <c r="V49" i="98"/>
  <c r="V39" i="98"/>
  <c r="V31" i="98"/>
  <c r="V26" i="98"/>
  <c r="V23" i="98"/>
  <c r="X12" i="98"/>
  <c r="Z12" i="98" s="1"/>
  <c r="V37" i="98"/>
  <c r="V24" i="98"/>
  <c r="P86" i="95"/>
  <c r="P89" i="95" s="1"/>
  <c r="X87" i="95"/>
  <c r="Z87" i="95" s="1"/>
  <c r="N22" i="97"/>
  <c r="Z32" i="97"/>
  <c r="N52" i="97"/>
  <c r="T86" i="95"/>
  <c r="X22" i="97"/>
  <c r="F34" i="98"/>
  <c r="F45" i="98"/>
  <c r="F36" i="98"/>
  <c r="F49" i="98"/>
  <c r="F31" i="98"/>
  <c r="F30" i="98"/>
  <c r="F38" i="98"/>
  <c r="F37" i="98"/>
  <c r="F26" i="98"/>
  <c r="F27" i="98"/>
  <c r="F39" i="98"/>
  <c r="L12" i="98"/>
  <c r="N12" i="98" s="1"/>
  <c r="F23" i="98"/>
  <c r="F22" i="98"/>
  <c r="F42" i="98"/>
  <c r="F21" i="98"/>
  <c r="D19" i="98"/>
  <c r="F40" i="98"/>
  <c r="F32" i="98"/>
  <c r="F29" i="98"/>
  <c r="F24" i="98"/>
  <c r="F43" i="98"/>
  <c r="F35" i="98"/>
  <c r="F25" i="98"/>
  <c r="F41" i="98"/>
  <c r="F28" i="98"/>
  <c r="F17" i="98"/>
  <c r="F16" i="98"/>
  <c r="Z22" i="97"/>
  <c r="F41" i="97"/>
  <c r="Z52" i="97"/>
  <c r="X21" i="98"/>
  <c r="R21" i="98"/>
  <c r="N79" i="95"/>
  <c r="L12" i="97"/>
  <c r="N41" i="97"/>
  <c r="F77" i="97"/>
  <c r="Z21" i="98"/>
  <c r="N19" i="99"/>
  <c r="X13" i="100"/>
  <c r="H74" i="101"/>
  <c r="N74" i="101" s="1"/>
  <c r="L75" i="101"/>
  <c r="R39" i="98"/>
  <c r="R38" i="98"/>
  <c r="R26" i="98"/>
  <c r="R40" i="98"/>
  <c r="R27" i="98"/>
  <c r="R42" i="98"/>
  <c r="R41" i="98"/>
  <c r="R33" i="98"/>
  <c r="R43" i="98"/>
  <c r="Z20" i="99"/>
  <c r="Z33" i="99"/>
  <c r="T12" i="100"/>
  <c r="Z13" i="100"/>
  <c r="L22" i="100"/>
  <c r="L46" i="100"/>
  <c r="R59" i="101"/>
  <c r="R52" i="101"/>
  <c r="R51" i="101"/>
  <c r="R40" i="101"/>
  <c r="R39" i="101"/>
  <c r="R71" i="101"/>
  <c r="R70" i="101"/>
  <c r="R34" i="101"/>
  <c r="R65" i="101"/>
  <c r="R53" i="101"/>
  <c r="R42" i="101"/>
  <c r="R41" i="101"/>
  <c r="R74" i="101"/>
  <c r="R84" i="101"/>
  <c r="R81" i="101"/>
  <c r="R36" i="101"/>
  <c r="R58" i="101"/>
  <c r="R57" i="101"/>
  <c r="R50" i="101"/>
  <c r="R49" i="101"/>
  <c r="R23" i="101"/>
  <c r="R77" i="101"/>
  <c r="R60" i="101"/>
  <c r="R30" i="101"/>
  <c r="R63" i="101"/>
  <c r="R56" i="101"/>
  <c r="R45" i="101"/>
  <c r="R27" i="101"/>
  <c r="R17" i="101"/>
  <c r="R68" i="101"/>
  <c r="R61" i="101"/>
  <c r="R54" i="101"/>
  <c r="R46" i="101"/>
  <c r="R43" i="101"/>
  <c r="R24" i="101"/>
  <c r="R66" i="101"/>
  <c r="R31" i="101"/>
  <c r="R37" i="101"/>
  <c r="R75" i="101"/>
  <c r="R69" i="101"/>
  <c r="R44" i="101"/>
  <c r="R32" i="101"/>
  <c r="R28" i="101"/>
  <c r="R25" i="101"/>
  <c r="R18" i="101"/>
  <c r="R64" i="101"/>
  <c r="R62" i="101"/>
  <c r="R47" i="101"/>
  <c r="R35" i="101"/>
  <c r="R79" i="101"/>
  <c r="R72" i="101"/>
  <c r="R55" i="101"/>
  <c r="R38" i="101"/>
  <c r="R33" i="101"/>
  <c r="R29" i="101"/>
  <c r="R26" i="101"/>
  <c r="P20" i="101"/>
  <c r="N75" i="101"/>
  <c r="T46" i="102"/>
  <c r="Z16" i="102"/>
  <c r="R28" i="98"/>
  <c r="R36" i="98"/>
  <c r="R45" i="98"/>
  <c r="N29" i="99"/>
  <c r="Z35" i="99"/>
  <c r="F60" i="100"/>
  <c r="F58" i="100"/>
  <c r="F49" i="100"/>
  <c r="F48" i="100"/>
  <c r="F29" i="100"/>
  <c r="D19" i="100"/>
  <c r="F62" i="100"/>
  <c r="F57" i="100"/>
  <c r="F40" i="100"/>
  <c r="F39" i="100"/>
  <c r="F24" i="100"/>
  <c r="F51" i="100"/>
  <c r="F50" i="100"/>
  <c r="F42" i="100"/>
  <c r="F41" i="100"/>
  <c r="F30" i="100"/>
  <c r="F26" i="100"/>
  <c r="F25" i="100"/>
  <c r="F67" i="100"/>
  <c r="F64" i="100"/>
  <c r="F52" i="100"/>
  <c r="F44" i="100"/>
  <c r="F43" i="100"/>
  <c r="F32" i="100"/>
  <c r="F31" i="100"/>
  <c r="F16" i="100"/>
  <c r="F15" i="100"/>
  <c r="F27" i="100"/>
  <c r="F34" i="100"/>
  <c r="F33" i="100"/>
  <c r="F53" i="100"/>
  <c r="F45" i="100"/>
  <c r="F17" i="100"/>
  <c r="F55" i="100"/>
  <c r="F54" i="100"/>
  <c r="F47" i="100"/>
  <c r="F46" i="100"/>
  <c r="F23" i="100"/>
  <c r="F22" i="100"/>
  <c r="N15" i="100"/>
  <c r="F35" i="100"/>
  <c r="R17" i="98"/>
  <c r="R22" i="98"/>
  <c r="Z37" i="99"/>
  <c r="F19" i="100"/>
  <c r="F37" i="100"/>
  <c r="Z50" i="100"/>
  <c r="D12" i="101"/>
  <c r="L13" i="101"/>
  <c r="R48" i="101"/>
  <c r="Z50" i="101"/>
  <c r="R67" i="101"/>
  <c r="J25" i="98"/>
  <c r="J30" i="98"/>
  <c r="J43" i="98"/>
  <c r="N17" i="99"/>
  <c r="L41" i="99"/>
  <c r="D40" i="99"/>
  <c r="D43" i="99" s="1"/>
  <c r="L12" i="100"/>
  <c r="X38" i="101"/>
  <c r="Z38" i="101" s="1"/>
  <c r="R16" i="98"/>
  <c r="N41" i="99"/>
  <c r="R20" i="101"/>
  <c r="J27" i="98"/>
  <c r="L17" i="99"/>
  <c r="F21" i="100"/>
  <c r="Z23" i="101"/>
  <c r="J24" i="98"/>
  <c r="R25" i="98"/>
  <c r="R30" i="98"/>
  <c r="P43" i="99"/>
  <c r="L31" i="99"/>
  <c r="L54" i="100"/>
  <c r="X14" i="98"/>
  <c r="Z14" i="98" s="1"/>
  <c r="Z30" i="98"/>
  <c r="R35" i="98"/>
  <c r="N54" i="100"/>
  <c r="J45" i="98"/>
  <c r="J35" i="98"/>
  <c r="J29" i="98"/>
  <c r="J36" i="98"/>
  <c r="J49" i="98"/>
  <c r="J37" i="98"/>
  <c r="J38" i="98"/>
  <c r="J26" i="98"/>
  <c r="J39" i="98"/>
  <c r="J40" i="98"/>
  <c r="J32" i="98"/>
  <c r="H19" i="98"/>
  <c r="R29" i="98"/>
  <c r="R32" i="98"/>
  <c r="Z35" i="98"/>
  <c r="X37" i="98"/>
  <c r="Z37" i="98" s="1"/>
  <c r="N42" i="98"/>
  <c r="R47" i="98"/>
  <c r="F36" i="100"/>
  <c r="R22" i="101"/>
  <c r="J19" i="98"/>
  <c r="J21" i="98"/>
  <c r="J23" i="98"/>
  <c r="R24" i="98"/>
  <c r="R37" i="98"/>
  <c r="J42" i="98"/>
  <c r="Z21" i="100"/>
  <c r="Z25" i="100"/>
  <c r="F28" i="100"/>
  <c r="H57" i="100"/>
  <c r="N58" i="100"/>
  <c r="Z30" i="102"/>
  <c r="X30" i="102"/>
  <c r="J47" i="99"/>
  <c r="J50" i="99"/>
  <c r="H19" i="100"/>
  <c r="J38" i="100"/>
  <c r="J48" i="100"/>
  <c r="R51" i="100"/>
  <c r="J58" i="100"/>
  <c r="J60" i="100"/>
  <c r="R64" i="100"/>
  <c r="R67" i="100"/>
  <c r="Z16" i="101"/>
  <c r="N52" i="101"/>
  <c r="L71" i="101"/>
  <c r="N14" i="103"/>
  <c r="J15" i="99"/>
  <c r="F24" i="99"/>
  <c r="F28" i="99"/>
  <c r="J29" i="99"/>
  <c r="R32" i="99"/>
  <c r="R33" i="99"/>
  <c r="V35" i="99"/>
  <c r="H40" i="99"/>
  <c r="H43" i="99" s="1"/>
  <c r="F41" i="99"/>
  <c r="F43" i="99"/>
  <c r="J45" i="99"/>
  <c r="N12" i="100"/>
  <c r="J22" i="100"/>
  <c r="J28" i="100"/>
  <c r="R29" i="100"/>
  <c r="J36" i="100"/>
  <c r="J46" i="100"/>
  <c r="R49" i="100"/>
  <c r="R50" i="100"/>
  <c r="J54" i="100"/>
  <c r="P57" i="100"/>
  <c r="X57" i="100" s="1"/>
  <c r="Z57" i="100" s="1"/>
  <c r="H12" i="101"/>
  <c r="L74" i="101"/>
  <c r="R80" i="103"/>
  <c r="R79" i="103"/>
  <c r="R63" i="103"/>
  <c r="R81" i="103"/>
  <c r="R73" i="103"/>
  <c r="R69" i="103"/>
  <c r="R83" i="103"/>
  <c r="R64" i="103"/>
  <c r="R57" i="103"/>
  <c r="R56" i="103"/>
  <c r="R87" i="103"/>
  <c r="R65" i="103"/>
  <c r="R60" i="103"/>
  <c r="R78" i="103"/>
  <c r="R77" i="103"/>
  <c r="R61" i="103"/>
  <c r="R72" i="103"/>
  <c r="R68" i="103"/>
  <c r="R53" i="103"/>
  <c r="R52" i="103"/>
  <c r="R41" i="103"/>
  <c r="R40" i="103"/>
  <c r="R36" i="103"/>
  <c r="R71" i="103"/>
  <c r="R55" i="103"/>
  <c r="R46" i="103"/>
  <c r="R43" i="103"/>
  <c r="R39" i="103"/>
  <c r="R29" i="103"/>
  <c r="R25" i="103"/>
  <c r="P21" i="103"/>
  <c r="R33" i="103"/>
  <c r="R75" i="103"/>
  <c r="R37" i="103"/>
  <c r="R34" i="103"/>
  <c r="R62" i="103"/>
  <c r="R50" i="103"/>
  <c r="R47" i="103"/>
  <c r="R30" i="103"/>
  <c r="R26" i="103"/>
  <c r="R58" i="103"/>
  <c r="R70" i="103"/>
  <c r="R66" i="103"/>
  <c r="R44" i="103"/>
  <c r="R17" i="103"/>
  <c r="X12" i="103"/>
  <c r="R35" i="103"/>
  <c r="R31" i="103"/>
  <c r="R27" i="103"/>
  <c r="R59" i="103"/>
  <c r="R67" i="103"/>
  <c r="R49" i="103"/>
  <c r="R42" i="103"/>
  <c r="R32" i="103"/>
  <c r="R24" i="103"/>
  <c r="R19" i="103"/>
  <c r="R23" i="103"/>
  <c r="R21" i="103"/>
  <c r="R54" i="103"/>
  <c r="J35" i="100"/>
  <c r="R38" i="100"/>
  <c r="R39" i="100"/>
  <c r="J45" i="100"/>
  <c r="J53" i="100"/>
  <c r="R57" i="100"/>
  <c r="R48" i="103"/>
  <c r="V21" i="99"/>
  <c r="V25" i="99"/>
  <c r="R30" i="99"/>
  <c r="R31" i="99"/>
  <c r="V33" i="99"/>
  <c r="F37" i="99"/>
  <c r="F38" i="99"/>
  <c r="J41" i="99"/>
  <c r="J43" i="99"/>
  <c r="R47" i="99"/>
  <c r="R50" i="99"/>
  <c r="P19" i="100"/>
  <c r="R23" i="100"/>
  <c r="J34" i="100"/>
  <c r="R47" i="100"/>
  <c r="R48" i="100"/>
  <c r="R55" i="100"/>
  <c r="R58" i="100"/>
  <c r="R60" i="100"/>
  <c r="N13" i="101"/>
  <c r="X14" i="101"/>
  <c r="Z14" i="101" s="1"/>
  <c r="L40" i="101"/>
  <c r="N40" i="101" s="1"/>
  <c r="Z44" i="101"/>
  <c r="X52" i="101"/>
  <c r="Z52" i="101" s="1"/>
  <c r="R18" i="103"/>
  <c r="X24" i="103"/>
  <c r="Z24" i="103" s="1"/>
  <c r="R38" i="103"/>
  <c r="F18" i="104"/>
  <c r="F17" i="104"/>
  <c r="F45" i="104"/>
  <c r="F44" i="104"/>
  <c r="F37" i="104"/>
  <c r="F36" i="104"/>
  <c r="F29" i="104"/>
  <c r="F28" i="104"/>
  <c r="F39" i="104"/>
  <c r="F38" i="104"/>
  <c r="F19" i="104"/>
  <c r="F49" i="104"/>
  <c r="F47" i="104"/>
  <c r="F30" i="104"/>
  <c r="F51" i="104"/>
  <c r="F41" i="104"/>
  <c r="F40" i="104"/>
  <c r="F25" i="104"/>
  <c r="F24" i="104"/>
  <c r="F23" i="104"/>
  <c r="F21" i="104"/>
  <c r="F31" i="104"/>
  <c r="D21" i="104"/>
  <c r="F56" i="104"/>
  <c r="F53" i="104"/>
  <c r="F42" i="104"/>
  <c r="F43" i="104"/>
  <c r="F35" i="104"/>
  <c r="F34" i="104"/>
  <c r="F27" i="104"/>
  <c r="F26" i="104"/>
  <c r="F33" i="104"/>
  <c r="F32" i="104"/>
  <c r="R15" i="99"/>
  <c r="T17" i="99"/>
  <c r="R20" i="99"/>
  <c r="F23" i="99"/>
  <c r="F27" i="99"/>
  <c r="V30" i="99"/>
  <c r="J38" i="99"/>
  <c r="R45" i="99"/>
  <c r="X12" i="100"/>
  <c r="R19" i="100"/>
  <c r="R21" i="100"/>
  <c r="J27" i="100"/>
  <c r="R28" i="100"/>
  <c r="J33" i="100"/>
  <c r="R36" i="100"/>
  <c r="R37" i="100"/>
  <c r="L16" i="101"/>
  <c r="N16" i="101" s="1"/>
  <c r="L15" i="103"/>
  <c r="N15" i="103" s="1"/>
  <c r="H12" i="103"/>
  <c r="L12" i="99"/>
  <c r="V15" i="99"/>
  <c r="V17" i="99"/>
  <c r="V19" i="99"/>
  <c r="J23" i="99"/>
  <c r="R24" i="99"/>
  <c r="J27" i="99"/>
  <c r="R28" i="99"/>
  <c r="R29" i="99"/>
  <c r="V31" i="99"/>
  <c r="F35" i="99"/>
  <c r="F36" i="99"/>
  <c r="J37" i="99"/>
  <c r="V45" i="99"/>
  <c r="V47" i="99"/>
  <c r="V50" i="99"/>
  <c r="J16" i="100"/>
  <c r="R17" i="100"/>
  <c r="R22" i="100"/>
  <c r="J32" i="100"/>
  <c r="J44" i="100"/>
  <c r="R45" i="100"/>
  <c r="R46" i="100"/>
  <c r="J52" i="100"/>
  <c r="R53" i="100"/>
  <c r="R54" i="100"/>
  <c r="X14" i="102"/>
  <c r="V28" i="99"/>
  <c r="J36" i="99"/>
  <c r="R40" i="99"/>
  <c r="J15" i="100"/>
  <c r="J31" i="100"/>
  <c r="R34" i="100"/>
  <c r="R35" i="100"/>
  <c r="J43" i="100"/>
  <c r="N22" i="101"/>
  <c r="Z46" i="101"/>
  <c r="N58" i="101"/>
  <c r="Z74" i="101"/>
  <c r="R32" i="102"/>
  <c r="R31" i="102"/>
  <c r="R42" i="102"/>
  <c r="R46" i="102"/>
  <c r="R44" i="102"/>
  <c r="R34" i="102"/>
  <c r="R33" i="102"/>
  <c r="R25" i="102"/>
  <c r="R21" i="102"/>
  <c r="R35" i="102"/>
  <c r="R48" i="102"/>
  <c r="R26" i="102"/>
  <c r="R22" i="102"/>
  <c r="R53" i="102"/>
  <c r="R50" i="102"/>
  <c r="R28" i="102"/>
  <c r="R27" i="102"/>
  <c r="R23" i="102"/>
  <c r="R30" i="102"/>
  <c r="R41" i="102"/>
  <c r="R40" i="102"/>
  <c r="R24" i="102"/>
  <c r="R20" i="102"/>
  <c r="P16" i="102"/>
  <c r="Z14" i="102"/>
  <c r="X28" i="102"/>
  <c r="F22" i="99"/>
  <c r="F26" i="99"/>
  <c r="V29" i="99"/>
  <c r="F33" i="99"/>
  <c r="F34" i="99"/>
  <c r="J35" i="99"/>
  <c r="R38" i="99"/>
  <c r="R41" i="99"/>
  <c r="R43" i="99"/>
  <c r="J26" i="100"/>
  <c r="R27" i="100"/>
  <c r="J30" i="100"/>
  <c r="J42" i="100"/>
  <c r="J64" i="100"/>
  <c r="J67" i="100"/>
  <c r="X58" i="101"/>
  <c r="Z58" i="101" s="1"/>
  <c r="Z28" i="102"/>
  <c r="V62" i="103"/>
  <c r="V54" i="103"/>
  <c r="V42" i="103"/>
  <c r="V83" i="103"/>
  <c r="V81" i="103"/>
  <c r="V73" i="103"/>
  <c r="V69" i="103"/>
  <c r="V64" i="103"/>
  <c r="V56" i="103"/>
  <c r="V59" i="103"/>
  <c r="V74" i="103"/>
  <c r="V70" i="103"/>
  <c r="V58" i="103"/>
  <c r="V46" i="103"/>
  <c r="V76" i="103"/>
  <c r="V60" i="103"/>
  <c r="V48" i="103"/>
  <c r="V75" i="103"/>
  <c r="V71" i="103"/>
  <c r="V67" i="103"/>
  <c r="V80" i="103"/>
  <c r="V72" i="103"/>
  <c r="V68" i="103"/>
  <c r="V52" i="103"/>
  <c r="V40" i="103"/>
  <c r="V79" i="103"/>
  <c r="V63" i="103"/>
  <c r="V55" i="103"/>
  <c r="V43" i="103"/>
  <c r="V31" i="103"/>
  <c r="V34" i="103"/>
  <c r="V33" i="103"/>
  <c r="V87" i="103"/>
  <c r="V77" i="103"/>
  <c r="V47" i="103"/>
  <c r="V37" i="103"/>
  <c r="V50" i="103"/>
  <c r="V30" i="103"/>
  <c r="V26" i="103"/>
  <c r="V53" i="103"/>
  <c r="V17" i="103"/>
  <c r="V66" i="103"/>
  <c r="V44" i="103"/>
  <c r="Z12" i="103"/>
  <c r="V51" i="103"/>
  <c r="V45" i="103"/>
  <c r="V41" i="103"/>
  <c r="V35" i="103"/>
  <c r="V27" i="103"/>
  <c r="V78" i="103"/>
  <c r="V38" i="103"/>
  <c r="V18" i="103"/>
  <c r="V49" i="103"/>
  <c r="V28" i="103"/>
  <c r="V24" i="103"/>
  <c r="V36" i="103"/>
  <c r="T21" i="103"/>
  <c r="V65" i="103"/>
  <c r="V39" i="103"/>
  <c r="V29" i="103"/>
  <c r="V25" i="103"/>
  <c r="V23" i="103"/>
  <c r="V14" i="99"/>
  <c r="J22" i="99"/>
  <c r="R23" i="99"/>
  <c r="J26" i="99"/>
  <c r="V38" i="99"/>
  <c r="R16" i="100"/>
  <c r="J25" i="100"/>
  <c r="R32" i="100"/>
  <c r="R33" i="100"/>
  <c r="J41" i="100"/>
  <c r="R44" i="100"/>
  <c r="J51" i="100"/>
  <c r="R45" i="103"/>
  <c r="R51" i="103"/>
  <c r="J24" i="100"/>
  <c r="J40" i="100"/>
  <c r="J50" i="100"/>
  <c r="T12" i="101"/>
  <c r="X12" i="101" s="1"/>
  <c r="X22" i="101"/>
  <c r="Z22" i="101" s="1"/>
  <c r="N38" i="101"/>
  <c r="L44" i="101"/>
  <c r="N44" i="101" s="1"/>
  <c r="N50" i="101"/>
  <c r="L34" i="102"/>
  <c r="N34" i="102" s="1"/>
  <c r="L44" i="102"/>
  <c r="V19" i="103"/>
  <c r="X78" i="103"/>
  <c r="Z78" i="103" s="1"/>
  <c r="L12" i="102"/>
  <c r="J23" i="102"/>
  <c r="J27" i="102"/>
  <c r="J37" i="102"/>
  <c r="F75" i="103"/>
  <c r="F71" i="103"/>
  <c r="F39" i="103"/>
  <c r="F35" i="103"/>
  <c r="F34" i="103"/>
  <c r="F92" i="103"/>
  <c r="F89" i="103"/>
  <c r="F66" i="103"/>
  <c r="F77" i="103"/>
  <c r="F76" i="103"/>
  <c r="F61" i="103"/>
  <c r="F72" i="103"/>
  <c r="F68" i="103"/>
  <c r="F67" i="103"/>
  <c r="F52" i="103"/>
  <c r="F51" i="103"/>
  <c r="F79" i="103"/>
  <c r="F78" i="103"/>
  <c r="F81" i="103"/>
  <c r="F80" i="103"/>
  <c r="F73" i="103"/>
  <c r="F69" i="103"/>
  <c r="F64" i="103"/>
  <c r="F63" i="103"/>
  <c r="F87" i="103"/>
  <c r="F65" i="103"/>
  <c r="F60" i="103"/>
  <c r="F59" i="103"/>
  <c r="F48" i="103"/>
  <c r="F47" i="103"/>
  <c r="F17" i="103"/>
  <c r="F18" i="103"/>
  <c r="F54" i="103"/>
  <c r="X67" i="103"/>
  <c r="Z67" i="103" s="1"/>
  <c r="F74" i="103"/>
  <c r="L80" i="103"/>
  <c r="F83" i="103"/>
  <c r="Z17" i="104"/>
  <c r="N38" i="104"/>
  <c r="J36" i="102"/>
  <c r="J50" i="102"/>
  <c r="J53" i="102"/>
  <c r="F31" i="103"/>
  <c r="F38" i="103"/>
  <c r="V14" i="102"/>
  <c r="V16" i="102"/>
  <c r="V18" i="102"/>
  <c r="J22" i="102"/>
  <c r="J26" i="102"/>
  <c r="V30" i="102"/>
  <c r="F34" i="102"/>
  <c r="F35" i="102"/>
  <c r="V38" i="102"/>
  <c r="F44" i="102"/>
  <c r="F46" i="102"/>
  <c r="J48" i="102"/>
  <c r="F44" i="103"/>
  <c r="X45" i="103"/>
  <c r="X51" i="103"/>
  <c r="Z51" i="103" s="1"/>
  <c r="F56" i="103"/>
  <c r="F70" i="103"/>
  <c r="L15" i="104"/>
  <c r="N15" i="104" s="1"/>
  <c r="N23" i="104"/>
  <c r="J34" i="102"/>
  <c r="J44" i="102"/>
  <c r="J46" i="102"/>
  <c r="D89" i="103"/>
  <c r="Z45" i="103"/>
  <c r="F50" i="103"/>
  <c r="F62" i="103"/>
  <c r="F85" i="103"/>
  <c r="H12" i="105"/>
  <c r="L13" i="105"/>
  <c r="N13" i="105" s="1"/>
  <c r="N34" i="105"/>
  <c r="X49" i="105"/>
  <c r="Z49" i="105" s="1"/>
  <c r="D16" i="102"/>
  <c r="J21" i="102"/>
  <c r="J25" i="102"/>
  <c r="J33" i="102"/>
  <c r="F41" i="102"/>
  <c r="F42" i="102"/>
  <c r="F21" i="103"/>
  <c r="F23" i="103"/>
  <c r="F33" i="103"/>
  <c r="F43" i="103"/>
  <c r="Z32" i="104"/>
  <c r="Z47" i="104"/>
  <c r="X47" i="104"/>
  <c r="J32" i="102"/>
  <c r="X37" i="102"/>
  <c r="Z37" i="102" s="1"/>
  <c r="J42" i="102"/>
  <c r="F29" i="103"/>
  <c r="F55" i="103"/>
  <c r="V82" i="105"/>
  <c r="V58" i="105"/>
  <c r="V81" i="105"/>
  <c r="V65" i="105"/>
  <c r="V84" i="105"/>
  <c r="V76" i="105"/>
  <c r="V72" i="105"/>
  <c r="V60" i="105"/>
  <c r="V66" i="105"/>
  <c r="V68" i="105"/>
  <c r="V52" i="105"/>
  <c r="V67" i="105"/>
  <c r="V63" i="105"/>
  <c r="V55" i="105"/>
  <c r="V78" i="105"/>
  <c r="V74" i="105"/>
  <c r="V70" i="105"/>
  <c r="V62" i="105"/>
  <c r="V91" i="105"/>
  <c r="V80" i="105"/>
  <c r="V64" i="105"/>
  <c r="V83" i="105"/>
  <c r="V73" i="105"/>
  <c r="V71" i="105"/>
  <c r="V69" i="105"/>
  <c r="V50" i="105"/>
  <c r="V40" i="105"/>
  <c r="V36" i="105"/>
  <c r="V75" i="105"/>
  <c r="V61" i="105"/>
  <c r="V43" i="105"/>
  <c r="V31" i="105"/>
  <c r="V27" i="105"/>
  <c r="V85" i="105"/>
  <c r="V79" i="105"/>
  <c r="V77" i="105"/>
  <c r="V57" i="105"/>
  <c r="V42" i="105"/>
  <c r="V18" i="105"/>
  <c r="V56" i="105"/>
  <c r="V45" i="105"/>
  <c r="V37" i="105"/>
  <c r="V87" i="105"/>
  <c r="V53" i="105"/>
  <c r="V44" i="105"/>
  <c r="V32" i="105"/>
  <c r="V28" i="105"/>
  <c r="V24" i="105"/>
  <c r="V47" i="105"/>
  <c r="V23" i="105"/>
  <c r="V19" i="105"/>
  <c r="V46" i="105"/>
  <c r="V38" i="105"/>
  <c r="V34" i="105"/>
  <c r="T21" i="105"/>
  <c r="V21" i="105" s="1"/>
  <c r="V33" i="105"/>
  <c r="V29" i="105"/>
  <c r="V25" i="105"/>
  <c r="V54" i="105"/>
  <c r="V49" i="105"/>
  <c r="V48" i="105"/>
  <c r="V30" i="105"/>
  <c r="V26" i="105"/>
  <c r="V59" i="105"/>
  <c r="V51" i="105"/>
  <c r="V41" i="105"/>
  <c r="V17" i="105"/>
  <c r="N43" i="107"/>
  <c r="L43" i="107"/>
  <c r="H16" i="102"/>
  <c r="J31" i="102"/>
  <c r="V35" i="102"/>
  <c r="F39" i="102"/>
  <c r="F40" i="102"/>
  <c r="J41" i="102"/>
  <c r="F46" i="103"/>
  <c r="F57" i="103"/>
  <c r="J14" i="102"/>
  <c r="J16" i="102"/>
  <c r="J18" i="102"/>
  <c r="J20" i="102"/>
  <c r="J24" i="102"/>
  <c r="J30" i="102"/>
  <c r="J40" i="102"/>
  <c r="F19" i="103"/>
  <c r="F32" i="103"/>
  <c r="F49" i="103"/>
  <c r="F67" i="105"/>
  <c r="F87" i="105"/>
  <c r="F78" i="105"/>
  <c r="F74" i="105"/>
  <c r="F91" i="105"/>
  <c r="F69" i="105"/>
  <c r="F68" i="105"/>
  <c r="F79" i="105"/>
  <c r="F75" i="105"/>
  <c r="F71" i="105"/>
  <c r="F70" i="105"/>
  <c r="F81" i="105"/>
  <c r="F80" i="105"/>
  <c r="F65" i="105"/>
  <c r="F76" i="105"/>
  <c r="F72" i="105"/>
  <c r="F60" i="105"/>
  <c r="F59" i="105"/>
  <c r="F83" i="105"/>
  <c r="F82" i="105"/>
  <c r="F85" i="105"/>
  <c r="F84" i="105"/>
  <c r="F77" i="105"/>
  <c r="F73" i="105"/>
  <c r="F61" i="105"/>
  <c r="F54" i="105"/>
  <c r="F33" i="105"/>
  <c r="F29" i="105"/>
  <c r="F25" i="105"/>
  <c r="F24" i="105"/>
  <c r="F48" i="105"/>
  <c r="F47" i="105"/>
  <c r="F23" i="105"/>
  <c r="F39" i="105"/>
  <c r="F35" i="105"/>
  <c r="F34" i="105"/>
  <c r="D21" i="105"/>
  <c r="F63" i="105"/>
  <c r="F49" i="105"/>
  <c r="F30" i="105"/>
  <c r="F26" i="105"/>
  <c r="F55" i="105"/>
  <c r="F50" i="105"/>
  <c r="F40" i="105"/>
  <c r="F36" i="105"/>
  <c r="L12" i="105"/>
  <c r="F31" i="105"/>
  <c r="F27" i="105"/>
  <c r="F64" i="105"/>
  <c r="F56" i="105"/>
  <c r="F52" i="105"/>
  <c r="F51" i="105"/>
  <c r="F42" i="105"/>
  <c r="F41" i="105"/>
  <c r="F18" i="105"/>
  <c r="F17" i="105"/>
  <c r="F66" i="105"/>
  <c r="F37" i="105"/>
  <c r="F57" i="105"/>
  <c r="F19" i="105"/>
  <c r="F58" i="105"/>
  <c r="F53" i="105"/>
  <c r="F46" i="105"/>
  <c r="F45" i="105"/>
  <c r="F38" i="105"/>
  <c r="F44" i="105"/>
  <c r="J19" i="102"/>
  <c r="V21" i="102"/>
  <c r="V25" i="102"/>
  <c r="J29" i="102"/>
  <c r="F37" i="102"/>
  <c r="J39" i="102"/>
  <c r="F28" i="103"/>
  <c r="F36" i="103"/>
  <c r="F42" i="103"/>
  <c r="L45" i="103"/>
  <c r="N45" i="103" s="1"/>
  <c r="P12" i="104"/>
  <c r="L14" i="104"/>
  <c r="L80" i="105"/>
  <c r="N80" i="105" s="1"/>
  <c r="J28" i="102"/>
  <c r="F41" i="103"/>
  <c r="F45" i="103"/>
  <c r="P12" i="105"/>
  <c r="X14" i="105"/>
  <c r="Z14" i="105" s="1"/>
  <c r="V35" i="105"/>
  <c r="H12" i="104"/>
  <c r="L12" i="104" s="1"/>
  <c r="T21" i="104"/>
  <c r="V30" i="104"/>
  <c r="L14" i="105"/>
  <c r="N14" i="105" s="1"/>
  <c r="R29" i="107"/>
  <c r="V19" i="104"/>
  <c r="V21" i="104"/>
  <c r="V23" i="104"/>
  <c r="V39" i="104"/>
  <c r="F56" i="107"/>
  <c r="F55" i="107"/>
  <c r="F44" i="107"/>
  <c r="F43" i="107"/>
  <c r="F32" i="107"/>
  <c r="F28" i="107"/>
  <c r="F79" i="107"/>
  <c r="F78" i="107"/>
  <c r="F71" i="107"/>
  <c r="F19" i="107"/>
  <c r="F66" i="107"/>
  <c r="F58" i="107"/>
  <c r="F57" i="107"/>
  <c r="F46" i="107"/>
  <c r="F45" i="107"/>
  <c r="F38" i="107"/>
  <c r="F33" i="107"/>
  <c r="F29" i="107"/>
  <c r="F25" i="107"/>
  <c r="F24" i="107"/>
  <c r="F83" i="107"/>
  <c r="F81" i="107"/>
  <c r="F72" i="107"/>
  <c r="F68" i="107"/>
  <c r="F67" i="107"/>
  <c r="F60" i="107"/>
  <c r="F59" i="107"/>
  <c r="F48" i="107"/>
  <c r="F47" i="107"/>
  <c r="F23" i="107"/>
  <c r="F21" i="107"/>
  <c r="F85" i="107"/>
  <c r="F39" i="107"/>
  <c r="F35" i="107"/>
  <c r="F34" i="107"/>
  <c r="D21" i="107"/>
  <c r="F62" i="107"/>
  <c r="F61" i="107"/>
  <c r="F50" i="107"/>
  <c r="F49" i="107"/>
  <c r="F30" i="107"/>
  <c r="F26" i="107"/>
  <c r="F73" i="107"/>
  <c r="F69" i="107"/>
  <c r="F90" i="107"/>
  <c r="F87" i="107"/>
  <c r="F64" i="107"/>
  <c r="F63" i="107"/>
  <c r="F52" i="107"/>
  <c r="F51" i="107"/>
  <c r="F40" i="107"/>
  <c r="F36" i="107"/>
  <c r="F75" i="107"/>
  <c r="F74" i="107"/>
  <c r="F31" i="107"/>
  <c r="F27" i="107"/>
  <c r="F70" i="107"/>
  <c r="F54" i="107"/>
  <c r="F53" i="107"/>
  <c r="F42" i="107"/>
  <c r="F41" i="107"/>
  <c r="F18" i="107"/>
  <c r="F17" i="107"/>
  <c r="X49" i="107"/>
  <c r="Z49" i="107" s="1"/>
  <c r="D35" i="108"/>
  <c r="V29" i="104"/>
  <c r="V37" i="104"/>
  <c r="V45" i="104"/>
  <c r="V47" i="104"/>
  <c r="L70" i="105"/>
  <c r="V18" i="104"/>
  <c r="V38" i="104"/>
  <c r="N70" i="105"/>
  <c r="R72" i="107"/>
  <c r="R68" i="107"/>
  <c r="R61" i="107"/>
  <c r="R60" i="107"/>
  <c r="R49" i="107"/>
  <c r="R48" i="107"/>
  <c r="R85" i="107"/>
  <c r="R39" i="107"/>
  <c r="R35" i="107"/>
  <c r="R90" i="107"/>
  <c r="R87" i="107"/>
  <c r="R63" i="107"/>
  <c r="R62" i="107"/>
  <c r="R51" i="107"/>
  <c r="R50" i="107"/>
  <c r="R30" i="107"/>
  <c r="R26" i="107"/>
  <c r="R74" i="107"/>
  <c r="R73" i="107"/>
  <c r="R69" i="107"/>
  <c r="R64" i="107"/>
  <c r="R53" i="107"/>
  <c r="R52" i="107"/>
  <c r="R41" i="107"/>
  <c r="R40" i="107"/>
  <c r="R36" i="107"/>
  <c r="R17" i="107"/>
  <c r="R76" i="107"/>
  <c r="R75" i="107"/>
  <c r="R31" i="107"/>
  <c r="R27" i="107"/>
  <c r="R70" i="107"/>
  <c r="R55" i="107"/>
  <c r="R54" i="107"/>
  <c r="R43" i="107"/>
  <c r="R42" i="107"/>
  <c r="R18" i="107"/>
  <c r="R78" i="107"/>
  <c r="R77" i="107"/>
  <c r="R65" i="107"/>
  <c r="R37" i="107"/>
  <c r="R57" i="107"/>
  <c r="R56" i="107"/>
  <c r="R45" i="107"/>
  <c r="R44" i="107"/>
  <c r="R32" i="107"/>
  <c r="R28" i="107"/>
  <c r="R79" i="107"/>
  <c r="R71" i="107"/>
  <c r="R24" i="107"/>
  <c r="R19" i="107"/>
  <c r="R83" i="107"/>
  <c r="R81" i="107"/>
  <c r="R67" i="107"/>
  <c r="R66" i="107"/>
  <c r="R59" i="107"/>
  <c r="R58" i="107"/>
  <c r="R47" i="107"/>
  <c r="R46" i="107"/>
  <c r="R38" i="107"/>
  <c r="R23" i="107"/>
  <c r="R21" i="107"/>
  <c r="F76" i="107"/>
  <c r="V27" i="104"/>
  <c r="V35" i="104"/>
  <c r="V43" i="104"/>
  <c r="X70" i="105"/>
  <c r="Z80" i="105"/>
  <c r="X84" i="105"/>
  <c r="P21" i="107"/>
  <c r="V28" i="104"/>
  <c r="V36" i="104"/>
  <c r="V44" i="104"/>
  <c r="Z70" i="105"/>
  <c r="Z84" i="105"/>
  <c r="R25" i="107"/>
  <c r="R33" i="107"/>
  <c r="X61" i="107"/>
  <c r="Z61" i="107" s="1"/>
  <c r="N18" i="108"/>
  <c r="D63" i="109"/>
  <c r="V17" i="104"/>
  <c r="V33" i="104"/>
  <c r="N23" i="107"/>
  <c r="V26" i="104"/>
  <c r="V34" i="104"/>
  <c r="V42" i="104"/>
  <c r="Z13" i="105"/>
  <c r="Z57" i="105"/>
  <c r="N55" i="107"/>
  <c r="L55" i="107"/>
  <c r="Z59" i="107"/>
  <c r="N67" i="107"/>
  <c r="V31" i="104"/>
  <c r="Z23" i="107"/>
  <c r="F77" i="107"/>
  <c r="Z18" i="108"/>
  <c r="V32" i="104"/>
  <c r="T12" i="107"/>
  <c r="X14" i="107"/>
  <c r="Z14" i="107" s="1"/>
  <c r="V25" i="104"/>
  <c r="V41" i="104"/>
  <c r="V51" i="104"/>
  <c r="X55" i="105"/>
  <c r="Z55" i="105" s="1"/>
  <c r="F37" i="107"/>
  <c r="F65" i="107"/>
  <c r="N47" i="109"/>
  <c r="H12" i="107"/>
  <c r="H16" i="108"/>
  <c r="L16" i="108" s="1"/>
  <c r="F63" i="109"/>
  <c r="Z20" i="109"/>
  <c r="L76" i="107"/>
  <c r="R20" i="108"/>
  <c r="J65" i="109"/>
  <c r="J53" i="109"/>
  <c r="J45" i="109"/>
  <c r="J35" i="109"/>
  <c r="J31" i="109"/>
  <c r="J54" i="109"/>
  <c r="J46" i="109"/>
  <c r="J36" i="109"/>
  <c r="J26" i="109"/>
  <c r="J22" i="109"/>
  <c r="J47" i="109"/>
  <c r="J37" i="109"/>
  <c r="J48" i="109"/>
  <c r="J38" i="109"/>
  <c r="J32" i="109"/>
  <c r="J55" i="109"/>
  <c r="J49" i="109"/>
  <c r="J39" i="109"/>
  <c r="J27" i="109"/>
  <c r="J23" i="109"/>
  <c r="J50" i="109"/>
  <c r="J40" i="109"/>
  <c r="J41" i="109"/>
  <c r="J33" i="109"/>
  <c r="J56" i="109"/>
  <c r="J42" i="109"/>
  <c r="J28" i="109"/>
  <c r="J24" i="109"/>
  <c r="J57" i="109"/>
  <c r="J51" i="109"/>
  <c r="J43" i="109"/>
  <c r="J58" i="109"/>
  <c r="J34" i="109"/>
  <c r="J20" i="109"/>
  <c r="J61" i="109"/>
  <c r="J29" i="109"/>
  <c r="J25" i="109"/>
  <c r="J21" i="109"/>
  <c r="J19" i="109"/>
  <c r="J15" i="109"/>
  <c r="Z38" i="109"/>
  <c r="Z47" i="109"/>
  <c r="X49" i="109"/>
  <c r="Z49" i="109" s="1"/>
  <c r="J52" i="109"/>
  <c r="H60" i="109"/>
  <c r="L61" i="109"/>
  <c r="N61" i="109" s="1"/>
  <c r="X13" i="107"/>
  <c r="Z13" i="107" s="1"/>
  <c r="F23" i="108"/>
  <c r="F29" i="108"/>
  <c r="F35" i="108"/>
  <c r="F33" i="108"/>
  <c r="F24" i="108"/>
  <c r="F37" i="108"/>
  <c r="F32" i="108"/>
  <c r="F26" i="108"/>
  <c r="F22" i="108"/>
  <c r="R27" i="108"/>
  <c r="V33" i="108"/>
  <c r="F39" i="108"/>
  <c r="H17" i="109"/>
  <c r="L17" i="109" s="1"/>
  <c r="J32" i="108"/>
  <c r="J24" i="108"/>
  <c r="J20" i="108"/>
  <c r="J37" i="108"/>
  <c r="J31" i="108"/>
  <c r="J26" i="108"/>
  <c r="J22" i="108"/>
  <c r="J27" i="108"/>
  <c r="J28" i="108"/>
  <c r="R22" i="108"/>
  <c r="R24" i="108"/>
  <c r="J39" i="108"/>
  <c r="L19" i="109"/>
  <c r="N19" i="109" s="1"/>
  <c r="P16" i="108"/>
  <c r="R26" i="108"/>
  <c r="R39" i="108"/>
  <c r="R14" i="108"/>
  <c r="R16" i="108"/>
  <c r="F21" i="108"/>
  <c r="V26" i="108"/>
  <c r="J35" i="108"/>
  <c r="J44" i="109"/>
  <c r="X43" i="107"/>
  <c r="Z43" i="107" s="1"/>
  <c r="L49" i="107"/>
  <c r="N49" i="107" s="1"/>
  <c r="X55" i="107"/>
  <c r="Z55" i="107" s="1"/>
  <c r="L61" i="107"/>
  <c r="N61" i="107" s="1"/>
  <c r="R37" i="108"/>
  <c r="R25" i="108"/>
  <c r="R21" i="108"/>
  <c r="R23" i="108"/>
  <c r="R35" i="108"/>
  <c r="R33" i="108"/>
  <c r="R32" i="108"/>
  <c r="R29" i="108"/>
  <c r="R18" i="108"/>
  <c r="T16" i="108"/>
  <c r="F28" i="108"/>
  <c r="X32" i="108"/>
  <c r="Z32" i="108" s="1"/>
  <c r="F42" i="108"/>
  <c r="J30" i="109"/>
  <c r="X76" i="107"/>
  <c r="Z76" i="107" s="1"/>
  <c r="V27" i="108"/>
  <c r="V32" i="108"/>
  <c r="V31" i="108"/>
  <c r="V29" i="108"/>
  <c r="V24" i="108"/>
  <c r="V20" i="108"/>
  <c r="V14" i="108"/>
  <c r="V16" i="108"/>
  <c r="V19" i="108"/>
  <c r="J23" i="108"/>
  <c r="F25" i="108"/>
  <c r="F31" i="108"/>
  <c r="V35" i="108"/>
  <c r="J42" i="108"/>
  <c r="X12" i="108"/>
  <c r="X19" i="108"/>
  <c r="Z19" i="108" s="1"/>
  <c r="J25" i="108"/>
  <c r="R42" i="108"/>
  <c r="P12" i="109"/>
  <c r="X13" i="109"/>
  <c r="Z13" i="109" s="1"/>
  <c r="L60" i="109"/>
  <c r="V21" i="108"/>
  <c r="F27" i="108"/>
  <c r="R28" i="108"/>
  <c r="V42" i="108"/>
  <c r="J60" i="109"/>
  <c r="F34" i="109"/>
  <c r="V37" i="109"/>
  <c r="V49" i="109"/>
  <c r="F57" i="109"/>
  <c r="F58" i="109"/>
  <c r="L15" i="109"/>
  <c r="V22" i="109"/>
  <c r="V26" i="109"/>
  <c r="V38" i="109"/>
  <c r="F42" i="109"/>
  <c r="F43" i="109"/>
  <c r="V46" i="109"/>
  <c r="F51" i="109"/>
  <c r="V54" i="109"/>
  <c r="F24" i="109"/>
  <c r="F28" i="109"/>
  <c r="V31" i="109"/>
  <c r="V35" i="109"/>
  <c r="V47" i="109"/>
  <c r="F56" i="109"/>
  <c r="P60" i="109"/>
  <c r="X60" i="109" s="1"/>
  <c r="Z60" i="109" s="1"/>
  <c r="V65" i="109"/>
  <c r="F33" i="109"/>
  <c r="V36" i="109"/>
  <c r="F40" i="109"/>
  <c r="F41" i="109"/>
  <c r="V44" i="109"/>
  <c r="V52" i="109"/>
  <c r="V21" i="109"/>
  <c r="V25" i="109"/>
  <c r="V29" i="109"/>
  <c r="V45" i="109"/>
  <c r="F49" i="109"/>
  <c r="F50" i="109"/>
  <c r="V53" i="109"/>
  <c r="T17" i="109"/>
  <c r="F23" i="109"/>
  <c r="F27" i="109"/>
  <c r="V30" i="109"/>
  <c r="V34" i="109"/>
  <c r="F38" i="109"/>
  <c r="F39" i="109"/>
  <c r="F55" i="109"/>
  <c r="V58" i="109"/>
  <c r="V60" i="109"/>
  <c r="L12" i="109"/>
  <c r="N12" i="109" s="1"/>
  <c r="V15" i="109"/>
  <c r="V17" i="109"/>
  <c r="V19" i="109"/>
  <c r="F32" i="109"/>
  <c r="L40" i="109"/>
  <c r="V43" i="109"/>
  <c r="F47" i="109"/>
  <c r="F48" i="109"/>
  <c r="V51" i="109"/>
  <c r="V61" i="109"/>
  <c r="V20" i="109"/>
  <c r="V24" i="109"/>
  <c r="V28" i="109"/>
  <c r="F36" i="109"/>
  <c r="F37" i="109"/>
  <c r="V56" i="109"/>
  <c r="F22" i="109"/>
  <c r="F26" i="109"/>
  <c r="V33" i="109"/>
  <c r="V41" i="109"/>
  <c r="F45" i="109"/>
  <c r="F46" i="109"/>
  <c r="F53" i="109"/>
  <c r="F54" i="109"/>
  <c r="V57" i="109"/>
  <c r="F30" i="109"/>
  <c r="F31" i="109"/>
  <c r="F35" i="109"/>
  <c r="V42" i="109"/>
  <c r="V50" i="109"/>
  <c r="F60" i="109"/>
  <c r="F65" i="109"/>
  <c r="F15" i="109"/>
  <c r="F17" i="109"/>
  <c r="F19" i="109"/>
  <c r="V23" i="109"/>
  <c r="V27" i="109"/>
  <c r="V39" i="109"/>
  <c r="F44" i="109"/>
  <c r="F52" i="109"/>
  <c r="F61" i="109"/>
  <c r="D47" i="99" l="1"/>
  <c r="L43" i="99"/>
  <c r="H105" i="63"/>
  <c r="N43" i="99"/>
  <c r="H47" i="99"/>
  <c r="P67" i="48"/>
  <c r="R63" i="48"/>
  <c r="P93" i="95"/>
  <c r="R89" i="95"/>
  <c r="L57" i="100"/>
  <c r="N57" i="100"/>
  <c r="L16" i="91"/>
  <c r="D91" i="91"/>
  <c r="H95" i="91"/>
  <c r="T30" i="85"/>
  <c r="V18" i="85"/>
  <c r="P79" i="92"/>
  <c r="T117" i="84"/>
  <c r="X16" i="81"/>
  <c r="P22" i="81"/>
  <c r="J58" i="78"/>
  <c r="J54" i="78"/>
  <c r="J22" i="78"/>
  <c r="J18" i="78"/>
  <c r="J57" i="78"/>
  <c r="J45" i="78"/>
  <c r="J37" i="78"/>
  <c r="J27" i="78"/>
  <c r="J47" i="78"/>
  <c r="J48" i="78"/>
  <c r="J38" i="78"/>
  <c r="J49" i="78"/>
  <c r="J39" i="78"/>
  <c r="J33" i="78"/>
  <c r="J29" i="78"/>
  <c r="J50" i="78"/>
  <c r="J40" i="78"/>
  <c r="J20" i="78"/>
  <c r="J51" i="78"/>
  <c r="J42" i="78"/>
  <c r="J34" i="78"/>
  <c r="J30" i="78"/>
  <c r="J60" i="78"/>
  <c r="J52" i="78"/>
  <c r="J44" i="78"/>
  <c r="J36" i="78"/>
  <c r="N12" i="78"/>
  <c r="J65" i="78"/>
  <c r="J59" i="78"/>
  <c r="J53" i="78"/>
  <c r="J31" i="78"/>
  <c r="J17" i="78"/>
  <c r="J35" i="78"/>
  <c r="J61" i="78"/>
  <c r="J28" i="78"/>
  <c r="J26" i="78"/>
  <c r="J43" i="78"/>
  <c r="J41" i="78"/>
  <c r="J32" i="78"/>
  <c r="J21" i="78"/>
  <c r="J46" i="78"/>
  <c r="H24" i="78"/>
  <c r="J56" i="78"/>
  <c r="J24" i="78"/>
  <c r="J19" i="78"/>
  <c r="V50" i="78"/>
  <c r="V38" i="78"/>
  <c r="V49" i="78"/>
  <c r="V41" i="78"/>
  <c r="V33" i="78"/>
  <c r="V29" i="78"/>
  <c r="V61" i="78"/>
  <c r="V51" i="78"/>
  <c r="V43" i="78"/>
  <c r="V35" i="78"/>
  <c r="V60" i="78"/>
  <c r="V42" i="78"/>
  <c r="V34" i="78"/>
  <c r="V30" i="78"/>
  <c r="V59" i="78"/>
  <c r="V53" i="78"/>
  <c r="V21" i="78"/>
  <c r="V17" i="78"/>
  <c r="V58" i="78"/>
  <c r="V52" i="78"/>
  <c r="V44" i="78"/>
  <c r="V36" i="78"/>
  <c r="V65" i="78"/>
  <c r="V57" i="78"/>
  <c r="V56" i="78"/>
  <c r="V54" i="78"/>
  <c r="V46" i="78"/>
  <c r="V26" i="78"/>
  <c r="V22" i="78"/>
  <c r="V18" i="78"/>
  <c r="V48" i="78"/>
  <c r="V32" i="78"/>
  <c r="V28" i="78"/>
  <c r="V47" i="78"/>
  <c r="V39" i="78"/>
  <c r="V19" i="78"/>
  <c r="V40" i="78"/>
  <c r="V45" i="78"/>
  <c r="V27" i="78"/>
  <c r="T24" i="78"/>
  <c r="V31" i="78"/>
  <c r="V20" i="78"/>
  <c r="V37" i="78"/>
  <c r="R122" i="74"/>
  <c r="R121" i="74"/>
  <c r="R109" i="74"/>
  <c r="R93" i="74"/>
  <c r="R111" i="74"/>
  <c r="R110" i="74"/>
  <c r="R103" i="74"/>
  <c r="R102" i="74"/>
  <c r="R94" i="74"/>
  <c r="R125" i="74"/>
  <c r="R117" i="74"/>
  <c r="R85" i="74"/>
  <c r="R81" i="74"/>
  <c r="R112" i="74"/>
  <c r="R104" i="74"/>
  <c r="R72" i="74"/>
  <c r="R68" i="74"/>
  <c r="R64" i="74"/>
  <c r="R60" i="74"/>
  <c r="R56" i="74"/>
  <c r="R130" i="74"/>
  <c r="R96" i="74"/>
  <c r="R95" i="74"/>
  <c r="R91" i="74"/>
  <c r="R52" i="74"/>
  <c r="R129" i="74"/>
  <c r="R126" i="74"/>
  <c r="R118" i="74"/>
  <c r="R128" i="74"/>
  <c r="R114" i="74"/>
  <c r="R113" i="74"/>
  <c r="R106" i="74"/>
  <c r="R105" i="74"/>
  <c r="R98" i="74"/>
  <c r="R97" i="74"/>
  <c r="R73" i="74"/>
  <c r="R69" i="74"/>
  <c r="R65" i="74"/>
  <c r="R61" i="74"/>
  <c r="R57" i="74"/>
  <c r="R53" i="74"/>
  <c r="R120" i="74"/>
  <c r="R119" i="74"/>
  <c r="R115" i="74"/>
  <c r="R108" i="74"/>
  <c r="R107" i="74"/>
  <c r="R99" i="74"/>
  <c r="R87" i="74"/>
  <c r="R83" i="74"/>
  <c r="R74" i="74"/>
  <c r="R70" i="74"/>
  <c r="R66" i="74"/>
  <c r="R62" i="74"/>
  <c r="R58" i="74"/>
  <c r="R54" i="74"/>
  <c r="R92" i="74"/>
  <c r="X12" i="74"/>
  <c r="R134" i="74"/>
  <c r="R124" i="74"/>
  <c r="R90" i="74"/>
  <c r="R101" i="74"/>
  <c r="R79" i="74"/>
  <c r="R116" i="74"/>
  <c r="R88" i="74"/>
  <c r="R75" i="74"/>
  <c r="R71" i="74"/>
  <c r="R84" i="74"/>
  <c r="R67" i="74"/>
  <c r="R86" i="74"/>
  <c r="R80" i="74"/>
  <c r="R89" i="74"/>
  <c r="R82" i="74"/>
  <c r="R63" i="74"/>
  <c r="R77" i="74"/>
  <c r="R100" i="74"/>
  <c r="P77" i="74"/>
  <c r="R59" i="74"/>
  <c r="R55" i="74"/>
  <c r="R123" i="74"/>
  <c r="J87" i="68"/>
  <c r="H66" i="68"/>
  <c r="J61" i="68"/>
  <c r="J57" i="68"/>
  <c r="J53" i="68"/>
  <c r="J49" i="68"/>
  <c r="J45" i="68"/>
  <c r="J96" i="68"/>
  <c r="J88" i="68"/>
  <c r="J80" i="68"/>
  <c r="J103" i="68"/>
  <c r="J97" i="68"/>
  <c r="J104" i="68"/>
  <c r="J98" i="68"/>
  <c r="J62" i="68"/>
  <c r="J58" i="68"/>
  <c r="J54" i="68"/>
  <c r="J50" i="68"/>
  <c r="J46" i="68"/>
  <c r="J105" i="68"/>
  <c r="J89" i="68"/>
  <c r="J81" i="68"/>
  <c r="J106" i="68"/>
  <c r="J90" i="68"/>
  <c r="J76" i="68"/>
  <c r="J72" i="68"/>
  <c r="J107" i="68"/>
  <c r="J99" i="68"/>
  <c r="J91" i="68"/>
  <c r="J63" i="68"/>
  <c r="J59" i="68"/>
  <c r="J55" i="68"/>
  <c r="J51" i="68"/>
  <c r="J47" i="68"/>
  <c r="J110" i="68"/>
  <c r="J100" i="68"/>
  <c r="J92" i="68"/>
  <c r="J82" i="68"/>
  <c r="J95" i="68"/>
  <c r="J85" i="68"/>
  <c r="J79" i="68"/>
  <c r="J69" i="68"/>
  <c r="J102" i="68"/>
  <c r="J86" i="68"/>
  <c r="J74" i="68"/>
  <c r="J70" i="68"/>
  <c r="J68" i="68"/>
  <c r="J44" i="68"/>
  <c r="J78" i="68"/>
  <c r="J114" i="68"/>
  <c r="J93" i="68"/>
  <c r="J56" i="68"/>
  <c r="J101" i="68"/>
  <c r="J60" i="68"/>
  <c r="J94" i="68"/>
  <c r="J84" i="68"/>
  <c r="J71" i="68"/>
  <c r="J73" i="68"/>
  <c r="J75" i="68"/>
  <c r="J64" i="68"/>
  <c r="J48" i="68"/>
  <c r="J77" i="68"/>
  <c r="J109" i="68"/>
  <c r="J52" i="68"/>
  <c r="J83" i="68"/>
  <c r="F102" i="68"/>
  <c r="F86" i="68"/>
  <c r="F85" i="68"/>
  <c r="F74" i="68"/>
  <c r="F70" i="68"/>
  <c r="F69" i="68"/>
  <c r="F119" i="68"/>
  <c r="F116" i="68"/>
  <c r="F68" i="68"/>
  <c r="F66" i="68"/>
  <c r="F61" i="68"/>
  <c r="F57" i="68"/>
  <c r="F53" i="68"/>
  <c r="F49" i="68"/>
  <c r="F45" i="68"/>
  <c r="F44" i="68"/>
  <c r="F96" i="68"/>
  <c r="F88" i="68"/>
  <c r="F87" i="68"/>
  <c r="F103" i="68"/>
  <c r="F75" i="68"/>
  <c r="F71" i="68"/>
  <c r="F98" i="68"/>
  <c r="F97" i="68"/>
  <c r="F62" i="68"/>
  <c r="F58" i="68"/>
  <c r="F54" i="68"/>
  <c r="F50" i="68"/>
  <c r="F46" i="68"/>
  <c r="F105" i="68"/>
  <c r="F104" i="68"/>
  <c r="F89" i="68"/>
  <c r="F81" i="68"/>
  <c r="F76" i="68"/>
  <c r="F72" i="68"/>
  <c r="F107" i="68"/>
  <c r="F106" i="68"/>
  <c r="F99" i="68"/>
  <c r="F91" i="68"/>
  <c r="F90" i="68"/>
  <c r="F63" i="68"/>
  <c r="F59" i="68"/>
  <c r="F55" i="68"/>
  <c r="F51" i="68"/>
  <c r="F47" i="68"/>
  <c r="F114" i="68"/>
  <c r="F109" i="68"/>
  <c r="F84" i="68"/>
  <c r="F83" i="68"/>
  <c r="F64" i="68"/>
  <c r="F60" i="68"/>
  <c r="F56" i="68"/>
  <c r="F52" i="68"/>
  <c r="F48" i="68"/>
  <c r="F95" i="68"/>
  <c r="F94" i="68"/>
  <c r="F79" i="68"/>
  <c r="F78" i="68"/>
  <c r="F80" i="68"/>
  <c r="F93" i="68"/>
  <c r="F112" i="68"/>
  <c r="F82" i="68"/>
  <c r="F101" i="68"/>
  <c r="D66" i="68"/>
  <c r="F110" i="68"/>
  <c r="F92" i="68"/>
  <c r="F73" i="68"/>
  <c r="L12" i="68"/>
  <c r="N12" i="68" s="1"/>
  <c r="F100" i="68"/>
  <c r="F77" i="68"/>
  <c r="Z16" i="59"/>
  <c r="T61" i="59"/>
  <c r="Z101" i="51"/>
  <c r="J117" i="36"/>
  <c r="V117" i="36"/>
  <c r="V115" i="36"/>
  <c r="V107" i="36"/>
  <c r="V91" i="36"/>
  <c r="V87" i="36"/>
  <c r="V79" i="36"/>
  <c r="V59" i="36"/>
  <c r="V51" i="36"/>
  <c r="V39" i="36"/>
  <c r="V35" i="36"/>
  <c r="V31" i="36"/>
  <c r="X12" i="36"/>
  <c r="V124" i="36"/>
  <c r="V110" i="36"/>
  <c r="V102" i="36"/>
  <c r="V98" i="36"/>
  <c r="V86" i="36"/>
  <c r="V70" i="36"/>
  <c r="V58" i="36"/>
  <c r="V50" i="36"/>
  <c r="V30" i="36"/>
  <c r="V26" i="36"/>
  <c r="V109" i="36"/>
  <c r="V93" i="36"/>
  <c r="V81" i="36"/>
  <c r="V69" i="36"/>
  <c r="V61" i="36"/>
  <c r="V53" i="36"/>
  <c r="V45" i="36"/>
  <c r="V41" i="36"/>
  <c r="T28" i="36"/>
  <c r="V92" i="36"/>
  <c r="V88" i="36"/>
  <c r="V72" i="36"/>
  <c r="V60" i="36"/>
  <c r="V52" i="36"/>
  <c r="V40" i="36"/>
  <c r="V36" i="36"/>
  <c r="V32" i="36"/>
  <c r="V111" i="36"/>
  <c r="V103" i="36"/>
  <c r="V99" i="36"/>
  <c r="V71" i="36"/>
  <c r="V94" i="36"/>
  <c r="V82" i="36"/>
  <c r="V74" i="36"/>
  <c r="V62" i="36"/>
  <c r="V54" i="36"/>
  <c r="V46" i="36"/>
  <c r="V42" i="36"/>
  <c r="V89" i="36"/>
  <c r="V73" i="36"/>
  <c r="V65" i="36"/>
  <c r="V37" i="36"/>
  <c r="V33" i="36"/>
  <c r="V112" i="36"/>
  <c r="V104" i="36"/>
  <c r="V100" i="36"/>
  <c r="V96" i="36"/>
  <c r="V84" i="36"/>
  <c r="V76" i="36"/>
  <c r="V64" i="36"/>
  <c r="V56" i="36"/>
  <c r="V24" i="36"/>
  <c r="V95" i="36"/>
  <c r="V83" i="36"/>
  <c r="V75" i="36"/>
  <c r="V67" i="36"/>
  <c r="V47" i="36"/>
  <c r="V43" i="36"/>
  <c r="V119" i="36"/>
  <c r="V113" i="36"/>
  <c r="V105" i="36"/>
  <c r="V101" i="36"/>
  <c r="V97" i="36"/>
  <c r="V85" i="36"/>
  <c r="V77" i="36"/>
  <c r="V57" i="36"/>
  <c r="V49" i="36"/>
  <c r="V25" i="36"/>
  <c r="V118" i="36"/>
  <c r="V108" i="36"/>
  <c r="V80" i="36"/>
  <c r="V68" i="36"/>
  <c r="V48" i="36"/>
  <c r="V44" i="36"/>
  <c r="Z12" i="36"/>
  <c r="V114" i="36"/>
  <c r="V66" i="36"/>
  <c r="V78" i="36"/>
  <c r="V63" i="36"/>
  <c r="V38" i="36"/>
  <c r="V90" i="36"/>
  <c r="V55" i="36"/>
  <c r="V120" i="36"/>
  <c r="V34" i="36"/>
  <c r="V106" i="36"/>
  <c r="V90" i="21"/>
  <c r="V86" i="21"/>
  <c r="V74" i="21"/>
  <c r="V66" i="21"/>
  <c r="V54" i="21"/>
  <c r="V34" i="21"/>
  <c r="V30" i="21"/>
  <c r="V93" i="21"/>
  <c r="V81" i="21"/>
  <c r="V73" i="21"/>
  <c r="V65" i="21"/>
  <c r="V53" i="21"/>
  <c r="V45" i="21"/>
  <c r="V92" i="21"/>
  <c r="V80" i="21"/>
  <c r="V76" i="21"/>
  <c r="V68" i="21"/>
  <c r="V56" i="21"/>
  <c r="V44" i="21"/>
  <c r="V40" i="21"/>
  <c r="Z12" i="21"/>
  <c r="V95" i="21"/>
  <c r="V87" i="21"/>
  <c r="V83" i="21"/>
  <c r="V75" i="21"/>
  <c r="V67" i="21"/>
  <c r="V55" i="21"/>
  <c r="V47" i="21"/>
  <c r="V35" i="21"/>
  <c r="V31" i="21"/>
  <c r="V94" i="21"/>
  <c r="V82" i="21"/>
  <c r="V70" i="21"/>
  <c r="V58" i="21"/>
  <c r="V46" i="21"/>
  <c r="V22" i="21"/>
  <c r="V77" i="21"/>
  <c r="V69" i="21"/>
  <c r="V57" i="21"/>
  <c r="V49" i="21"/>
  <c r="V41" i="21"/>
  <c r="V98" i="21"/>
  <c r="V96" i="21"/>
  <c r="V88" i="21"/>
  <c r="V84" i="21"/>
  <c r="V60" i="21"/>
  <c r="V48" i="21"/>
  <c r="V36" i="21"/>
  <c r="V32" i="21"/>
  <c r="V78" i="21"/>
  <c r="V62" i="21"/>
  <c r="V50" i="21"/>
  <c r="V42" i="21"/>
  <c r="V38" i="21"/>
  <c r="V102" i="21"/>
  <c r="V72" i="21"/>
  <c r="V64" i="21"/>
  <c r="V52" i="21"/>
  <c r="V28" i="21"/>
  <c r="V24" i="21"/>
  <c r="V91" i="21"/>
  <c r="V79" i="21"/>
  <c r="V63" i="21"/>
  <c r="V43" i="21"/>
  <c r="V39" i="21"/>
  <c r="T26" i="21"/>
  <c r="V26" i="21" s="1"/>
  <c r="V33" i="21"/>
  <c r="V23" i="21"/>
  <c r="V85" i="21"/>
  <c r="V71" i="21"/>
  <c r="V37" i="21"/>
  <c r="V59" i="21"/>
  <c r="V29" i="21"/>
  <c r="V61" i="21"/>
  <c r="V51" i="21"/>
  <c r="V89" i="21"/>
  <c r="L258" i="12"/>
  <c r="V251" i="12"/>
  <c r="V243" i="12"/>
  <c r="V239" i="12"/>
  <c r="V227" i="12"/>
  <c r="V211" i="12"/>
  <c r="V203" i="12"/>
  <c r="V175" i="12"/>
  <c r="V171" i="12"/>
  <c r="V167" i="12"/>
  <c r="V250" i="12"/>
  <c r="V222" i="12"/>
  <c r="V214" i="12"/>
  <c r="V202" i="12"/>
  <c r="V194" i="12"/>
  <c r="V186" i="12"/>
  <c r="V166" i="12"/>
  <c r="V267" i="12"/>
  <c r="V266" i="12"/>
  <c r="V252" i="12"/>
  <c r="V244" i="12"/>
  <c r="V240" i="12"/>
  <c r="V228" i="12"/>
  <c r="V216" i="12"/>
  <c r="V204" i="12"/>
  <c r="V196" i="12"/>
  <c r="V188" i="12"/>
  <c r="V176" i="12"/>
  <c r="V172" i="12"/>
  <c r="V168" i="12"/>
  <c r="V265" i="12"/>
  <c r="V235" i="12"/>
  <c r="V223" i="12"/>
  <c r="V215" i="12"/>
  <c r="V195" i="12"/>
  <c r="V187" i="12"/>
  <c r="V264" i="12"/>
  <c r="V246" i="12"/>
  <c r="V234" i="12"/>
  <c r="V230" i="12"/>
  <c r="V218" i="12"/>
  <c r="V206" i="12"/>
  <c r="V182" i="12"/>
  <c r="V178" i="12"/>
  <c r="V271" i="12"/>
  <c r="V263" i="12"/>
  <c r="V253" i="12"/>
  <c r="V245" i="12"/>
  <c r="V241" i="12"/>
  <c r="V225" i="12"/>
  <c r="V217" i="12"/>
  <c r="V197" i="12"/>
  <c r="V189" i="12"/>
  <c r="V177" i="12"/>
  <c r="V173" i="12"/>
  <c r="V169" i="12"/>
  <c r="V262" i="12"/>
  <c r="V236" i="12"/>
  <c r="V224" i="12"/>
  <c r="V220" i="12"/>
  <c r="V208" i="12"/>
  <c r="V261" i="12"/>
  <c r="V255" i="12"/>
  <c r="V247" i="12"/>
  <c r="V231" i="12"/>
  <c r="V219" i="12"/>
  <c r="V207" i="12"/>
  <c r="V199" i="12"/>
  <c r="V191" i="12"/>
  <c r="V183" i="12"/>
  <c r="V179" i="12"/>
  <c r="V259" i="12"/>
  <c r="V249" i="12"/>
  <c r="V237" i="12"/>
  <c r="V221" i="12"/>
  <c r="V209" i="12"/>
  <c r="V201" i="12"/>
  <c r="V193" i="12"/>
  <c r="V161" i="12"/>
  <c r="V157" i="12"/>
  <c r="V153" i="12"/>
  <c r="V149" i="12"/>
  <c r="V145" i="12"/>
  <c r="V141" i="12"/>
  <c r="V258" i="12"/>
  <c r="V256" i="12"/>
  <c r="V248" i="12"/>
  <c r="V232" i="12"/>
  <c r="V212" i="12"/>
  <c r="V200" i="12"/>
  <c r="V192" i="12"/>
  <c r="V184" i="12"/>
  <c r="V180" i="12"/>
  <c r="V229" i="12"/>
  <c r="V174" i="12"/>
  <c r="V151" i="12"/>
  <c r="V135" i="12"/>
  <c r="V128" i="12"/>
  <c r="V119" i="12"/>
  <c r="V117" i="12"/>
  <c r="V260" i="12"/>
  <c r="V238" i="12"/>
  <c r="V205" i="12"/>
  <c r="V185" i="12"/>
  <c r="V158" i="12"/>
  <c r="V137" i="12"/>
  <c r="V121" i="12"/>
  <c r="V110" i="12"/>
  <c r="V160" i="12"/>
  <c r="V146" i="12"/>
  <c r="V130" i="12"/>
  <c r="V148" i="12"/>
  <c r="V139" i="12"/>
  <c r="V132" i="12"/>
  <c r="V123" i="12"/>
  <c r="V112" i="12"/>
  <c r="V162" i="12"/>
  <c r="V155" i="12"/>
  <c r="V125" i="12"/>
  <c r="V114" i="12"/>
  <c r="V233" i="12"/>
  <c r="V226" i="12"/>
  <c r="V213" i="12"/>
  <c r="V150" i="12"/>
  <c r="V143" i="12"/>
  <c r="V134" i="12"/>
  <c r="V116" i="12"/>
  <c r="V159" i="12"/>
  <c r="V138" i="12"/>
  <c r="V122" i="12"/>
  <c r="V156" i="12"/>
  <c r="V133" i="12"/>
  <c r="T164" i="12"/>
  <c r="V144" i="12"/>
  <c r="V142" i="12"/>
  <c r="V126" i="12"/>
  <c r="V115" i="12"/>
  <c r="V124" i="12"/>
  <c r="V127" i="12"/>
  <c r="V254" i="12"/>
  <c r="V181" i="12"/>
  <c r="V118" i="12"/>
  <c r="V129" i="12"/>
  <c r="V147" i="12"/>
  <c r="V120" i="12"/>
  <c r="V190" i="12"/>
  <c r="V152" i="12"/>
  <c r="V210" i="12"/>
  <c r="V170" i="12"/>
  <c r="V140" i="12"/>
  <c r="V131" i="12"/>
  <c r="V111" i="12"/>
  <c r="V113" i="12"/>
  <c r="V242" i="12"/>
  <c r="V198" i="12"/>
  <c r="V154" i="12"/>
  <c r="V136" i="12"/>
  <c r="H311" i="3"/>
  <c r="N196" i="3"/>
  <c r="X18" i="52"/>
  <c r="P27" i="52"/>
  <c r="H27" i="43"/>
  <c r="N18" i="43"/>
  <c r="D27" i="41"/>
  <c r="L18" i="41"/>
  <c r="T27" i="38"/>
  <c r="Z18" i="38"/>
  <c r="H27" i="28"/>
  <c r="N18" i="28"/>
  <c r="L18" i="25"/>
  <c r="D27" i="25"/>
  <c r="H27" i="29"/>
  <c r="N18" i="29"/>
  <c r="H27" i="13"/>
  <c r="N18" i="13"/>
  <c r="D27" i="23"/>
  <c r="L18" i="23"/>
  <c r="T27" i="16"/>
  <c r="Z18" i="16"/>
  <c r="H27" i="19"/>
  <c r="N18" i="19"/>
  <c r="T27" i="4"/>
  <c r="Z18" i="4"/>
  <c r="D27" i="7"/>
  <c r="L18" i="7"/>
  <c r="H35" i="108"/>
  <c r="N16" i="108"/>
  <c r="D67" i="109"/>
  <c r="P83" i="107"/>
  <c r="L35" i="108"/>
  <c r="D39" i="108"/>
  <c r="L16" i="102"/>
  <c r="D46" i="102"/>
  <c r="D92" i="103"/>
  <c r="L40" i="99"/>
  <c r="P77" i="101"/>
  <c r="V19" i="98"/>
  <c r="H66" i="93"/>
  <c r="D72" i="92"/>
  <c r="F79" i="87"/>
  <c r="F78" i="87"/>
  <c r="F42" i="87"/>
  <c r="F41" i="87"/>
  <c r="F34" i="87"/>
  <c r="D20" i="87"/>
  <c r="F61" i="87"/>
  <c r="F53" i="87"/>
  <c r="F52" i="87"/>
  <c r="F83" i="87"/>
  <c r="F81" i="87"/>
  <c r="F72" i="87"/>
  <c r="F68" i="87"/>
  <c r="F44" i="87"/>
  <c r="F43" i="87"/>
  <c r="F85" i="87"/>
  <c r="F55" i="87"/>
  <c r="F54" i="87"/>
  <c r="F35" i="87"/>
  <c r="F62" i="87"/>
  <c r="F30" i="87"/>
  <c r="F26" i="87"/>
  <c r="F73" i="87"/>
  <c r="F69" i="87"/>
  <c r="F45" i="87"/>
  <c r="F90" i="87"/>
  <c r="F87" i="87"/>
  <c r="F64" i="87"/>
  <c r="F63" i="87"/>
  <c r="F56" i="87"/>
  <c r="F36" i="87"/>
  <c r="L12" i="87"/>
  <c r="N12" i="87" s="1"/>
  <c r="F75" i="87"/>
  <c r="F74" i="87"/>
  <c r="F47" i="87"/>
  <c r="F46" i="87"/>
  <c r="F31" i="87"/>
  <c r="F27" i="87"/>
  <c r="F77" i="87"/>
  <c r="F76" i="87"/>
  <c r="F65" i="87"/>
  <c r="F49" i="87"/>
  <c r="F48" i="87"/>
  <c r="F33" i="87"/>
  <c r="F32" i="87"/>
  <c r="F60" i="87"/>
  <c r="F59" i="87"/>
  <c r="F40" i="87"/>
  <c r="F39" i="87"/>
  <c r="F28" i="87"/>
  <c r="F24" i="87"/>
  <c r="F23" i="87"/>
  <c r="F18" i="87"/>
  <c r="F66" i="87"/>
  <c r="F51" i="87"/>
  <c r="F37" i="87"/>
  <c r="F22" i="87"/>
  <c r="F16" i="87"/>
  <c r="F70" i="87"/>
  <c r="F67" i="87"/>
  <c r="F57" i="87"/>
  <c r="F25" i="87"/>
  <c r="F20" i="87"/>
  <c r="F50" i="87"/>
  <c r="F71" i="87"/>
  <c r="F58" i="87"/>
  <c r="F29" i="87"/>
  <c r="F38" i="87"/>
  <c r="F17" i="87"/>
  <c r="R100" i="84"/>
  <c r="R99" i="84"/>
  <c r="R71" i="84"/>
  <c r="R106" i="84"/>
  <c r="R94" i="84"/>
  <c r="R83" i="84"/>
  <c r="R82" i="84"/>
  <c r="R67" i="84"/>
  <c r="R66" i="84"/>
  <c r="R62" i="84"/>
  <c r="R119" i="84"/>
  <c r="R101" i="84"/>
  <c r="R58" i="84"/>
  <c r="R53" i="84"/>
  <c r="R85" i="84"/>
  <c r="R84" i="84"/>
  <c r="R73" i="84"/>
  <c r="R72" i="84"/>
  <c r="R68" i="84"/>
  <c r="R57" i="84"/>
  <c r="R55" i="84"/>
  <c r="X12" i="84"/>
  <c r="Z12" i="84" s="1"/>
  <c r="R108" i="84"/>
  <c r="R107" i="84"/>
  <c r="R96" i="84"/>
  <c r="R95" i="84"/>
  <c r="R63" i="84"/>
  <c r="R59" i="84"/>
  <c r="P55" i="84"/>
  <c r="R103" i="84"/>
  <c r="R102" i="84"/>
  <c r="R87" i="84"/>
  <c r="R86" i="84"/>
  <c r="R75" i="84"/>
  <c r="R74" i="84"/>
  <c r="R50" i="84"/>
  <c r="R46" i="84"/>
  <c r="R42" i="84"/>
  <c r="R110" i="84"/>
  <c r="R109" i="84"/>
  <c r="R97" i="84"/>
  <c r="R69" i="84"/>
  <c r="R112" i="84"/>
  <c r="R111" i="84"/>
  <c r="R51" i="84"/>
  <c r="R47" i="84"/>
  <c r="R43" i="84"/>
  <c r="R113" i="84"/>
  <c r="R105" i="84"/>
  <c r="R65" i="84"/>
  <c r="R61" i="84"/>
  <c r="R115" i="84"/>
  <c r="R93" i="84"/>
  <c r="R92" i="84"/>
  <c r="R81" i="84"/>
  <c r="R80" i="84"/>
  <c r="R52" i="84"/>
  <c r="R48" i="84"/>
  <c r="R44" i="84"/>
  <c r="R40" i="84"/>
  <c r="R88" i="84"/>
  <c r="R49" i="84"/>
  <c r="R64" i="84"/>
  <c r="R78" i="84"/>
  <c r="R70" i="84"/>
  <c r="R98" i="84"/>
  <c r="R76" i="84"/>
  <c r="R39" i="84"/>
  <c r="R89" i="84"/>
  <c r="R41" i="84"/>
  <c r="R104" i="84"/>
  <c r="R91" i="84"/>
  <c r="R77" i="84"/>
  <c r="R79" i="84"/>
  <c r="R60" i="84"/>
  <c r="R45" i="84"/>
  <c r="R90" i="84"/>
  <c r="L16" i="81"/>
  <c r="D22" i="81"/>
  <c r="N20" i="79"/>
  <c r="H68" i="79"/>
  <c r="H80" i="75"/>
  <c r="R103" i="76"/>
  <c r="R109" i="76"/>
  <c r="R102" i="76"/>
  <c r="R99" i="76"/>
  <c r="R104" i="76"/>
  <c r="R98" i="76"/>
  <c r="R97" i="76"/>
  <c r="R90" i="76"/>
  <c r="R89" i="76"/>
  <c r="R85" i="76"/>
  <c r="R69" i="76"/>
  <c r="R86" i="76"/>
  <c r="R77" i="76"/>
  <c r="R76" i="76"/>
  <c r="R64" i="76"/>
  <c r="R60" i="76"/>
  <c r="R95" i="76"/>
  <c r="R92" i="76"/>
  <c r="R51" i="76"/>
  <c r="R47" i="76"/>
  <c r="R43" i="76"/>
  <c r="R87" i="76"/>
  <c r="R79" i="76"/>
  <c r="R78" i="76"/>
  <c r="R70" i="76"/>
  <c r="R39" i="76"/>
  <c r="R88" i="76"/>
  <c r="R65" i="76"/>
  <c r="R61" i="76"/>
  <c r="R80" i="76"/>
  <c r="R57" i="76"/>
  <c r="R52" i="76"/>
  <c r="R48" i="76"/>
  <c r="R44" i="76"/>
  <c r="R40" i="76"/>
  <c r="R96" i="76"/>
  <c r="R71" i="76"/>
  <c r="R56" i="76"/>
  <c r="R105" i="76"/>
  <c r="R93" i="76"/>
  <c r="R67" i="76"/>
  <c r="R66" i="76"/>
  <c r="R62" i="76"/>
  <c r="R58" i="76"/>
  <c r="P54" i="76"/>
  <c r="R54" i="76" s="1"/>
  <c r="R82" i="76"/>
  <c r="R81" i="76"/>
  <c r="R49" i="76"/>
  <c r="R45" i="76"/>
  <c r="R41" i="76"/>
  <c r="R101" i="76"/>
  <c r="R94" i="76"/>
  <c r="R91" i="76"/>
  <c r="R84" i="76"/>
  <c r="R83" i="76"/>
  <c r="R63" i="76"/>
  <c r="R59" i="76"/>
  <c r="R75" i="76"/>
  <c r="R74" i="76"/>
  <c r="R50" i="76"/>
  <c r="R46" i="76"/>
  <c r="R42" i="76"/>
  <c r="R68" i="76"/>
  <c r="X12" i="76"/>
  <c r="Z12" i="76" s="1"/>
  <c r="R72" i="76"/>
  <c r="R73" i="76"/>
  <c r="D68" i="79"/>
  <c r="L20" i="79"/>
  <c r="P72" i="72"/>
  <c r="X23" i="72"/>
  <c r="T80" i="75"/>
  <c r="F101" i="70"/>
  <c r="F100" i="70"/>
  <c r="F57" i="70"/>
  <c r="F53" i="70"/>
  <c r="F49" i="70"/>
  <c r="F45" i="70"/>
  <c r="F108" i="70"/>
  <c r="F107" i="70"/>
  <c r="F92" i="70"/>
  <c r="F91" i="70"/>
  <c r="F76" i="70"/>
  <c r="F115" i="70"/>
  <c r="F110" i="70"/>
  <c r="F109" i="70"/>
  <c r="F102" i="70"/>
  <c r="F94" i="70"/>
  <c r="F93" i="70"/>
  <c r="F61" i="70"/>
  <c r="F54" i="70"/>
  <c r="F50" i="70"/>
  <c r="F46" i="70"/>
  <c r="F119" i="70"/>
  <c r="F114" i="70"/>
  <c r="F85" i="70"/>
  <c r="F84" i="70"/>
  <c r="F77" i="70"/>
  <c r="F73" i="70"/>
  <c r="F72" i="70"/>
  <c r="D59" i="70"/>
  <c r="F113" i="70"/>
  <c r="F96" i="70"/>
  <c r="F95" i="70"/>
  <c r="F68" i="70"/>
  <c r="F64" i="70"/>
  <c r="F112" i="70"/>
  <c r="F103" i="70"/>
  <c r="F87" i="70"/>
  <c r="F86" i="70"/>
  <c r="F55" i="70"/>
  <c r="F51" i="70"/>
  <c r="F47" i="70"/>
  <c r="F43" i="70"/>
  <c r="F42" i="70"/>
  <c r="F78" i="70"/>
  <c r="F74" i="70"/>
  <c r="F105" i="70"/>
  <c r="F104" i="70"/>
  <c r="F97" i="70"/>
  <c r="F89" i="70"/>
  <c r="F88" i="70"/>
  <c r="F69" i="70"/>
  <c r="F65" i="70"/>
  <c r="F99" i="70"/>
  <c r="F98" i="70"/>
  <c r="F75" i="70"/>
  <c r="F83" i="70"/>
  <c r="F52" i="70"/>
  <c r="F79" i="70"/>
  <c r="L12" i="70"/>
  <c r="F70" i="70"/>
  <c r="F56" i="70"/>
  <c r="F82" i="70"/>
  <c r="F67" i="70"/>
  <c r="F62" i="70"/>
  <c r="F90" i="70"/>
  <c r="F80" i="70"/>
  <c r="F44" i="70"/>
  <c r="F106" i="70"/>
  <c r="F71" i="70"/>
  <c r="F63" i="70"/>
  <c r="F81" i="70"/>
  <c r="F48" i="70"/>
  <c r="F66" i="70"/>
  <c r="X112" i="70"/>
  <c r="D61" i="59"/>
  <c r="L16" i="59"/>
  <c r="X16" i="55"/>
  <c r="P33" i="55"/>
  <c r="N16" i="57"/>
  <c r="H65" i="57"/>
  <c r="H75" i="58"/>
  <c r="R92" i="51"/>
  <c r="R84" i="51"/>
  <c r="R83" i="51"/>
  <c r="R96" i="51"/>
  <c r="R95" i="51"/>
  <c r="R104" i="51"/>
  <c r="R98" i="51"/>
  <c r="R97" i="51"/>
  <c r="R90" i="51"/>
  <c r="R89" i="51"/>
  <c r="R109" i="51"/>
  <c r="R102" i="51"/>
  <c r="R99" i="51"/>
  <c r="R91" i="51"/>
  <c r="R101" i="51"/>
  <c r="R69" i="51"/>
  <c r="R77" i="51"/>
  <c r="R76" i="51"/>
  <c r="R64" i="51"/>
  <c r="R60" i="51"/>
  <c r="R87" i="51"/>
  <c r="R51" i="51"/>
  <c r="R47" i="51"/>
  <c r="R43" i="51"/>
  <c r="R105" i="51"/>
  <c r="R70" i="51"/>
  <c r="R39" i="51"/>
  <c r="R79" i="51"/>
  <c r="R78" i="51"/>
  <c r="R65" i="51"/>
  <c r="R61" i="51"/>
  <c r="R88" i="51"/>
  <c r="R57" i="51"/>
  <c r="R52" i="51"/>
  <c r="R48" i="51"/>
  <c r="R44" i="51"/>
  <c r="R40" i="51"/>
  <c r="R80" i="51"/>
  <c r="R71" i="51"/>
  <c r="R56" i="51"/>
  <c r="R103" i="51"/>
  <c r="R93" i="51"/>
  <c r="R67" i="51"/>
  <c r="R66" i="51"/>
  <c r="R62" i="51"/>
  <c r="R58" i="51"/>
  <c r="P54" i="51"/>
  <c r="R94" i="51"/>
  <c r="R81" i="51"/>
  <c r="R63" i="51"/>
  <c r="R59" i="51"/>
  <c r="R82" i="51"/>
  <c r="R75" i="51"/>
  <c r="R74" i="51"/>
  <c r="R50" i="51"/>
  <c r="R46" i="51"/>
  <c r="R42" i="51"/>
  <c r="R72" i="51"/>
  <c r="X12" i="51"/>
  <c r="Z12" i="51" s="1"/>
  <c r="R86" i="51"/>
  <c r="R41" i="51"/>
  <c r="R73" i="51"/>
  <c r="R45" i="51"/>
  <c r="R49" i="51"/>
  <c r="R85" i="51"/>
  <c r="R68" i="51"/>
  <c r="V101" i="51"/>
  <c r="D107" i="51"/>
  <c r="X114" i="42"/>
  <c r="Z114" i="42" s="1"/>
  <c r="D128" i="39"/>
  <c r="N258" i="12"/>
  <c r="J253" i="15"/>
  <c r="J247" i="15"/>
  <c r="J229" i="15"/>
  <c r="J217" i="15"/>
  <c r="J211" i="15"/>
  <c r="J250" i="15"/>
  <c r="J242" i="15"/>
  <c r="J214" i="15"/>
  <c r="J258" i="15"/>
  <c r="J226" i="15"/>
  <c r="J256" i="15"/>
  <c r="J238" i="15"/>
  <c r="J228" i="15"/>
  <c r="J222" i="15"/>
  <c r="J216" i="15"/>
  <c r="J208" i="15"/>
  <c r="J255" i="15"/>
  <c r="J239" i="15"/>
  <c r="J223" i="15"/>
  <c r="J209" i="15"/>
  <c r="J233" i="15"/>
  <c r="J225" i="15"/>
  <c r="J201" i="15"/>
  <c r="J191" i="15"/>
  <c r="J183" i="15"/>
  <c r="J177" i="15"/>
  <c r="J257" i="15"/>
  <c r="J252" i="15"/>
  <c r="J192" i="15"/>
  <c r="J184" i="15"/>
  <c r="J172" i="15"/>
  <c r="J168" i="15"/>
  <c r="J164" i="15"/>
  <c r="J248" i="15"/>
  <c r="J215" i="15"/>
  <c r="J173" i="15"/>
  <c r="J155" i="15"/>
  <c r="J151" i="15"/>
  <c r="J147" i="15"/>
  <c r="J143" i="15"/>
  <c r="J139" i="15"/>
  <c r="J135" i="15"/>
  <c r="J131" i="15"/>
  <c r="J127" i="15"/>
  <c r="J123" i="15"/>
  <c r="J119" i="15"/>
  <c r="J115" i="15"/>
  <c r="J111" i="15"/>
  <c r="J263" i="15"/>
  <c r="J236" i="15"/>
  <c r="J220" i="15"/>
  <c r="J213" i="15"/>
  <c r="J202" i="15"/>
  <c r="J178" i="15"/>
  <c r="J174" i="15"/>
  <c r="J254" i="15"/>
  <c r="J245" i="15"/>
  <c r="J234" i="15"/>
  <c r="J231" i="15"/>
  <c r="J193" i="15"/>
  <c r="J185" i="15"/>
  <c r="J169" i="15"/>
  <c r="J165" i="15"/>
  <c r="J107" i="15"/>
  <c r="J259" i="15"/>
  <c r="J203" i="15"/>
  <c r="J194" i="15"/>
  <c r="J186" i="15"/>
  <c r="J156" i="15"/>
  <c r="J152" i="15"/>
  <c r="J148" i="15"/>
  <c r="J144" i="15"/>
  <c r="J140" i="15"/>
  <c r="J136" i="15"/>
  <c r="J132" i="15"/>
  <c r="J128" i="15"/>
  <c r="J124" i="15"/>
  <c r="J120" i="15"/>
  <c r="J116" i="15"/>
  <c r="J112" i="15"/>
  <c r="J108" i="15"/>
  <c r="J243" i="15"/>
  <c r="J240" i="15"/>
  <c r="J224" i="15"/>
  <c r="J218" i="15"/>
  <c r="J210" i="15"/>
  <c r="J195" i="15"/>
  <c r="J187" i="15"/>
  <c r="J179" i="15"/>
  <c r="J175" i="15"/>
  <c r="J204" i="15"/>
  <c r="J196" i="15"/>
  <c r="J188" i="15"/>
  <c r="J170" i="15"/>
  <c r="J166" i="15"/>
  <c r="J246" i="15"/>
  <c r="J237" i="15"/>
  <c r="J232" i="15"/>
  <c r="J221" i="15"/>
  <c r="J205" i="15"/>
  <c r="J197" i="15"/>
  <c r="J189" i="15"/>
  <c r="J157" i="15"/>
  <c r="J153" i="15"/>
  <c r="J149" i="15"/>
  <c r="J145" i="15"/>
  <c r="J141" i="15"/>
  <c r="J137" i="15"/>
  <c r="J133" i="15"/>
  <c r="J129" i="15"/>
  <c r="J125" i="15"/>
  <c r="J121" i="15"/>
  <c r="J117" i="15"/>
  <c r="J113" i="15"/>
  <c r="J109" i="15"/>
  <c r="J241" i="15"/>
  <c r="J235" i="15"/>
  <c r="J199" i="15"/>
  <c r="J181" i="15"/>
  <c r="J171" i="15"/>
  <c r="J167" i="15"/>
  <c r="J163" i="15"/>
  <c r="J161" i="15"/>
  <c r="J251" i="15"/>
  <c r="J244" i="15"/>
  <c r="J230" i="15"/>
  <c r="J219" i="15"/>
  <c r="J212" i="15"/>
  <c r="J207" i="15"/>
  <c r="J200" i="15"/>
  <c r="J190" i="15"/>
  <c r="J182" i="15"/>
  <c r="H159" i="15"/>
  <c r="J159" i="15" s="1"/>
  <c r="J154" i="15"/>
  <c r="J150" i="15"/>
  <c r="J146" i="15"/>
  <c r="J142" i="15"/>
  <c r="J138" i="15"/>
  <c r="J134" i="15"/>
  <c r="J130" i="15"/>
  <c r="J126" i="15"/>
  <c r="J122" i="15"/>
  <c r="J118" i="15"/>
  <c r="J114" i="15"/>
  <c r="J110" i="15"/>
  <c r="J206" i="15"/>
  <c r="J176" i="15"/>
  <c r="J227" i="15"/>
  <c r="J198" i="15"/>
  <c r="J180" i="15"/>
  <c r="J162" i="15"/>
  <c r="H91" i="9"/>
  <c r="N16" i="9"/>
  <c r="N296" i="3"/>
  <c r="H269" i="12"/>
  <c r="T27" i="112"/>
  <c r="Z18" i="112"/>
  <c r="T27" i="110"/>
  <c r="Z18" i="110"/>
  <c r="X18" i="43"/>
  <c r="P27" i="43"/>
  <c r="X18" i="41"/>
  <c r="P27" i="41"/>
  <c r="L18" i="40"/>
  <c r="D27" i="40"/>
  <c r="T27" i="35"/>
  <c r="Z18" i="35"/>
  <c r="N18" i="37"/>
  <c r="H27" i="37"/>
  <c r="P27" i="17"/>
  <c r="X18" i="17"/>
  <c r="X18" i="8"/>
  <c r="P27" i="8"/>
  <c r="P27" i="5"/>
  <c r="X18" i="5"/>
  <c r="J79" i="107"/>
  <c r="J71" i="107"/>
  <c r="J57" i="107"/>
  <c r="J45" i="107"/>
  <c r="J19" i="107"/>
  <c r="J66" i="107"/>
  <c r="J58" i="107"/>
  <c r="J46" i="107"/>
  <c r="J38" i="107"/>
  <c r="J24" i="107"/>
  <c r="J81" i="107"/>
  <c r="J67" i="107"/>
  <c r="J59" i="107"/>
  <c r="J47" i="107"/>
  <c r="J33" i="107"/>
  <c r="J29" i="107"/>
  <c r="J25" i="107"/>
  <c r="J23" i="107"/>
  <c r="J72" i="107"/>
  <c r="J68" i="107"/>
  <c r="J60" i="107"/>
  <c r="J48" i="107"/>
  <c r="J34" i="107"/>
  <c r="H21" i="107"/>
  <c r="J85" i="107"/>
  <c r="J61" i="107"/>
  <c r="J49" i="107"/>
  <c r="J39" i="107"/>
  <c r="J35" i="107"/>
  <c r="J62" i="107"/>
  <c r="J50" i="107"/>
  <c r="J30" i="107"/>
  <c r="J26" i="107"/>
  <c r="J73" i="107"/>
  <c r="J69" i="107"/>
  <c r="J63" i="107"/>
  <c r="J51" i="107"/>
  <c r="J74" i="107"/>
  <c r="J64" i="107"/>
  <c r="J52" i="107"/>
  <c r="J40" i="107"/>
  <c r="J36" i="107"/>
  <c r="J75" i="107"/>
  <c r="J53" i="107"/>
  <c r="J41" i="107"/>
  <c r="J31" i="107"/>
  <c r="J27" i="107"/>
  <c r="J17" i="107"/>
  <c r="J76" i="107"/>
  <c r="J70" i="107"/>
  <c r="J54" i="107"/>
  <c r="J42" i="107"/>
  <c r="J18" i="107"/>
  <c r="J77" i="107"/>
  <c r="J65" i="107"/>
  <c r="J55" i="107"/>
  <c r="J43" i="107"/>
  <c r="J37" i="107"/>
  <c r="J32" i="107"/>
  <c r="J44" i="107"/>
  <c r="J28" i="107"/>
  <c r="J78" i="107"/>
  <c r="J56" i="107"/>
  <c r="V52" i="100"/>
  <c r="V44" i="100"/>
  <c r="V32" i="100"/>
  <c r="V16" i="100"/>
  <c r="V35" i="100"/>
  <c r="V27" i="100"/>
  <c r="V54" i="100"/>
  <c r="V46" i="100"/>
  <c r="V34" i="100"/>
  <c r="V22" i="100"/>
  <c r="V53" i="100"/>
  <c r="V45" i="100"/>
  <c r="V37" i="100"/>
  <c r="V21" i="100"/>
  <c r="V17" i="100"/>
  <c r="V58" i="100"/>
  <c r="V48" i="100"/>
  <c r="V36" i="100"/>
  <c r="V28" i="100"/>
  <c r="T19" i="100"/>
  <c r="Z12" i="100"/>
  <c r="V57" i="100"/>
  <c r="V55" i="100"/>
  <c r="V47" i="100"/>
  <c r="V39" i="100"/>
  <c r="V23" i="100"/>
  <c r="V50" i="100"/>
  <c r="V38" i="100"/>
  <c r="V49" i="100"/>
  <c r="V41" i="100"/>
  <c r="V29" i="100"/>
  <c r="V25" i="100"/>
  <c r="V62" i="100"/>
  <c r="V40" i="100"/>
  <c r="V24" i="100"/>
  <c r="V42" i="100"/>
  <c r="V30" i="100"/>
  <c r="V26" i="100"/>
  <c r="V51" i="100"/>
  <c r="V31" i="100"/>
  <c r="V15" i="100"/>
  <c r="V33" i="100"/>
  <c r="V43" i="100"/>
  <c r="D83" i="97"/>
  <c r="F82" i="95"/>
  <c r="F81" i="95"/>
  <c r="F87" i="95"/>
  <c r="F86" i="95"/>
  <c r="F69" i="95"/>
  <c r="F37" i="95"/>
  <c r="F33" i="95"/>
  <c r="F32" i="95"/>
  <c r="F79" i="95"/>
  <c r="F64" i="95"/>
  <c r="F48" i="95"/>
  <c r="F47" i="95"/>
  <c r="F28" i="95"/>
  <c r="F24" i="95"/>
  <c r="F23" i="95"/>
  <c r="F75" i="95"/>
  <c r="F71" i="95"/>
  <c r="F70" i="95"/>
  <c r="F59" i="95"/>
  <c r="F39" i="95"/>
  <c r="F38" i="95"/>
  <c r="F22" i="95"/>
  <c r="F83" i="95"/>
  <c r="F50" i="95"/>
  <c r="F49" i="95"/>
  <c r="F34" i="95"/>
  <c r="D20" i="95"/>
  <c r="F80" i="95"/>
  <c r="F65" i="95"/>
  <c r="F41" i="95"/>
  <c r="F40" i="95"/>
  <c r="F29" i="95"/>
  <c r="F25" i="95"/>
  <c r="F76" i="95"/>
  <c r="F72" i="95"/>
  <c r="F60" i="95"/>
  <c r="F52" i="95"/>
  <c r="F51" i="95"/>
  <c r="F84" i="95"/>
  <c r="F43" i="95"/>
  <c r="F42" i="95"/>
  <c r="F35" i="95"/>
  <c r="F91" i="95"/>
  <c r="F66" i="95"/>
  <c r="F62" i="95"/>
  <c r="F61" i="95"/>
  <c r="F54" i="95"/>
  <c r="F53" i="95"/>
  <c r="F30" i="95"/>
  <c r="F26" i="95"/>
  <c r="F77" i="95"/>
  <c r="F73" i="95"/>
  <c r="F45" i="95"/>
  <c r="F44" i="95"/>
  <c r="F17" i="95"/>
  <c r="F16" i="95"/>
  <c r="F63" i="95"/>
  <c r="F31" i="95"/>
  <c r="F27" i="95"/>
  <c r="F78" i="95"/>
  <c r="F74" i="95"/>
  <c r="F58" i="95"/>
  <c r="F57" i="95"/>
  <c r="F46" i="95"/>
  <c r="F18" i="95"/>
  <c r="F68" i="95"/>
  <c r="F56" i="95"/>
  <c r="L12" i="95"/>
  <c r="N12" i="95" s="1"/>
  <c r="F67" i="95"/>
  <c r="F55" i="95"/>
  <c r="F36" i="95"/>
  <c r="H78" i="94"/>
  <c r="T66" i="93"/>
  <c r="Z20" i="93"/>
  <c r="J70" i="92"/>
  <c r="J62" i="92"/>
  <c r="J48" i="92"/>
  <c r="H19" i="92"/>
  <c r="L19" i="92" s="1"/>
  <c r="J57" i="92"/>
  <c r="J49" i="92"/>
  <c r="J74" i="92"/>
  <c r="J58" i="92"/>
  <c r="J50" i="92"/>
  <c r="J38" i="92"/>
  <c r="J28" i="92"/>
  <c r="J24" i="92"/>
  <c r="J63" i="92"/>
  <c r="J59" i="92"/>
  <c r="J52" i="92"/>
  <c r="J40" i="92"/>
  <c r="J34" i="92"/>
  <c r="J53" i="92"/>
  <c r="J41" i="92"/>
  <c r="J29" i="92"/>
  <c r="J25" i="92"/>
  <c r="J64" i="92"/>
  <c r="J60" i="92"/>
  <c r="J42" i="92"/>
  <c r="J65" i="92"/>
  <c r="J43" i="92"/>
  <c r="J35" i="92"/>
  <c r="J68" i="92"/>
  <c r="J56" i="92"/>
  <c r="J46" i="92"/>
  <c r="J36" i="92"/>
  <c r="J32" i="92"/>
  <c r="J22" i="92"/>
  <c r="N12" i="92"/>
  <c r="J47" i="92"/>
  <c r="J27" i="92"/>
  <c r="J23" i="92"/>
  <c r="J21" i="92"/>
  <c r="J55" i="92"/>
  <c r="J17" i="92"/>
  <c r="J30" i="92"/>
  <c r="J26" i="92"/>
  <c r="J66" i="92"/>
  <c r="J45" i="92"/>
  <c r="J51" i="92"/>
  <c r="J44" i="92"/>
  <c r="J19" i="92"/>
  <c r="J16" i="92"/>
  <c r="J67" i="92"/>
  <c r="J54" i="92"/>
  <c r="J31" i="92"/>
  <c r="J61" i="92"/>
  <c r="J33" i="92"/>
  <c r="J39" i="92"/>
  <c r="J37" i="92"/>
  <c r="T82" i="73"/>
  <c r="F130" i="74"/>
  <c r="F113" i="74"/>
  <c r="F105" i="74"/>
  <c r="F97" i="74"/>
  <c r="F96" i="74"/>
  <c r="F73" i="74"/>
  <c r="F69" i="74"/>
  <c r="F65" i="74"/>
  <c r="F61" i="74"/>
  <c r="F57" i="74"/>
  <c r="F53" i="74"/>
  <c r="F52" i="74"/>
  <c r="F121" i="74"/>
  <c r="F120" i="74"/>
  <c r="F109" i="74"/>
  <c r="F108" i="74"/>
  <c r="F93" i="74"/>
  <c r="F116" i="74"/>
  <c r="F100" i="74"/>
  <c r="F88" i="74"/>
  <c r="F84" i="74"/>
  <c r="F123" i="74"/>
  <c r="F122" i="74"/>
  <c r="F75" i="74"/>
  <c r="F71" i="74"/>
  <c r="F67" i="74"/>
  <c r="F63" i="74"/>
  <c r="F59" i="74"/>
  <c r="F55" i="74"/>
  <c r="F110" i="74"/>
  <c r="F102" i="74"/>
  <c r="F101" i="74"/>
  <c r="F94" i="74"/>
  <c r="F125" i="74"/>
  <c r="F124" i="74"/>
  <c r="F117" i="74"/>
  <c r="F85" i="74"/>
  <c r="F81" i="74"/>
  <c r="F80" i="74"/>
  <c r="F95" i="74"/>
  <c r="F91" i="74"/>
  <c r="D77" i="74"/>
  <c r="F126" i="74"/>
  <c r="F118" i="74"/>
  <c r="F86" i="74"/>
  <c r="F82" i="74"/>
  <c r="F74" i="74"/>
  <c r="F72" i="74"/>
  <c r="F70" i="74"/>
  <c r="F89" i="74"/>
  <c r="F77" i="74"/>
  <c r="F68" i="74"/>
  <c r="F128" i="74"/>
  <c r="F119" i="74"/>
  <c r="F115" i="74"/>
  <c r="F111" i="74"/>
  <c r="F98" i="74"/>
  <c r="F92" i="74"/>
  <c r="F87" i="74"/>
  <c r="F66" i="74"/>
  <c r="F64" i="74"/>
  <c r="F134" i="74"/>
  <c r="F107" i="74"/>
  <c r="F103" i="74"/>
  <c r="F90" i="74"/>
  <c r="F83" i="74"/>
  <c r="F62" i="74"/>
  <c r="F60" i="74"/>
  <c r="L12" i="74"/>
  <c r="F58" i="74"/>
  <c r="F79" i="74"/>
  <c r="F56" i="74"/>
  <c r="F114" i="74"/>
  <c r="F112" i="74"/>
  <c r="F129" i="74"/>
  <c r="F106" i="74"/>
  <c r="F104" i="74"/>
  <c r="F54" i="74"/>
  <c r="F99" i="74"/>
  <c r="V104" i="70"/>
  <c r="V96" i="70"/>
  <c r="V88" i="70"/>
  <c r="V68" i="70"/>
  <c r="V64" i="70"/>
  <c r="V103" i="70"/>
  <c r="V87" i="70"/>
  <c r="V79" i="70"/>
  <c r="V55" i="70"/>
  <c r="V51" i="70"/>
  <c r="V47" i="70"/>
  <c r="V43" i="70"/>
  <c r="V105" i="70"/>
  <c r="V97" i="70"/>
  <c r="V89" i="70"/>
  <c r="V81" i="70"/>
  <c r="V69" i="70"/>
  <c r="V65" i="70"/>
  <c r="V100" i="70"/>
  <c r="V80" i="70"/>
  <c r="V56" i="70"/>
  <c r="V52" i="70"/>
  <c r="V48" i="70"/>
  <c r="V44" i="70"/>
  <c r="V107" i="70"/>
  <c r="V99" i="70"/>
  <c r="V91" i="70"/>
  <c r="V75" i="70"/>
  <c r="V106" i="70"/>
  <c r="V90" i="70"/>
  <c r="V82" i="70"/>
  <c r="V70" i="70"/>
  <c r="V66" i="70"/>
  <c r="V62" i="70"/>
  <c r="V115" i="70"/>
  <c r="V109" i="70"/>
  <c r="V101" i="70"/>
  <c r="V93" i="70"/>
  <c r="V61" i="70"/>
  <c r="V59" i="70"/>
  <c r="V57" i="70"/>
  <c r="V53" i="70"/>
  <c r="V49" i="70"/>
  <c r="V45" i="70"/>
  <c r="V114" i="70"/>
  <c r="V108" i="70"/>
  <c r="V92" i="70"/>
  <c r="V84" i="70"/>
  <c r="V76" i="70"/>
  <c r="V72" i="70"/>
  <c r="T59" i="70"/>
  <c r="V112" i="70"/>
  <c r="V110" i="70"/>
  <c r="V102" i="70"/>
  <c r="V94" i="70"/>
  <c r="V86" i="70"/>
  <c r="V54" i="70"/>
  <c r="V50" i="70"/>
  <c r="V46" i="70"/>
  <c r="V42" i="70"/>
  <c r="V98" i="70"/>
  <c r="V74" i="70"/>
  <c r="V67" i="70"/>
  <c r="V113" i="70"/>
  <c r="V95" i="70"/>
  <c r="V78" i="70"/>
  <c r="V73" i="70"/>
  <c r="V119" i="70"/>
  <c r="V71" i="70"/>
  <c r="V63" i="70"/>
  <c r="V77" i="70"/>
  <c r="V85" i="70"/>
  <c r="V83" i="70"/>
  <c r="V105" i="68"/>
  <c r="V89" i="68"/>
  <c r="V81" i="68"/>
  <c r="V110" i="68"/>
  <c r="V100" i="68"/>
  <c r="V92" i="68"/>
  <c r="V76" i="68"/>
  <c r="V72" i="68"/>
  <c r="V109" i="68"/>
  <c r="V107" i="68"/>
  <c r="V99" i="68"/>
  <c r="V91" i="68"/>
  <c r="V83" i="68"/>
  <c r="V94" i="68"/>
  <c r="V82" i="68"/>
  <c r="V78" i="68"/>
  <c r="V101" i="68"/>
  <c r="V93" i="68"/>
  <c r="V85" i="68"/>
  <c r="V77" i="68"/>
  <c r="V73" i="68"/>
  <c r="V69" i="68"/>
  <c r="V114" i="68"/>
  <c r="V84" i="68"/>
  <c r="V68" i="68"/>
  <c r="V66" i="68"/>
  <c r="V64" i="68"/>
  <c r="V60" i="68"/>
  <c r="V56" i="68"/>
  <c r="V52" i="68"/>
  <c r="V48" i="68"/>
  <c r="V44" i="68"/>
  <c r="V95" i="68"/>
  <c r="V87" i="68"/>
  <c r="V79" i="68"/>
  <c r="T66" i="68"/>
  <c r="V102" i="68"/>
  <c r="V86" i="68"/>
  <c r="V74" i="68"/>
  <c r="V70" i="68"/>
  <c r="V103" i="68"/>
  <c r="V75" i="68"/>
  <c r="V71" i="68"/>
  <c r="V106" i="68"/>
  <c r="V98" i="68"/>
  <c r="V90" i="68"/>
  <c r="V62" i="68"/>
  <c r="V58" i="68"/>
  <c r="V54" i="68"/>
  <c r="V50" i="68"/>
  <c r="V46" i="68"/>
  <c r="V49" i="68"/>
  <c r="V51" i="68"/>
  <c r="V88" i="68"/>
  <c r="V53" i="68"/>
  <c r="V96" i="68"/>
  <c r="V55" i="68"/>
  <c r="V104" i="68"/>
  <c r="V57" i="68"/>
  <c r="V59" i="68"/>
  <c r="V80" i="68"/>
  <c r="V63" i="68"/>
  <c r="V47" i="68"/>
  <c r="V97" i="68"/>
  <c r="V45" i="68"/>
  <c r="V61" i="68"/>
  <c r="H76" i="72"/>
  <c r="D48" i="61"/>
  <c r="L16" i="61"/>
  <c r="Z16" i="55"/>
  <c r="T33" i="55"/>
  <c r="X101" i="51"/>
  <c r="D69" i="57"/>
  <c r="L65" i="57"/>
  <c r="Z17" i="48"/>
  <c r="T63" i="48"/>
  <c r="F33" i="39"/>
  <c r="R88" i="33"/>
  <c r="R94" i="24"/>
  <c r="R93" i="24"/>
  <c r="R69" i="24"/>
  <c r="R65" i="24"/>
  <c r="R61" i="24"/>
  <c r="R57" i="24"/>
  <c r="R53" i="24"/>
  <c r="R121" i="24"/>
  <c r="R120" i="24"/>
  <c r="R113" i="24"/>
  <c r="R112" i="24"/>
  <c r="R105" i="24"/>
  <c r="R104" i="24"/>
  <c r="R96" i="24"/>
  <c r="R95" i="24"/>
  <c r="R83" i="24"/>
  <c r="R79" i="24"/>
  <c r="R125" i="24"/>
  <c r="R122" i="24"/>
  <c r="R114" i="24"/>
  <c r="R106" i="24"/>
  <c r="R70" i="24"/>
  <c r="R66" i="24"/>
  <c r="R62" i="24"/>
  <c r="R58" i="24"/>
  <c r="R54" i="24"/>
  <c r="R50" i="24"/>
  <c r="R124" i="24"/>
  <c r="R97" i="24"/>
  <c r="R89" i="24"/>
  <c r="R129" i="24"/>
  <c r="R115" i="24"/>
  <c r="R108" i="24"/>
  <c r="R107" i="24"/>
  <c r="R71" i="24"/>
  <c r="R67" i="24"/>
  <c r="R63" i="24"/>
  <c r="R59" i="24"/>
  <c r="R55" i="24"/>
  <c r="R51" i="24"/>
  <c r="R92" i="24"/>
  <c r="R91" i="24"/>
  <c r="R87" i="24"/>
  <c r="R76" i="24"/>
  <c r="R74" i="24"/>
  <c r="R119" i="24"/>
  <c r="R118" i="24"/>
  <c r="R111" i="24"/>
  <c r="R110" i="24"/>
  <c r="R103" i="24"/>
  <c r="R102" i="24"/>
  <c r="R82" i="24"/>
  <c r="R78" i="24"/>
  <c r="P74" i="24"/>
  <c r="R49" i="24"/>
  <c r="R100" i="24"/>
  <c r="R77" i="24"/>
  <c r="R109" i="24"/>
  <c r="R81" i="24"/>
  <c r="X12" i="24"/>
  <c r="R116" i="24"/>
  <c r="R98" i="24"/>
  <c r="R85" i="24"/>
  <c r="R52" i="24"/>
  <c r="R90" i="24"/>
  <c r="R56" i="24"/>
  <c r="R101" i="24"/>
  <c r="R88" i="24"/>
  <c r="R60" i="24"/>
  <c r="R117" i="24"/>
  <c r="R80" i="24"/>
  <c r="R68" i="24"/>
  <c r="R99" i="24"/>
  <c r="R64" i="24"/>
  <c r="R86" i="24"/>
  <c r="R84" i="24"/>
  <c r="R72" i="24"/>
  <c r="Z250" i="15"/>
  <c r="N16" i="6"/>
  <c r="H22" i="6"/>
  <c r="F296" i="3"/>
  <c r="X18" i="111"/>
  <c r="P27" i="111"/>
  <c r="X18" i="110"/>
  <c r="P27" i="110"/>
  <c r="H27" i="53"/>
  <c r="N18" i="53"/>
  <c r="T27" i="53"/>
  <c r="Z18" i="53"/>
  <c r="H27" i="47"/>
  <c r="N18" i="47"/>
  <c r="T27" i="44"/>
  <c r="Z18" i="44"/>
  <c r="X18" i="44"/>
  <c r="P27" i="44"/>
  <c r="P27" i="46"/>
  <c r="X18" i="46"/>
  <c r="T27" i="32"/>
  <c r="Z18" i="32"/>
  <c r="X18" i="32"/>
  <c r="P27" i="32"/>
  <c r="P27" i="29"/>
  <c r="X18" i="29"/>
  <c r="H27" i="14"/>
  <c r="N18" i="14"/>
  <c r="T27" i="5"/>
  <c r="Z18" i="5"/>
  <c r="D27" i="10"/>
  <c r="L18" i="10"/>
  <c r="L12" i="107"/>
  <c r="N12" i="107" s="1"/>
  <c r="T49" i="104"/>
  <c r="R30" i="104"/>
  <c r="R23" i="104"/>
  <c r="R21" i="104"/>
  <c r="R51" i="104"/>
  <c r="R41" i="104"/>
  <c r="R25" i="104"/>
  <c r="P21" i="104"/>
  <c r="R56" i="104"/>
  <c r="R53" i="104"/>
  <c r="R32" i="104"/>
  <c r="R31" i="104"/>
  <c r="R42" i="104"/>
  <c r="R26" i="104"/>
  <c r="R34" i="104"/>
  <c r="R33" i="104"/>
  <c r="R17" i="104"/>
  <c r="X12" i="104"/>
  <c r="Z12" i="104" s="1"/>
  <c r="R44" i="104"/>
  <c r="R43" i="104"/>
  <c r="R36" i="104"/>
  <c r="R35" i="104"/>
  <c r="R28" i="104"/>
  <c r="R27" i="104"/>
  <c r="R49" i="104"/>
  <c r="R47" i="104"/>
  <c r="R40" i="104"/>
  <c r="R39" i="104"/>
  <c r="R24" i="104"/>
  <c r="R19" i="104"/>
  <c r="R37" i="104"/>
  <c r="R29" i="104"/>
  <c r="R45" i="104"/>
  <c r="R38" i="104"/>
  <c r="R18" i="104"/>
  <c r="P74" i="94"/>
  <c r="X20" i="94"/>
  <c r="F73" i="93"/>
  <c r="F70" i="93"/>
  <c r="F35" i="93"/>
  <c r="F58" i="93"/>
  <c r="F46" i="93"/>
  <c r="F45" i="93"/>
  <c r="F30" i="93"/>
  <c r="F26" i="93"/>
  <c r="F53" i="93"/>
  <c r="F17" i="93"/>
  <c r="F16" i="93"/>
  <c r="F48" i="93"/>
  <c r="F47" i="93"/>
  <c r="F36" i="93"/>
  <c r="L12" i="93"/>
  <c r="N12" i="93" s="1"/>
  <c r="F59" i="93"/>
  <c r="F55" i="93"/>
  <c r="F54" i="93"/>
  <c r="F31" i="93"/>
  <c r="F27" i="93"/>
  <c r="F38" i="93"/>
  <c r="F37" i="93"/>
  <c r="F18" i="93"/>
  <c r="F61" i="93"/>
  <c r="F60" i="93"/>
  <c r="F49" i="93"/>
  <c r="F33" i="93"/>
  <c r="F32" i="93"/>
  <c r="F56" i="93"/>
  <c r="F40" i="93"/>
  <c r="F39" i="93"/>
  <c r="F28" i="93"/>
  <c r="F24" i="93"/>
  <c r="F23" i="93"/>
  <c r="F57" i="93"/>
  <c r="F29" i="93"/>
  <c r="F25" i="93"/>
  <c r="F68" i="93"/>
  <c r="F52" i="93"/>
  <c r="F51" i="93"/>
  <c r="F44" i="93"/>
  <c r="F43" i="93"/>
  <c r="F66" i="93"/>
  <c r="F22" i="93"/>
  <c r="F50" i="93"/>
  <c r="F42" i="93"/>
  <c r="F64" i="93"/>
  <c r="F20" i="93"/>
  <c r="D20" i="93"/>
  <c r="F63" i="93"/>
  <c r="F41" i="93"/>
  <c r="F34" i="93"/>
  <c r="H71" i="88"/>
  <c r="T27" i="82"/>
  <c r="D30" i="85"/>
  <c r="L18" i="85"/>
  <c r="P80" i="83"/>
  <c r="L101" i="76"/>
  <c r="P50" i="60"/>
  <c r="X16" i="60"/>
  <c r="X16" i="63"/>
  <c r="P101" i="63"/>
  <c r="J108" i="70"/>
  <c r="J92" i="70"/>
  <c r="J76" i="70"/>
  <c r="J62" i="70"/>
  <c r="N12" i="70"/>
  <c r="J115" i="70"/>
  <c r="J109" i="70"/>
  <c r="J93" i="70"/>
  <c r="J83" i="70"/>
  <c r="J71" i="70"/>
  <c r="J67" i="70"/>
  <c r="J63" i="70"/>
  <c r="J61" i="70"/>
  <c r="J119" i="70"/>
  <c r="J113" i="70"/>
  <c r="J95" i="70"/>
  <c r="J85" i="70"/>
  <c r="J77" i="70"/>
  <c r="J73" i="70"/>
  <c r="J112" i="70"/>
  <c r="J96" i="70"/>
  <c r="J86" i="70"/>
  <c r="J68" i="70"/>
  <c r="J64" i="70"/>
  <c r="J42" i="70"/>
  <c r="J103" i="70"/>
  <c r="J87" i="70"/>
  <c r="J55" i="70"/>
  <c r="J51" i="70"/>
  <c r="J47" i="70"/>
  <c r="J43" i="70"/>
  <c r="J104" i="70"/>
  <c r="J88" i="70"/>
  <c r="J78" i="70"/>
  <c r="J74" i="70"/>
  <c r="J105" i="70"/>
  <c r="J97" i="70"/>
  <c r="J89" i="70"/>
  <c r="J79" i="70"/>
  <c r="J69" i="70"/>
  <c r="J65" i="70"/>
  <c r="J98" i="70"/>
  <c r="J80" i="70"/>
  <c r="J56" i="70"/>
  <c r="J52" i="70"/>
  <c r="J48" i="70"/>
  <c r="J44" i="70"/>
  <c r="J106" i="70"/>
  <c r="J100" i="70"/>
  <c r="J90" i="70"/>
  <c r="J82" i="70"/>
  <c r="J70" i="70"/>
  <c r="J66" i="70"/>
  <c r="J45" i="70"/>
  <c r="J107" i="70"/>
  <c r="J72" i="70"/>
  <c r="J54" i="70"/>
  <c r="J94" i="70"/>
  <c r="J84" i="70"/>
  <c r="J49" i="70"/>
  <c r="H59" i="70"/>
  <c r="J102" i="70"/>
  <c r="J110" i="70"/>
  <c r="J53" i="70"/>
  <c r="J46" i="70"/>
  <c r="J101" i="70"/>
  <c r="J99" i="70"/>
  <c r="J91" i="70"/>
  <c r="J75" i="70"/>
  <c r="J50" i="70"/>
  <c r="J114" i="70"/>
  <c r="J81" i="70"/>
  <c r="J57" i="70"/>
  <c r="N16" i="60"/>
  <c r="H50" i="60"/>
  <c r="D50" i="60"/>
  <c r="L16" i="60"/>
  <c r="N16" i="54"/>
  <c r="H22" i="54"/>
  <c r="L16" i="54"/>
  <c r="D22" i="54"/>
  <c r="P71" i="58"/>
  <c r="X16" i="58"/>
  <c r="T69" i="57"/>
  <c r="L16" i="57"/>
  <c r="J104" i="51"/>
  <c r="J98" i="51"/>
  <c r="J90" i="51"/>
  <c r="J109" i="51"/>
  <c r="J103" i="51"/>
  <c r="J99" i="51"/>
  <c r="J91" i="51"/>
  <c r="J102" i="51"/>
  <c r="J94" i="51"/>
  <c r="J86" i="51"/>
  <c r="J96" i="51"/>
  <c r="J88" i="51"/>
  <c r="J105" i="51"/>
  <c r="J97" i="51"/>
  <c r="J89" i="51"/>
  <c r="J72" i="51"/>
  <c r="J68" i="51"/>
  <c r="N12" i="51"/>
  <c r="J81" i="51"/>
  <c r="J73" i="51"/>
  <c r="J63" i="51"/>
  <c r="J59" i="51"/>
  <c r="J82" i="51"/>
  <c r="J74" i="51"/>
  <c r="J50" i="51"/>
  <c r="J46" i="51"/>
  <c r="J42" i="51"/>
  <c r="J92" i="51"/>
  <c r="J75" i="51"/>
  <c r="J69" i="51"/>
  <c r="J76" i="51"/>
  <c r="J64" i="51"/>
  <c r="J60" i="51"/>
  <c r="J87" i="51"/>
  <c r="J83" i="51"/>
  <c r="J77" i="51"/>
  <c r="J51" i="51"/>
  <c r="J47" i="51"/>
  <c r="J43" i="51"/>
  <c r="J78" i="51"/>
  <c r="J70" i="51"/>
  <c r="J95" i="51"/>
  <c r="J65" i="51"/>
  <c r="J61" i="51"/>
  <c r="J39" i="51"/>
  <c r="J101" i="51"/>
  <c r="J93" i="51"/>
  <c r="J66" i="51"/>
  <c r="J62" i="51"/>
  <c r="J58" i="51"/>
  <c r="J56" i="51"/>
  <c r="J85" i="51"/>
  <c r="J67" i="51"/>
  <c r="H54" i="51"/>
  <c r="L54" i="51" s="1"/>
  <c r="J49" i="51"/>
  <c r="J45" i="51"/>
  <c r="J41" i="51"/>
  <c r="J79" i="51"/>
  <c r="J44" i="51"/>
  <c r="J57" i="51"/>
  <c r="J48" i="51"/>
  <c r="J84" i="51"/>
  <c r="J71" i="51"/>
  <c r="J40" i="51"/>
  <c r="J52" i="51"/>
  <c r="J80" i="51"/>
  <c r="T107" i="51"/>
  <c r="D87" i="83"/>
  <c r="R121" i="42"/>
  <c r="R114" i="42"/>
  <c r="R99" i="42"/>
  <c r="R95" i="42"/>
  <c r="R84" i="42"/>
  <c r="R83" i="42"/>
  <c r="R67" i="42"/>
  <c r="R48" i="42"/>
  <c r="R47" i="42"/>
  <c r="R43" i="42"/>
  <c r="R107" i="42"/>
  <c r="R106" i="42"/>
  <c r="R78" i="42"/>
  <c r="R38" i="42"/>
  <c r="R34" i="42"/>
  <c r="R90" i="42"/>
  <c r="R89" i="42"/>
  <c r="R108" i="42"/>
  <c r="R100" i="42"/>
  <c r="R96" i="42"/>
  <c r="R69" i="42"/>
  <c r="R68" i="42"/>
  <c r="R44" i="42"/>
  <c r="R29" i="42"/>
  <c r="X12" i="42"/>
  <c r="R91" i="42"/>
  <c r="R79" i="42"/>
  <c r="R60" i="42"/>
  <c r="R59" i="42"/>
  <c r="R52" i="42"/>
  <c r="R51" i="42"/>
  <c r="R40" i="42"/>
  <c r="R39" i="42"/>
  <c r="R35" i="42"/>
  <c r="R31" i="42"/>
  <c r="P27" i="42"/>
  <c r="R86" i="42"/>
  <c r="R71" i="42"/>
  <c r="R70" i="42"/>
  <c r="R109" i="42"/>
  <c r="R101" i="42"/>
  <c r="R97" i="42"/>
  <c r="R62" i="42"/>
  <c r="R61" i="42"/>
  <c r="R54" i="42"/>
  <c r="R53" i="42"/>
  <c r="R45" i="42"/>
  <c r="R41" i="42"/>
  <c r="R93" i="42"/>
  <c r="R92" i="42"/>
  <c r="R116" i="42"/>
  <c r="R66" i="42"/>
  <c r="R65" i="42"/>
  <c r="R37" i="42"/>
  <c r="R33" i="42"/>
  <c r="R115" i="42"/>
  <c r="R112" i="42"/>
  <c r="R105" i="42"/>
  <c r="R104" i="42"/>
  <c r="R88" i="42"/>
  <c r="R77" i="42"/>
  <c r="R76" i="42"/>
  <c r="R56" i="42"/>
  <c r="R24" i="42"/>
  <c r="R32" i="42"/>
  <c r="R23" i="42"/>
  <c r="R117" i="42"/>
  <c r="R49" i="42"/>
  <c r="R110" i="42"/>
  <c r="R103" i="42"/>
  <c r="R82" i="42"/>
  <c r="R25" i="42"/>
  <c r="R98" i="42"/>
  <c r="R80" i="42"/>
  <c r="R58" i="42"/>
  <c r="R36" i="42"/>
  <c r="R74" i="42"/>
  <c r="R72" i="42"/>
  <c r="R42" i="42"/>
  <c r="R111" i="42"/>
  <c r="R81" i="42"/>
  <c r="R46" i="42"/>
  <c r="R87" i="42"/>
  <c r="R85" i="42"/>
  <c r="R102" i="42"/>
  <c r="R75" i="42"/>
  <c r="R73" i="42"/>
  <c r="R55" i="42"/>
  <c r="R30" i="42"/>
  <c r="R94" i="42"/>
  <c r="R64" i="42"/>
  <c r="R57" i="42"/>
  <c r="R63" i="42"/>
  <c r="R50" i="42"/>
  <c r="F112" i="36"/>
  <c r="F104" i="36"/>
  <c r="F100" i="36"/>
  <c r="F64" i="36"/>
  <c r="F63" i="36"/>
  <c r="F56" i="36"/>
  <c r="F55" i="36"/>
  <c r="F95" i="36"/>
  <c r="F83" i="36"/>
  <c r="F75" i="36"/>
  <c r="F74" i="36"/>
  <c r="F47" i="36"/>
  <c r="F43" i="36"/>
  <c r="F90" i="36"/>
  <c r="F66" i="36"/>
  <c r="F65" i="36"/>
  <c r="F38" i="36"/>
  <c r="F34" i="36"/>
  <c r="F113" i="36"/>
  <c r="F105" i="36"/>
  <c r="F101" i="36"/>
  <c r="F97" i="36"/>
  <c r="F96" i="36"/>
  <c r="F85" i="36"/>
  <c r="F84" i="36"/>
  <c r="F77" i="36"/>
  <c r="F76" i="36"/>
  <c r="F57" i="36"/>
  <c r="F25" i="36"/>
  <c r="F24" i="36"/>
  <c r="F120" i="36"/>
  <c r="F115" i="36"/>
  <c r="F114" i="36"/>
  <c r="F107" i="36"/>
  <c r="F106" i="36"/>
  <c r="F91" i="36"/>
  <c r="F79" i="36"/>
  <c r="F78" i="36"/>
  <c r="F39" i="36"/>
  <c r="F35" i="36"/>
  <c r="F124" i="36"/>
  <c r="F119" i="36"/>
  <c r="F102" i="36"/>
  <c r="F98" i="36"/>
  <c r="F86" i="36"/>
  <c r="F58" i="36"/>
  <c r="F50" i="36"/>
  <c r="F49" i="36"/>
  <c r="F26" i="36"/>
  <c r="F118" i="36"/>
  <c r="F109" i="36"/>
  <c r="F108" i="36"/>
  <c r="F81" i="36"/>
  <c r="F80" i="36"/>
  <c r="F69" i="36"/>
  <c r="F45" i="36"/>
  <c r="F117" i="36"/>
  <c r="F92" i="36"/>
  <c r="F88" i="36"/>
  <c r="F87" i="36"/>
  <c r="F60" i="36"/>
  <c r="F59" i="36"/>
  <c r="F52" i="36"/>
  <c r="F51" i="36"/>
  <c r="F40" i="36"/>
  <c r="F36" i="36"/>
  <c r="F32" i="36"/>
  <c r="F31" i="36"/>
  <c r="F94" i="36"/>
  <c r="F93" i="36"/>
  <c r="F82" i="36"/>
  <c r="F62" i="36"/>
  <c r="F61" i="36"/>
  <c r="F54" i="36"/>
  <c r="F53" i="36"/>
  <c r="F46" i="36"/>
  <c r="F42" i="36"/>
  <c r="F41" i="36"/>
  <c r="D28" i="36"/>
  <c r="F89" i="36"/>
  <c r="F73" i="36"/>
  <c r="F72" i="36"/>
  <c r="F37" i="36"/>
  <c r="F33" i="36"/>
  <c r="F48" i="36"/>
  <c r="F110" i="36"/>
  <c r="F103" i="36"/>
  <c r="F68" i="36"/>
  <c r="F70" i="36"/>
  <c r="L12" i="36"/>
  <c r="N12" i="36" s="1"/>
  <c r="F111" i="36"/>
  <c r="F99" i="36"/>
  <c r="F67" i="36"/>
  <c r="F30" i="36"/>
  <c r="F71" i="36"/>
  <c r="F44" i="36"/>
  <c r="P96" i="33"/>
  <c r="J108" i="27"/>
  <c r="J102" i="27"/>
  <c r="J92" i="27"/>
  <c r="J58" i="27"/>
  <c r="J54" i="27"/>
  <c r="J50" i="27"/>
  <c r="J46" i="27"/>
  <c r="J115" i="27"/>
  <c r="J111" i="27"/>
  <c r="J103" i="27"/>
  <c r="J120" i="27"/>
  <c r="J114" i="27"/>
  <c r="J104" i="27"/>
  <c r="J88" i="27"/>
  <c r="J56" i="27"/>
  <c r="J52" i="27"/>
  <c r="J48" i="27"/>
  <c r="J44" i="27"/>
  <c r="J105" i="27"/>
  <c r="J89" i="27"/>
  <c r="J79" i="27"/>
  <c r="J75" i="27"/>
  <c r="J100" i="27"/>
  <c r="J82" i="27"/>
  <c r="J76" i="27"/>
  <c r="J107" i="27"/>
  <c r="J101" i="27"/>
  <c r="J91" i="27"/>
  <c r="J83" i="27"/>
  <c r="J71" i="27"/>
  <c r="J67" i="27"/>
  <c r="J116" i="27"/>
  <c r="J110" i="27"/>
  <c r="J64" i="27"/>
  <c r="J113" i="27"/>
  <c r="J98" i="27"/>
  <c r="J95" i="27"/>
  <c r="J86" i="27"/>
  <c r="J80" i="27"/>
  <c r="J77" i="27"/>
  <c r="J69" i="27"/>
  <c r="J53" i="27"/>
  <c r="J45" i="27"/>
  <c r="J99" i="27"/>
  <c r="J90" i="27"/>
  <c r="J87" i="27"/>
  <c r="J72" i="27"/>
  <c r="J106" i="27"/>
  <c r="J96" i="27"/>
  <c r="J93" i="27"/>
  <c r="H60" i="27"/>
  <c r="J51" i="27"/>
  <c r="J81" i="27"/>
  <c r="J78" i="27"/>
  <c r="J70" i="27"/>
  <c r="J65" i="27"/>
  <c r="J85" i="27"/>
  <c r="J74" i="27"/>
  <c r="J66" i="27"/>
  <c r="J55" i="27"/>
  <c r="J47" i="27"/>
  <c r="J94" i="27"/>
  <c r="J109" i="27"/>
  <c r="J62" i="27"/>
  <c r="J57" i="27"/>
  <c r="J49" i="27"/>
  <c r="J63" i="27"/>
  <c r="J43" i="27"/>
  <c r="J84" i="27"/>
  <c r="J73" i="27"/>
  <c r="J68" i="27"/>
  <c r="J97" i="27"/>
  <c r="R114" i="27"/>
  <c r="R111" i="27"/>
  <c r="R103" i="27"/>
  <c r="R96" i="27"/>
  <c r="R95" i="27"/>
  <c r="R55" i="27"/>
  <c r="R51" i="27"/>
  <c r="R47" i="27"/>
  <c r="R120" i="27"/>
  <c r="R105" i="27"/>
  <c r="R104" i="27"/>
  <c r="R82" i="27"/>
  <c r="R81" i="27"/>
  <c r="R57" i="27"/>
  <c r="R53" i="27"/>
  <c r="R49" i="27"/>
  <c r="R45" i="27"/>
  <c r="R101" i="27"/>
  <c r="R100" i="27"/>
  <c r="R76" i="27"/>
  <c r="R116" i="27"/>
  <c r="R110" i="27"/>
  <c r="R109" i="27"/>
  <c r="R94" i="27"/>
  <c r="R93" i="27"/>
  <c r="R77" i="27"/>
  <c r="R115" i="27"/>
  <c r="R85" i="27"/>
  <c r="R84" i="27"/>
  <c r="R73" i="27"/>
  <c r="R72" i="27"/>
  <c r="R68" i="27"/>
  <c r="R64" i="27"/>
  <c r="P60" i="27"/>
  <c r="R87" i="27"/>
  <c r="R83" i="27"/>
  <c r="R75" i="27"/>
  <c r="R108" i="27"/>
  <c r="R99" i="27"/>
  <c r="R67" i="27"/>
  <c r="R56" i="27"/>
  <c r="R48" i="27"/>
  <c r="R90" i="27"/>
  <c r="R106" i="27"/>
  <c r="R78" i="27"/>
  <c r="R65" i="27"/>
  <c r="R102" i="27"/>
  <c r="R70" i="27"/>
  <c r="R62" i="27"/>
  <c r="R54" i="27"/>
  <c r="R46" i="27"/>
  <c r="R43" i="27"/>
  <c r="X12" i="27"/>
  <c r="R97" i="27"/>
  <c r="R88" i="27"/>
  <c r="R63" i="27"/>
  <c r="R98" i="27"/>
  <c r="R86" i="27"/>
  <c r="R58" i="27"/>
  <c r="R50" i="27"/>
  <c r="R113" i="27"/>
  <c r="R92" i="27"/>
  <c r="R80" i="27"/>
  <c r="R69" i="27"/>
  <c r="R107" i="27"/>
  <c r="R52" i="27"/>
  <c r="R44" i="27"/>
  <c r="R89" i="27"/>
  <c r="R79" i="27"/>
  <c r="R74" i="27"/>
  <c r="R91" i="27"/>
  <c r="R66" i="27"/>
  <c r="R71" i="27"/>
  <c r="T95" i="9"/>
  <c r="X18" i="112"/>
  <c r="P27" i="112"/>
  <c r="H27" i="50"/>
  <c r="N18" i="50"/>
  <c r="L18" i="50"/>
  <c r="D27" i="50"/>
  <c r="T27" i="50"/>
  <c r="Z18" i="50"/>
  <c r="H27" i="35"/>
  <c r="N18" i="35"/>
  <c r="H27" i="38"/>
  <c r="N18" i="38"/>
  <c r="L18" i="35"/>
  <c r="D27" i="35"/>
  <c r="D27" i="38"/>
  <c r="L18" i="38"/>
  <c r="X18" i="16"/>
  <c r="P27" i="16"/>
  <c r="H27" i="17"/>
  <c r="N18" i="17"/>
  <c r="H27" i="16"/>
  <c r="N18" i="16"/>
  <c r="P27" i="13"/>
  <c r="X18" i="13"/>
  <c r="H27" i="11"/>
  <c r="N18" i="11"/>
  <c r="N60" i="109"/>
  <c r="J45" i="104"/>
  <c r="J37" i="104"/>
  <c r="J29" i="104"/>
  <c r="J38" i="104"/>
  <c r="J47" i="104"/>
  <c r="J39" i="104"/>
  <c r="J19" i="104"/>
  <c r="J40" i="104"/>
  <c r="J30" i="104"/>
  <c r="J24" i="104"/>
  <c r="J51" i="104"/>
  <c r="J41" i="104"/>
  <c r="J25" i="104"/>
  <c r="J23" i="104"/>
  <c r="J31" i="104"/>
  <c r="J42" i="104"/>
  <c r="J32" i="104"/>
  <c r="J26" i="104"/>
  <c r="J33" i="104"/>
  <c r="J43" i="104"/>
  <c r="J35" i="104"/>
  <c r="J27" i="104"/>
  <c r="J17" i="104"/>
  <c r="J44" i="104"/>
  <c r="J36" i="104"/>
  <c r="J28" i="104"/>
  <c r="J18" i="104"/>
  <c r="H21" i="104"/>
  <c r="N12" i="104"/>
  <c r="J34" i="104"/>
  <c r="T43" i="99"/>
  <c r="H89" i="95"/>
  <c r="P71" i="88"/>
  <c r="X20" i="88"/>
  <c r="D69" i="80"/>
  <c r="L20" i="80"/>
  <c r="Z16" i="81"/>
  <c r="T22" i="81"/>
  <c r="F95" i="76"/>
  <c r="F94" i="76"/>
  <c r="F109" i="76"/>
  <c r="F104" i="76"/>
  <c r="F99" i="76"/>
  <c r="F98" i="76"/>
  <c r="F103" i="76"/>
  <c r="F93" i="76"/>
  <c r="F81" i="76"/>
  <c r="F56" i="76"/>
  <c r="F54" i="76"/>
  <c r="F49" i="76"/>
  <c r="F45" i="76"/>
  <c r="F41" i="76"/>
  <c r="F90" i="76"/>
  <c r="F72" i="76"/>
  <c r="F68" i="76"/>
  <c r="F67" i="76"/>
  <c r="D54" i="76"/>
  <c r="L12" i="76"/>
  <c r="N12" i="76" s="1"/>
  <c r="F101" i="76"/>
  <c r="F97" i="76"/>
  <c r="F91" i="76"/>
  <c r="F83" i="76"/>
  <c r="F82" i="76"/>
  <c r="F63" i="76"/>
  <c r="F59" i="76"/>
  <c r="F74" i="76"/>
  <c r="F73" i="76"/>
  <c r="F50" i="76"/>
  <c r="F46" i="76"/>
  <c r="F42" i="76"/>
  <c r="F85" i="76"/>
  <c r="F84" i="76"/>
  <c r="F69" i="76"/>
  <c r="F76" i="76"/>
  <c r="F75" i="76"/>
  <c r="F64" i="76"/>
  <c r="F60" i="76"/>
  <c r="F102" i="76"/>
  <c r="F92" i="76"/>
  <c r="F86" i="76"/>
  <c r="F51" i="76"/>
  <c r="F47" i="76"/>
  <c r="F43" i="76"/>
  <c r="F87" i="76"/>
  <c r="F78" i="76"/>
  <c r="F77" i="76"/>
  <c r="F70" i="76"/>
  <c r="F65" i="76"/>
  <c r="F61" i="76"/>
  <c r="F89" i="76"/>
  <c r="F71" i="76"/>
  <c r="F105" i="76"/>
  <c r="F66" i="76"/>
  <c r="F62" i="76"/>
  <c r="F58" i="76"/>
  <c r="F57" i="76"/>
  <c r="F40" i="76"/>
  <c r="F96" i="76"/>
  <c r="F80" i="76"/>
  <c r="F52" i="76"/>
  <c r="F39" i="76"/>
  <c r="F88" i="76"/>
  <c r="F79" i="76"/>
  <c r="F44" i="76"/>
  <c r="F48" i="76"/>
  <c r="D101" i="63"/>
  <c r="L16" i="63"/>
  <c r="N16" i="55"/>
  <c r="H33" i="55"/>
  <c r="R96" i="39"/>
  <c r="R126" i="39"/>
  <c r="R120" i="39"/>
  <c r="R119" i="39"/>
  <c r="R112" i="39"/>
  <c r="R111" i="39"/>
  <c r="R107" i="39"/>
  <c r="R103" i="39"/>
  <c r="R91" i="39"/>
  <c r="R84" i="39"/>
  <c r="R83" i="39"/>
  <c r="R64" i="39"/>
  <c r="R63" i="39"/>
  <c r="R56" i="39"/>
  <c r="R55" i="39"/>
  <c r="R125" i="39"/>
  <c r="R75" i="39"/>
  <c r="R74" i="39"/>
  <c r="R50" i="39"/>
  <c r="R35" i="39"/>
  <c r="R124" i="39"/>
  <c r="R121" i="39"/>
  <c r="R114" i="39"/>
  <c r="R113" i="39"/>
  <c r="R130" i="39"/>
  <c r="R123" i="39"/>
  <c r="R108" i="39"/>
  <c r="R104" i="39"/>
  <c r="R116" i="39"/>
  <c r="R115" i="39"/>
  <c r="R87" i="39"/>
  <c r="R68" i="39"/>
  <c r="R67" i="39"/>
  <c r="R60" i="39"/>
  <c r="R59" i="39"/>
  <c r="R51" i="39"/>
  <c r="R47" i="39"/>
  <c r="R99" i="39"/>
  <c r="R98" i="39"/>
  <c r="R94" i="39"/>
  <c r="R42" i="39"/>
  <c r="R38" i="39"/>
  <c r="R100" i="39"/>
  <c r="R88" i="39"/>
  <c r="R52" i="39"/>
  <c r="R48" i="39"/>
  <c r="R95" i="39"/>
  <c r="R80" i="39"/>
  <c r="R79" i="39"/>
  <c r="R72" i="39"/>
  <c r="R71" i="39"/>
  <c r="R118" i="39"/>
  <c r="R110" i="39"/>
  <c r="R106" i="39"/>
  <c r="R62" i="39"/>
  <c r="R102" i="39"/>
  <c r="R101" i="39"/>
  <c r="R90" i="39"/>
  <c r="R89" i="39"/>
  <c r="R82" i="39"/>
  <c r="R81" i="39"/>
  <c r="R73" i="39"/>
  <c r="R54" i="39"/>
  <c r="R53" i="39"/>
  <c r="R49" i="39"/>
  <c r="R39" i="39"/>
  <c r="R86" i="39"/>
  <c r="R66" i="39"/>
  <c r="R44" i="39"/>
  <c r="X12" i="39"/>
  <c r="Z12" i="39" s="1"/>
  <c r="R117" i="39"/>
  <c r="R105" i="39"/>
  <c r="R31" i="39"/>
  <c r="R70" i="39"/>
  <c r="R37" i="39"/>
  <c r="R92" i="39"/>
  <c r="R78" i="39"/>
  <c r="R29" i="39"/>
  <c r="R76" i="39"/>
  <c r="R40" i="39"/>
  <c r="R45" i="39"/>
  <c r="P33" i="39"/>
  <c r="R109" i="39"/>
  <c r="R93" i="39"/>
  <c r="R57" i="39"/>
  <c r="R61" i="39"/>
  <c r="R43" i="39"/>
  <c r="R69" i="39"/>
  <c r="R46" i="39"/>
  <c r="R41" i="39"/>
  <c r="R77" i="39"/>
  <c r="R58" i="39"/>
  <c r="R36" i="39"/>
  <c r="R65" i="39"/>
  <c r="R97" i="39"/>
  <c r="R30" i="39"/>
  <c r="R85" i="39"/>
  <c r="F69" i="33"/>
  <c r="F68" i="33"/>
  <c r="F45" i="33"/>
  <c r="F41" i="33"/>
  <c r="F80" i="33"/>
  <c r="F76" i="33"/>
  <c r="F60" i="33"/>
  <c r="F59" i="33"/>
  <c r="F32" i="33"/>
  <c r="F51" i="33"/>
  <c r="F82" i="33"/>
  <c r="F81" i="33"/>
  <c r="F70" i="33"/>
  <c r="F62" i="33"/>
  <c r="F61" i="33"/>
  <c r="F46" i="33"/>
  <c r="F42" i="33"/>
  <c r="F98" i="33"/>
  <c r="F93" i="33"/>
  <c r="F84" i="33"/>
  <c r="F83" i="33"/>
  <c r="F52" i="33"/>
  <c r="F92" i="33"/>
  <c r="F71" i="33"/>
  <c r="F63" i="33"/>
  <c r="F47" i="33"/>
  <c r="F43" i="33"/>
  <c r="F91" i="33"/>
  <c r="F86" i="33"/>
  <c r="F85" i="33"/>
  <c r="F78" i="33"/>
  <c r="F54" i="33"/>
  <c r="F53" i="33"/>
  <c r="F34" i="33"/>
  <c r="F30" i="33"/>
  <c r="F29" i="33"/>
  <c r="F90" i="33"/>
  <c r="F73" i="33"/>
  <c r="F72" i="33"/>
  <c r="F65" i="33"/>
  <c r="F64" i="33"/>
  <c r="F49" i="33"/>
  <c r="F48" i="33"/>
  <c r="F88" i="33"/>
  <c r="F79" i="33"/>
  <c r="F75" i="33"/>
  <c r="F74" i="33"/>
  <c r="F67" i="33"/>
  <c r="F66" i="33"/>
  <c r="F58" i="33"/>
  <c r="F57" i="33"/>
  <c r="F50" i="33"/>
  <c r="D36" i="33"/>
  <c r="F89" i="33"/>
  <c r="F94" i="33"/>
  <c r="F56" i="33"/>
  <c r="F40" i="33"/>
  <c r="F38" i="33"/>
  <c r="L12" i="33"/>
  <c r="F77" i="33"/>
  <c r="F31" i="33"/>
  <c r="F36" i="33"/>
  <c r="F55" i="33"/>
  <c r="F44" i="33"/>
  <c r="F33" i="33"/>
  <c r="F39" i="33"/>
  <c r="R159" i="30"/>
  <c r="R128" i="30"/>
  <c r="R117" i="30"/>
  <c r="R116" i="30"/>
  <c r="R109" i="30"/>
  <c r="R108" i="30"/>
  <c r="R100" i="30"/>
  <c r="X12" i="30"/>
  <c r="Z12" i="30" s="1"/>
  <c r="R158" i="30"/>
  <c r="R155" i="30"/>
  <c r="R135" i="30"/>
  <c r="R96" i="30"/>
  <c r="R95" i="30"/>
  <c r="R91" i="30"/>
  <c r="R157" i="30"/>
  <c r="R147" i="30"/>
  <c r="R146" i="30"/>
  <c r="R142" i="30"/>
  <c r="R119" i="30"/>
  <c r="R118" i="30"/>
  <c r="R110" i="30"/>
  <c r="R87" i="30"/>
  <c r="R82" i="30"/>
  <c r="R78" i="30"/>
  <c r="R74" i="30"/>
  <c r="R70" i="30"/>
  <c r="R66" i="30"/>
  <c r="R62" i="30"/>
  <c r="R58" i="30"/>
  <c r="R163" i="30"/>
  <c r="R130" i="30"/>
  <c r="R129" i="30"/>
  <c r="R101" i="30"/>
  <c r="R97" i="30"/>
  <c r="R86" i="30"/>
  <c r="R84" i="30"/>
  <c r="R149" i="30"/>
  <c r="R148" i="30"/>
  <c r="R137" i="30"/>
  <c r="R136" i="30"/>
  <c r="R121" i="30"/>
  <c r="R120" i="30"/>
  <c r="R92" i="30"/>
  <c r="R88" i="30"/>
  <c r="P84" i="30"/>
  <c r="R143" i="30"/>
  <c r="R131" i="30"/>
  <c r="R112" i="30"/>
  <c r="R111" i="30"/>
  <c r="R79" i="30"/>
  <c r="R75" i="30"/>
  <c r="R71" i="30"/>
  <c r="R67" i="30"/>
  <c r="R63" i="30"/>
  <c r="R59" i="30"/>
  <c r="R151" i="30"/>
  <c r="R150" i="30"/>
  <c r="R138" i="30"/>
  <c r="R123" i="30"/>
  <c r="R122" i="30"/>
  <c r="R103" i="30"/>
  <c r="R102" i="30"/>
  <c r="R98" i="30"/>
  <c r="R55" i="30"/>
  <c r="R114" i="30"/>
  <c r="R113" i="30"/>
  <c r="R93" i="30"/>
  <c r="R89" i="30"/>
  <c r="R134" i="30"/>
  <c r="R127" i="30"/>
  <c r="R126" i="30"/>
  <c r="R107" i="30"/>
  <c r="R106" i="30"/>
  <c r="R94" i="30"/>
  <c r="R90" i="30"/>
  <c r="R154" i="30"/>
  <c r="R153" i="30"/>
  <c r="R145" i="30"/>
  <c r="R141" i="30"/>
  <c r="R81" i="30"/>
  <c r="R77" i="30"/>
  <c r="R73" i="30"/>
  <c r="R69" i="30"/>
  <c r="R65" i="30"/>
  <c r="R61" i="30"/>
  <c r="R57" i="30"/>
  <c r="R115" i="30"/>
  <c r="R139" i="30"/>
  <c r="R125" i="30"/>
  <c r="R68" i="30"/>
  <c r="R132" i="30"/>
  <c r="R104" i="30"/>
  <c r="R56" i="30"/>
  <c r="R140" i="30"/>
  <c r="R72" i="30"/>
  <c r="R124" i="30"/>
  <c r="R80" i="30"/>
  <c r="R152" i="30"/>
  <c r="R64" i="30"/>
  <c r="R99" i="30"/>
  <c r="R144" i="30"/>
  <c r="R76" i="30"/>
  <c r="R60" i="30"/>
  <c r="R133" i="30"/>
  <c r="R105" i="30"/>
  <c r="J116" i="24"/>
  <c r="J100" i="24"/>
  <c r="J86" i="24"/>
  <c r="J72" i="24"/>
  <c r="J68" i="24"/>
  <c r="J64" i="24"/>
  <c r="J60" i="24"/>
  <c r="J56" i="24"/>
  <c r="J52" i="24"/>
  <c r="J117" i="24"/>
  <c r="J101" i="24"/>
  <c r="J118" i="24"/>
  <c r="J110" i="24"/>
  <c r="J102" i="24"/>
  <c r="J92" i="24"/>
  <c r="J82" i="24"/>
  <c r="J78" i="24"/>
  <c r="J76" i="24"/>
  <c r="J119" i="24"/>
  <c r="J111" i="24"/>
  <c r="J103" i="24"/>
  <c r="J93" i="24"/>
  <c r="H74" i="24"/>
  <c r="J69" i="24"/>
  <c r="J65" i="24"/>
  <c r="J61" i="24"/>
  <c r="J57" i="24"/>
  <c r="J53" i="24"/>
  <c r="J120" i="24"/>
  <c r="J112" i="24"/>
  <c r="J104" i="24"/>
  <c r="J94" i="24"/>
  <c r="J88" i="24"/>
  <c r="J122" i="24"/>
  <c r="J114" i="24"/>
  <c r="J106" i="24"/>
  <c r="J96" i="24"/>
  <c r="J70" i="24"/>
  <c r="J66" i="24"/>
  <c r="J62" i="24"/>
  <c r="J58" i="24"/>
  <c r="J54" i="24"/>
  <c r="J50" i="24"/>
  <c r="J108" i="24"/>
  <c r="J98" i="24"/>
  <c r="J90" i="24"/>
  <c r="J109" i="24"/>
  <c r="J99" i="24"/>
  <c r="J85" i="24"/>
  <c r="J81" i="24"/>
  <c r="J95" i="24"/>
  <c r="J89" i="24"/>
  <c r="J105" i="24"/>
  <c r="J91" i="24"/>
  <c r="J55" i="24"/>
  <c r="J51" i="24"/>
  <c r="J49" i="24"/>
  <c r="J129" i="24"/>
  <c r="J87" i="24"/>
  <c r="J77" i="24"/>
  <c r="J59" i="24"/>
  <c r="J121" i="24"/>
  <c r="J79" i="24"/>
  <c r="J63" i="24"/>
  <c r="J107" i="24"/>
  <c r="J83" i="24"/>
  <c r="J67" i="24"/>
  <c r="J124" i="24"/>
  <c r="J71" i="24"/>
  <c r="J113" i="24"/>
  <c r="J80" i="24"/>
  <c r="J125" i="24"/>
  <c r="J115" i="24"/>
  <c r="J97" i="24"/>
  <c r="J84" i="24"/>
  <c r="F282" i="18"/>
  <c r="F253" i="18"/>
  <c r="F252" i="18"/>
  <c r="F241" i="18"/>
  <c r="F233" i="18"/>
  <c r="F232" i="18"/>
  <c r="F205" i="18"/>
  <c r="F201" i="18"/>
  <c r="F281" i="18"/>
  <c r="F264" i="18"/>
  <c r="F263" i="18"/>
  <c r="F248" i="18"/>
  <c r="F247" i="18"/>
  <c r="F224" i="18"/>
  <c r="F223" i="18"/>
  <c r="F196" i="18"/>
  <c r="F192" i="18"/>
  <c r="F188" i="18"/>
  <c r="F187" i="18"/>
  <c r="F280" i="18"/>
  <c r="F271" i="18"/>
  <c r="F259" i="18"/>
  <c r="F235" i="18"/>
  <c r="F234" i="18"/>
  <c r="F215" i="18"/>
  <c r="F207" i="18"/>
  <c r="F206" i="18"/>
  <c r="F186" i="18"/>
  <c r="F184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127" i="18"/>
  <c r="F279" i="18"/>
  <c r="F254" i="18"/>
  <c r="F242" i="18"/>
  <c r="F226" i="18"/>
  <c r="F225" i="18"/>
  <c r="F202" i="18"/>
  <c r="D184" i="18"/>
  <c r="F278" i="18"/>
  <c r="F273" i="18"/>
  <c r="F272" i="18"/>
  <c r="F265" i="18"/>
  <c r="F249" i="18"/>
  <c r="F237" i="18"/>
  <c r="F236" i="18"/>
  <c r="F217" i="18"/>
  <c r="F216" i="18"/>
  <c r="F209" i="18"/>
  <c r="F208" i="18"/>
  <c r="F197" i="18"/>
  <c r="F193" i="18"/>
  <c r="F189" i="18"/>
  <c r="F277" i="18"/>
  <c r="F260" i="18"/>
  <c r="F256" i="18"/>
  <c r="F255" i="18"/>
  <c r="F244" i="18"/>
  <c r="F243" i="18"/>
  <c r="F180" i="18"/>
  <c r="F176" i="18"/>
  <c r="F172" i="18"/>
  <c r="F168" i="18"/>
  <c r="F164" i="18"/>
  <c r="F160" i="18"/>
  <c r="F156" i="18"/>
  <c r="F152" i="18"/>
  <c r="F148" i="18"/>
  <c r="F144" i="18"/>
  <c r="F276" i="18"/>
  <c r="F267" i="18"/>
  <c r="F266" i="18"/>
  <c r="F239" i="18"/>
  <c r="F238" i="18"/>
  <c r="F227" i="18"/>
  <c r="F203" i="18"/>
  <c r="F199" i="18"/>
  <c r="F198" i="18"/>
  <c r="F291" i="18"/>
  <c r="F286" i="18"/>
  <c r="F269" i="18"/>
  <c r="F268" i="18"/>
  <c r="F261" i="18"/>
  <c r="F257" i="18"/>
  <c r="F245" i="18"/>
  <c r="F229" i="18"/>
  <c r="F228" i="18"/>
  <c r="F181" i="18"/>
  <c r="F177" i="18"/>
  <c r="F173" i="18"/>
  <c r="F169" i="18"/>
  <c r="F165" i="18"/>
  <c r="F161" i="18"/>
  <c r="F157" i="18"/>
  <c r="F153" i="18"/>
  <c r="F149" i="18"/>
  <c r="F145" i="18"/>
  <c r="F141" i="18"/>
  <c r="F137" i="18"/>
  <c r="F133" i="18"/>
  <c r="F129" i="18"/>
  <c r="F284" i="18"/>
  <c r="F251" i="18"/>
  <c r="F231" i="18"/>
  <c r="F230" i="18"/>
  <c r="F195" i="18"/>
  <c r="F191" i="18"/>
  <c r="F283" i="18"/>
  <c r="F270" i="18"/>
  <c r="F262" i="18"/>
  <c r="F258" i="18"/>
  <c r="F246" i="18"/>
  <c r="F222" i="18"/>
  <c r="F221" i="18"/>
  <c r="F214" i="18"/>
  <c r="F213" i="18"/>
  <c r="F182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130" i="18"/>
  <c r="F126" i="18"/>
  <c r="F125" i="18"/>
  <c r="F285" i="18"/>
  <c r="F220" i="18"/>
  <c r="F190" i="18"/>
  <c r="F136" i="18"/>
  <c r="F240" i="18"/>
  <c r="F218" i="18"/>
  <c r="F200" i="18"/>
  <c r="F128" i="18"/>
  <c r="F275" i="18"/>
  <c r="F211" i="18"/>
  <c r="F194" i="18"/>
  <c r="F140" i="18"/>
  <c r="F250" i="18"/>
  <c r="F204" i="18"/>
  <c r="F219" i="18"/>
  <c r="F287" i="18"/>
  <c r="F210" i="18"/>
  <c r="F132" i="18"/>
  <c r="L12" i="18"/>
  <c r="N12" i="18" s="1"/>
  <c r="F212" i="18"/>
  <c r="N250" i="15"/>
  <c r="Z275" i="18"/>
  <c r="D104" i="21"/>
  <c r="X196" i="3"/>
  <c r="P311" i="3"/>
  <c r="L18" i="52"/>
  <c r="D27" i="52"/>
  <c r="X18" i="47"/>
  <c r="P27" i="47"/>
  <c r="L18" i="44"/>
  <c r="D27" i="44"/>
  <c r="X18" i="28"/>
  <c r="P27" i="28"/>
  <c r="L18" i="29"/>
  <c r="D27" i="29"/>
  <c r="N18" i="32"/>
  <c r="H27" i="32"/>
  <c r="L18" i="32"/>
  <c r="D27" i="32"/>
  <c r="H27" i="31"/>
  <c r="N18" i="31"/>
  <c r="D27" i="31"/>
  <c r="L18" i="31"/>
  <c r="X18" i="23"/>
  <c r="P27" i="23"/>
  <c r="L18" i="26"/>
  <c r="D27" i="26"/>
  <c r="X18" i="25"/>
  <c r="P27" i="25"/>
  <c r="N18" i="22"/>
  <c r="H27" i="22"/>
  <c r="T27" i="17"/>
  <c r="Z18" i="17"/>
  <c r="X18" i="4"/>
  <c r="P27" i="4"/>
  <c r="H27" i="4"/>
  <c r="N18" i="4"/>
  <c r="T27" i="10"/>
  <c r="Z18" i="10"/>
  <c r="H27" i="10"/>
  <c r="N18" i="10"/>
  <c r="R49" i="109"/>
  <c r="R48" i="109"/>
  <c r="R32" i="109"/>
  <c r="X12" i="109"/>
  <c r="Z12" i="109" s="1"/>
  <c r="R55" i="109"/>
  <c r="R40" i="109"/>
  <c r="R39" i="109"/>
  <c r="R27" i="109"/>
  <c r="R23" i="109"/>
  <c r="R50" i="109"/>
  <c r="R42" i="109"/>
  <c r="R41" i="109"/>
  <c r="R33" i="109"/>
  <c r="R57" i="109"/>
  <c r="R56" i="109"/>
  <c r="R28" i="109"/>
  <c r="R24" i="109"/>
  <c r="R51" i="109"/>
  <c r="R43" i="109"/>
  <c r="R20" i="109"/>
  <c r="R61" i="109"/>
  <c r="R58" i="109"/>
  <c r="R34" i="109"/>
  <c r="R19" i="109"/>
  <c r="R15" i="109"/>
  <c r="R60" i="109"/>
  <c r="R30" i="109"/>
  <c r="R29" i="109"/>
  <c r="R25" i="109"/>
  <c r="R21" i="109"/>
  <c r="P17" i="109"/>
  <c r="R17" i="109" s="1"/>
  <c r="R53" i="109"/>
  <c r="R52" i="109"/>
  <c r="R45" i="109"/>
  <c r="R44" i="109"/>
  <c r="R65" i="109"/>
  <c r="R36" i="109"/>
  <c r="R35" i="109"/>
  <c r="R31" i="109"/>
  <c r="R54" i="109"/>
  <c r="R47" i="109"/>
  <c r="R46" i="109"/>
  <c r="R26" i="109"/>
  <c r="R22" i="109"/>
  <c r="R37" i="109"/>
  <c r="R38" i="109"/>
  <c r="T35" i="108"/>
  <c r="Z16" i="108"/>
  <c r="P35" i="108"/>
  <c r="X16" i="108"/>
  <c r="V85" i="107"/>
  <c r="V63" i="107"/>
  <c r="V51" i="107"/>
  <c r="V39" i="107"/>
  <c r="V35" i="107"/>
  <c r="V74" i="107"/>
  <c r="V62" i="107"/>
  <c r="V50" i="107"/>
  <c r="V30" i="107"/>
  <c r="V26" i="107"/>
  <c r="V73" i="107"/>
  <c r="V69" i="107"/>
  <c r="V53" i="107"/>
  <c r="V41" i="107"/>
  <c r="V17" i="107"/>
  <c r="V76" i="107"/>
  <c r="V64" i="107"/>
  <c r="V52" i="107"/>
  <c r="V40" i="107"/>
  <c r="V36" i="107"/>
  <c r="Z12" i="107"/>
  <c r="V75" i="107"/>
  <c r="V55" i="107"/>
  <c r="V43" i="107"/>
  <c r="V31" i="107"/>
  <c r="V27" i="107"/>
  <c r="V78" i="107"/>
  <c r="V70" i="107"/>
  <c r="V54" i="107"/>
  <c r="V42" i="107"/>
  <c r="V18" i="107"/>
  <c r="V77" i="107"/>
  <c r="V65" i="107"/>
  <c r="V57" i="107"/>
  <c r="V45" i="107"/>
  <c r="V37" i="107"/>
  <c r="V56" i="107"/>
  <c r="V44" i="107"/>
  <c r="V32" i="107"/>
  <c r="V28" i="107"/>
  <c r="V24" i="107"/>
  <c r="V81" i="107"/>
  <c r="V79" i="107"/>
  <c r="V71" i="107"/>
  <c r="V67" i="107"/>
  <c r="V59" i="107"/>
  <c r="V47" i="107"/>
  <c r="V23" i="107"/>
  <c r="V19" i="107"/>
  <c r="V66" i="107"/>
  <c r="V58" i="107"/>
  <c r="V46" i="107"/>
  <c r="V38" i="107"/>
  <c r="V34" i="107"/>
  <c r="T21" i="107"/>
  <c r="V61" i="107"/>
  <c r="V49" i="107"/>
  <c r="V33" i="107"/>
  <c r="V29" i="107"/>
  <c r="V25" i="107"/>
  <c r="V60" i="107"/>
  <c r="V72" i="107"/>
  <c r="V48" i="107"/>
  <c r="V68" i="107"/>
  <c r="N16" i="102"/>
  <c r="H46" i="102"/>
  <c r="L21" i="104"/>
  <c r="D49" i="104"/>
  <c r="H60" i="100"/>
  <c r="F67" i="101"/>
  <c r="F63" i="101"/>
  <c r="F55" i="101"/>
  <c r="F47" i="101"/>
  <c r="F46" i="101"/>
  <c r="F31" i="101"/>
  <c r="F27" i="101"/>
  <c r="F84" i="101"/>
  <c r="F81" i="101"/>
  <c r="F57" i="101"/>
  <c r="F56" i="101"/>
  <c r="F49" i="101"/>
  <c r="F48" i="101"/>
  <c r="F37" i="101"/>
  <c r="F59" i="101"/>
  <c r="F58" i="101"/>
  <c r="F51" i="101"/>
  <c r="F50" i="101"/>
  <c r="F72" i="101"/>
  <c r="F71" i="101"/>
  <c r="F60" i="101"/>
  <c r="F79" i="101"/>
  <c r="F74" i="101"/>
  <c r="F45" i="101"/>
  <c r="F44" i="101"/>
  <c r="F75" i="101"/>
  <c r="F62" i="101"/>
  <c r="F41" i="101"/>
  <c r="F32" i="101"/>
  <c r="F38" i="101"/>
  <c r="F33" i="101"/>
  <c r="F70" i="101"/>
  <c r="F29" i="101"/>
  <c r="F26" i="101"/>
  <c r="F20" i="101"/>
  <c r="F53" i="101"/>
  <c r="D20" i="101"/>
  <c r="L12" i="101"/>
  <c r="F65" i="101"/>
  <c r="F42" i="101"/>
  <c r="F36" i="101"/>
  <c r="F22" i="101"/>
  <c r="F16" i="101"/>
  <c r="F77" i="101"/>
  <c r="F39" i="101"/>
  <c r="F30" i="101"/>
  <c r="F23" i="101"/>
  <c r="F34" i="101"/>
  <c r="F17" i="101"/>
  <c r="F68" i="101"/>
  <c r="F43" i="101"/>
  <c r="F24" i="101"/>
  <c r="F54" i="101"/>
  <c r="F64" i="101"/>
  <c r="F28" i="101"/>
  <c r="F18" i="101"/>
  <c r="F66" i="101"/>
  <c r="F61" i="101"/>
  <c r="F35" i="101"/>
  <c r="F69" i="101"/>
  <c r="F40" i="101"/>
  <c r="F52" i="101"/>
  <c r="F25" i="101"/>
  <c r="D47" i="98"/>
  <c r="L19" i="98"/>
  <c r="P51" i="98"/>
  <c r="J20" i="93"/>
  <c r="Z91" i="91"/>
  <c r="T95" i="91"/>
  <c r="F62" i="88"/>
  <c r="F57" i="88"/>
  <c r="F56" i="88"/>
  <c r="F78" i="88"/>
  <c r="F75" i="88"/>
  <c r="F65" i="88"/>
  <c r="F64" i="88"/>
  <c r="F53" i="88"/>
  <c r="F52" i="88"/>
  <c r="F67" i="88"/>
  <c r="F66" i="88"/>
  <c r="F63" i="88"/>
  <c r="F50" i="88"/>
  <c r="F43" i="88"/>
  <c r="F42" i="88"/>
  <c r="F35" i="88"/>
  <c r="F61" i="88"/>
  <c r="F30" i="88"/>
  <c r="F26" i="88"/>
  <c r="F71" i="88"/>
  <c r="F59" i="88"/>
  <c r="F55" i="88"/>
  <c r="F51" i="88"/>
  <c r="F45" i="88"/>
  <c r="F44" i="88"/>
  <c r="F17" i="88"/>
  <c r="F16" i="88"/>
  <c r="F36" i="88"/>
  <c r="L12" i="88"/>
  <c r="N12" i="88" s="1"/>
  <c r="F31" i="88"/>
  <c r="F27" i="88"/>
  <c r="F46" i="88"/>
  <c r="F18" i="88"/>
  <c r="F47" i="88"/>
  <c r="F37" i="88"/>
  <c r="F33" i="88"/>
  <c r="F32" i="88"/>
  <c r="F60" i="88"/>
  <c r="F28" i="88"/>
  <c r="F24" i="88"/>
  <c r="F23" i="88"/>
  <c r="F49" i="88"/>
  <c r="F34" i="88"/>
  <c r="D20" i="88"/>
  <c r="F69" i="88"/>
  <c r="F58" i="88"/>
  <c r="F54" i="88"/>
  <c r="F41" i="88"/>
  <c r="F40" i="88"/>
  <c r="F29" i="88"/>
  <c r="F25" i="88"/>
  <c r="F38" i="88"/>
  <c r="F22" i="88"/>
  <c r="F48" i="88"/>
  <c r="F20" i="88"/>
  <c r="F39" i="88"/>
  <c r="F73" i="88"/>
  <c r="D27" i="82"/>
  <c r="N18" i="85"/>
  <c r="H30" i="85"/>
  <c r="J20" i="79"/>
  <c r="P68" i="79"/>
  <c r="X20" i="79"/>
  <c r="N101" i="76"/>
  <c r="F111" i="84"/>
  <c r="F110" i="84"/>
  <c r="F51" i="84"/>
  <c r="F47" i="84"/>
  <c r="F43" i="84"/>
  <c r="F98" i="84"/>
  <c r="F90" i="84"/>
  <c r="F89" i="84"/>
  <c r="F78" i="84"/>
  <c r="F77" i="84"/>
  <c r="F70" i="84"/>
  <c r="F113" i="84"/>
  <c r="F112" i="84"/>
  <c r="F105" i="84"/>
  <c r="F65" i="84"/>
  <c r="F61" i="84"/>
  <c r="F92" i="84"/>
  <c r="F91" i="84"/>
  <c r="F80" i="84"/>
  <c r="F79" i="84"/>
  <c r="F52" i="84"/>
  <c r="F48" i="84"/>
  <c r="F44" i="84"/>
  <c r="F40" i="84"/>
  <c r="F39" i="84"/>
  <c r="F99" i="84"/>
  <c r="F71" i="84"/>
  <c r="F115" i="84"/>
  <c r="F106" i="84"/>
  <c r="F94" i="84"/>
  <c r="F93" i="84"/>
  <c r="F82" i="84"/>
  <c r="F81" i="84"/>
  <c r="F66" i="84"/>
  <c r="F62" i="84"/>
  <c r="F119" i="84"/>
  <c r="F101" i="84"/>
  <c r="F100" i="84"/>
  <c r="F53" i="84"/>
  <c r="F49" i="84"/>
  <c r="F45" i="84"/>
  <c r="F41" i="84"/>
  <c r="F107" i="84"/>
  <c r="F95" i="84"/>
  <c r="F63" i="84"/>
  <c r="F59" i="84"/>
  <c r="F58" i="84"/>
  <c r="F109" i="84"/>
  <c r="F108" i="84"/>
  <c r="F97" i="84"/>
  <c r="F96" i="84"/>
  <c r="F69" i="84"/>
  <c r="D55" i="84"/>
  <c r="F104" i="84"/>
  <c r="F103" i="84"/>
  <c r="F88" i="84"/>
  <c r="F87" i="84"/>
  <c r="F76" i="84"/>
  <c r="F75" i="84"/>
  <c r="F64" i="84"/>
  <c r="F60" i="84"/>
  <c r="F73" i="84"/>
  <c r="L12" i="84"/>
  <c r="N12" i="84" s="1"/>
  <c r="F86" i="84"/>
  <c r="F57" i="84"/>
  <c r="F42" i="84"/>
  <c r="F84" i="84"/>
  <c r="F68" i="84"/>
  <c r="F55" i="84"/>
  <c r="F74" i="84"/>
  <c r="F46" i="84"/>
  <c r="F72" i="84"/>
  <c r="F102" i="84"/>
  <c r="F85" i="84"/>
  <c r="F67" i="84"/>
  <c r="F50" i="84"/>
  <c r="F83" i="84"/>
  <c r="R98" i="68"/>
  <c r="R62" i="68"/>
  <c r="R58" i="68"/>
  <c r="R54" i="68"/>
  <c r="R50" i="68"/>
  <c r="R46" i="68"/>
  <c r="R106" i="68"/>
  <c r="R105" i="68"/>
  <c r="R90" i="68"/>
  <c r="R89" i="68"/>
  <c r="R81" i="68"/>
  <c r="R110" i="68"/>
  <c r="R107" i="68"/>
  <c r="R100" i="68"/>
  <c r="R99" i="68"/>
  <c r="R92" i="68"/>
  <c r="R91" i="68"/>
  <c r="R63" i="68"/>
  <c r="R59" i="68"/>
  <c r="R55" i="68"/>
  <c r="R51" i="68"/>
  <c r="R47" i="68"/>
  <c r="R109" i="68"/>
  <c r="R83" i="68"/>
  <c r="R82" i="68"/>
  <c r="R101" i="68"/>
  <c r="R94" i="68"/>
  <c r="R93" i="68"/>
  <c r="R78" i="68"/>
  <c r="R77" i="68"/>
  <c r="R73" i="68"/>
  <c r="R114" i="68"/>
  <c r="R85" i="68"/>
  <c r="R84" i="68"/>
  <c r="R69" i="68"/>
  <c r="R64" i="68"/>
  <c r="R60" i="68"/>
  <c r="R56" i="68"/>
  <c r="R52" i="68"/>
  <c r="R48" i="68"/>
  <c r="R95" i="68"/>
  <c r="R79" i="68"/>
  <c r="R68" i="68"/>
  <c r="R66" i="68"/>
  <c r="R44" i="68"/>
  <c r="R97" i="68"/>
  <c r="R96" i="68"/>
  <c r="R88" i="68"/>
  <c r="R80" i="68"/>
  <c r="X12" i="68"/>
  <c r="Z12" i="68" s="1"/>
  <c r="R104" i="68"/>
  <c r="R103" i="68"/>
  <c r="R75" i="68"/>
  <c r="R71" i="68"/>
  <c r="R76" i="68"/>
  <c r="R86" i="68"/>
  <c r="R49" i="68"/>
  <c r="P66" i="68"/>
  <c r="R53" i="68"/>
  <c r="R102" i="68"/>
  <c r="R87" i="68"/>
  <c r="R57" i="68"/>
  <c r="R70" i="68"/>
  <c r="R74" i="68"/>
  <c r="R72" i="68"/>
  <c r="R61" i="68"/>
  <c r="R45" i="68"/>
  <c r="T68" i="69"/>
  <c r="Z16" i="58"/>
  <c r="T71" i="58"/>
  <c r="H65" i="59"/>
  <c r="X60" i="48"/>
  <c r="Z60" i="48" s="1"/>
  <c r="R60" i="48"/>
  <c r="F107" i="27"/>
  <c r="F91" i="27"/>
  <c r="F83" i="27"/>
  <c r="F82" i="27"/>
  <c r="F71" i="27"/>
  <c r="F67" i="27"/>
  <c r="F116" i="27"/>
  <c r="F111" i="27"/>
  <c r="F110" i="27"/>
  <c r="F103" i="27"/>
  <c r="F114" i="27"/>
  <c r="F97" i="27"/>
  <c r="F96" i="27"/>
  <c r="F69" i="27"/>
  <c r="F65" i="27"/>
  <c r="F113" i="27"/>
  <c r="F104" i="27"/>
  <c r="F88" i="27"/>
  <c r="F87" i="27"/>
  <c r="F81" i="27"/>
  <c r="F80" i="27"/>
  <c r="F100" i="27"/>
  <c r="F99" i="27"/>
  <c r="F76" i="27"/>
  <c r="F85" i="27"/>
  <c r="F55" i="27"/>
  <c r="F47" i="27"/>
  <c r="F105" i="27"/>
  <c r="F89" i="27"/>
  <c r="F64" i="27"/>
  <c r="F58" i="27"/>
  <c r="F50" i="27"/>
  <c r="F120" i="27"/>
  <c r="F101" i="27"/>
  <c r="F98" i="27"/>
  <c r="F95" i="27"/>
  <c r="F92" i="27"/>
  <c r="F86" i="27"/>
  <c r="F77" i="27"/>
  <c r="F75" i="27"/>
  <c r="F53" i="27"/>
  <c r="F45" i="27"/>
  <c r="F108" i="27"/>
  <c r="F56" i="27"/>
  <c r="F48" i="27"/>
  <c r="F90" i="27"/>
  <c r="F72" i="27"/>
  <c r="F106" i="27"/>
  <c r="F93" i="27"/>
  <c r="F51" i="27"/>
  <c r="F94" i="27"/>
  <c r="F63" i="27"/>
  <c r="F52" i="27"/>
  <c r="F44" i="27"/>
  <c r="F43" i="27"/>
  <c r="F115" i="27"/>
  <c r="F79" i="27"/>
  <c r="F74" i="27"/>
  <c r="F66" i="27"/>
  <c r="F84" i="27"/>
  <c r="F78" i="27"/>
  <c r="F68" i="27"/>
  <c r="F73" i="27"/>
  <c r="F70" i="27"/>
  <c r="F102" i="27"/>
  <c r="L12" i="27"/>
  <c r="N12" i="27" s="1"/>
  <c r="F109" i="27"/>
  <c r="F57" i="27"/>
  <c r="F49" i="27"/>
  <c r="F54" i="27"/>
  <c r="F46" i="27"/>
  <c r="F62" i="27"/>
  <c r="D60" i="27"/>
  <c r="V286" i="18"/>
  <c r="V268" i="18"/>
  <c r="V260" i="18"/>
  <c r="V256" i="18"/>
  <c r="V244" i="18"/>
  <c r="V228" i="18"/>
  <c r="V180" i="18"/>
  <c r="V176" i="18"/>
  <c r="V172" i="18"/>
  <c r="V168" i="18"/>
  <c r="V164" i="18"/>
  <c r="V160" i="18"/>
  <c r="V156" i="18"/>
  <c r="V152" i="18"/>
  <c r="V148" i="18"/>
  <c r="V144" i="18"/>
  <c r="V140" i="18"/>
  <c r="V136" i="18"/>
  <c r="V132" i="18"/>
  <c r="V128" i="18"/>
  <c r="V285" i="18"/>
  <c r="V267" i="18"/>
  <c r="V239" i="18"/>
  <c r="V227" i="18"/>
  <c r="V219" i="18"/>
  <c r="V211" i="18"/>
  <c r="V203" i="18"/>
  <c r="V199" i="18"/>
  <c r="V284" i="18"/>
  <c r="V250" i="18"/>
  <c r="V230" i="18"/>
  <c r="V218" i="18"/>
  <c r="V210" i="18"/>
  <c r="V194" i="18"/>
  <c r="V190" i="18"/>
  <c r="V291" i="18"/>
  <c r="V283" i="18"/>
  <c r="V269" i="18"/>
  <c r="V261" i="18"/>
  <c r="V257" i="18"/>
  <c r="V245" i="18"/>
  <c r="V229" i="18"/>
  <c r="V221" i="18"/>
  <c r="V213" i="18"/>
  <c r="V181" i="18"/>
  <c r="V177" i="18"/>
  <c r="V173" i="18"/>
  <c r="V169" i="18"/>
  <c r="V165" i="18"/>
  <c r="V161" i="18"/>
  <c r="V157" i="18"/>
  <c r="V153" i="18"/>
  <c r="V149" i="18"/>
  <c r="V145" i="18"/>
  <c r="V141" i="18"/>
  <c r="V137" i="18"/>
  <c r="V133" i="18"/>
  <c r="V129" i="18"/>
  <c r="V125" i="18"/>
  <c r="V282" i="18"/>
  <c r="V252" i="18"/>
  <c r="V240" i="18"/>
  <c r="V232" i="18"/>
  <c r="V220" i="18"/>
  <c r="V212" i="18"/>
  <c r="V204" i="18"/>
  <c r="V200" i="18"/>
  <c r="V281" i="18"/>
  <c r="V263" i="18"/>
  <c r="V251" i="18"/>
  <c r="V247" i="18"/>
  <c r="V231" i="18"/>
  <c r="V223" i="18"/>
  <c r="V195" i="18"/>
  <c r="V191" i="18"/>
  <c r="V187" i="18"/>
  <c r="V280" i="18"/>
  <c r="V270" i="18"/>
  <c r="V262" i="18"/>
  <c r="V258" i="18"/>
  <c r="V246" i="18"/>
  <c r="V234" i="18"/>
  <c r="V222" i="18"/>
  <c r="V214" i="18"/>
  <c r="V206" i="18"/>
  <c r="V186" i="18"/>
  <c r="V182" i="18"/>
  <c r="V178" i="18"/>
  <c r="V174" i="18"/>
  <c r="V170" i="18"/>
  <c r="V166" i="18"/>
  <c r="V162" i="18"/>
  <c r="V158" i="18"/>
  <c r="V154" i="18"/>
  <c r="V150" i="18"/>
  <c r="V146" i="18"/>
  <c r="V142" i="18"/>
  <c r="V138" i="18"/>
  <c r="V134" i="18"/>
  <c r="V130" i="18"/>
  <c r="V126" i="18"/>
  <c r="V278" i="18"/>
  <c r="V272" i="18"/>
  <c r="V264" i="18"/>
  <c r="V248" i="18"/>
  <c r="V236" i="18"/>
  <c r="V224" i="18"/>
  <c r="V216" i="18"/>
  <c r="V208" i="18"/>
  <c r="V196" i="18"/>
  <c r="V192" i="18"/>
  <c r="V188" i="18"/>
  <c r="V276" i="18"/>
  <c r="V266" i="18"/>
  <c r="V254" i="18"/>
  <c r="V242" i="18"/>
  <c r="V238" i="18"/>
  <c r="V226" i="18"/>
  <c r="V202" i="18"/>
  <c r="V198" i="18"/>
  <c r="V287" i="18"/>
  <c r="V275" i="18"/>
  <c r="V273" i="18"/>
  <c r="V265" i="18"/>
  <c r="V249" i="18"/>
  <c r="V237" i="18"/>
  <c r="V217" i="18"/>
  <c r="V209" i="18"/>
  <c r="V197" i="18"/>
  <c r="V193" i="18"/>
  <c r="V189" i="18"/>
  <c r="V235" i="18"/>
  <c r="V205" i="18"/>
  <c r="V279" i="18"/>
  <c r="V255" i="18"/>
  <c r="V207" i="18"/>
  <c r="V131" i="18"/>
  <c r="V253" i="18"/>
  <c r="V225" i="18"/>
  <c r="V151" i="18"/>
  <c r="V143" i="18"/>
  <c r="V277" i="18"/>
  <c r="V215" i="18"/>
  <c r="V175" i="18"/>
  <c r="V163" i="18"/>
  <c r="V135" i="18"/>
  <c r="V243" i="18"/>
  <c r="V241" i="18"/>
  <c r="V271" i="18"/>
  <c r="V259" i="18"/>
  <c r="V201" i="18"/>
  <c r="V179" i="18"/>
  <c r="V167" i="18"/>
  <c r="V155" i="18"/>
  <c r="V147" i="18"/>
  <c r="V127" i="18"/>
  <c r="V233" i="18"/>
  <c r="T184" i="18"/>
  <c r="V171" i="18"/>
  <c r="V159" i="18"/>
  <c r="V139" i="18"/>
  <c r="T261" i="15"/>
  <c r="X258" i="12"/>
  <c r="Z258" i="12" s="1"/>
  <c r="J258" i="12"/>
  <c r="D27" i="53"/>
  <c r="L18" i="53"/>
  <c r="T27" i="49"/>
  <c r="Z18" i="49"/>
  <c r="D27" i="43"/>
  <c r="L18" i="43"/>
  <c r="T27" i="22"/>
  <c r="Z18" i="22"/>
  <c r="L18" i="14"/>
  <c r="D27" i="14"/>
  <c r="L18" i="5"/>
  <c r="D27" i="5"/>
  <c r="D27" i="4"/>
  <c r="L18" i="4"/>
  <c r="X18" i="10"/>
  <c r="P27" i="10"/>
  <c r="X18" i="7"/>
  <c r="P27" i="7"/>
  <c r="H27" i="7"/>
  <c r="N18" i="7"/>
  <c r="D89" i="105"/>
  <c r="P46" i="102"/>
  <c r="X16" i="102"/>
  <c r="F19" i="98"/>
  <c r="V74" i="97"/>
  <c r="V70" i="97"/>
  <c r="V58" i="97"/>
  <c r="V50" i="97"/>
  <c r="V38" i="97"/>
  <c r="V34" i="97"/>
  <c r="V77" i="97"/>
  <c r="V65" i="97"/>
  <c r="V49" i="97"/>
  <c r="V41" i="97"/>
  <c r="V29" i="97"/>
  <c r="V25" i="97"/>
  <c r="V76" i="97"/>
  <c r="V64" i="97"/>
  <c r="V52" i="97"/>
  <c r="V40" i="97"/>
  <c r="V16" i="97"/>
  <c r="V81" i="97"/>
  <c r="V71" i="97"/>
  <c r="V59" i="97"/>
  <c r="V51" i="97"/>
  <c r="V43" i="97"/>
  <c r="V35" i="97"/>
  <c r="V80" i="97"/>
  <c r="V78" i="97"/>
  <c r="V66" i="97"/>
  <c r="V54" i="97"/>
  <c r="V42" i="97"/>
  <c r="V30" i="97"/>
  <c r="V26" i="97"/>
  <c r="V61" i="97"/>
  <c r="V53" i="97"/>
  <c r="V45" i="97"/>
  <c r="V17" i="97"/>
  <c r="V72" i="97"/>
  <c r="V68" i="97"/>
  <c r="V60" i="97"/>
  <c r="V44" i="97"/>
  <c r="V36" i="97"/>
  <c r="V32" i="97"/>
  <c r="Z12" i="97"/>
  <c r="V85" i="97"/>
  <c r="V67" i="97"/>
  <c r="V55" i="97"/>
  <c r="V31" i="97"/>
  <c r="V27" i="97"/>
  <c r="V23" i="97"/>
  <c r="V62" i="97"/>
  <c r="V46" i="97"/>
  <c r="V22" i="97"/>
  <c r="V20" i="97"/>
  <c r="V18" i="97"/>
  <c r="V56" i="97"/>
  <c r="V48" i="97"/>
  <c r="V28" i="97"/>
  <c r="V24" i="97"/>
  <c r="V75" i="97"/>
  <c r="V63" i="97"/>
  <c r="V47" i="97"/>
  <c r="V39" i="97"/>
  <c r="T20" i="97"/>
  <c r="V73" i="97"/>
  <c r="V57" i="97"/>
  <c r="V69" i="97"/>
  <c r="V33" i="97"/>
  <c r="V37" i="97"/>
  <c r="P69" i="80"/>
  <c r="X20" i="80"/>
  <c r="J74" i="83"/>
  <c r="J62" i="83"/>
  <c r="J54" i="83"/>
  <c r="J75" i="83"/>
  <c r="J69" i="83"/>
  <c r="J55" i="83"/>
  <c r="J45" i="83"/>
  <c r="J63" i="83"/>
  <c r="J57" i="83"/>
  <c r="J47" i="83"/>
  <c r="J37" i="83"/>
  <c r="J33" i="83"/>
  <c r="J23" i="83"/>
  <c r="J82" i="83"/>
  <c r="J64" i="83"/>
  <c r="J66" i="83"/>
  <c r="J50" i="83"/>
  <c r="J40" i="83"/>
  <c r="J34" i="83"/>
  <c r="J73" i="83"/>
  <c r="J61" i="83"/>
  <c r="J53" i="83"/>
  <c r="J43" i="83"/>
  <c r="J35" i="83"/>
  <c r="J72" i="83"/>
  <c r="J70" i="83"/>
  <c r="J51" i="83"/>
  <c r="J25" i="83"/>
  <c r="J17" i="83"/>
  <c r="J59" i="83"/>
  <c r="J29" i="83"/>
  <c r="N12" i="83"/>
  <c r="J48" i="83"/>
  <c r="J41" i="83"/>
  <c r="J78" i="83"/>
  <c r="J68" i="83"/>
  <c r="J49" i="83"/>
  <c r="J42" i="83"/>
  <c r="J38" i="83"/>
  <c r="J26" i="83"/>
  <c r="J18" i="83"/>
  <c r="J52" i="83"/>
  <c r="J30" i="83"/>
  <c r="J71" i="83"/>
  <c r="J36" i="83"/>
  <c r="J58" i="83"/>
  <c r="J27" i="83"/>
  <c r="J22" i="83"/>
  <c r="H20" i="83"/>
  <c r="J20" i="83" s="1"/>
  <c r="J60" i="83"/>
  <c r="J46" i="83"/>
  <c r="J39" i="83"/>
  <c r="J31" i="83"/>
  <c r="J44" i="83"/>
  <c r="J28" i="83"/>
  <c r="J32" i="83"/>
  <c r="J16" i="83"/>
  <c r="J67" i="83"/>
  <c r="J76" i="83"/>
  <c r="J56" i="83"/>
  <c r="J65" i="83"/>
  <c r="J24" i="83"/>
  <c r="L12" i="78"/>
  <c r="H21" i="82"/>
  <c r="J29" i="82"/>
  <c r="N12" i="82"/>
  <c r="J17" i="82"/>
  <c r="J18" i="82"/>
  <c r="J25" i="82"/>
  <c r="J23" i="82"/>
  <c r="J21" i="82"/>
  <c r="J19" i="82"/>
  <c r="R48" i="78"/>
  <c r="R47" i="78"/>
  <c r="R19" i="78"/>
  <c r="R39" i="78"/>
  <c r="R38" i="78"/>
  <c r="R41" i="78"/>
  <c r="R40" i="78"/>
  <c r="R51" i="78"/>
  <c r="R63" i="78"/>
  <c r="R61" i="78"/>
  <c r="R43" i="78"/>
  <c r="R42" i="78"/>
  <c r="R35" i="78"/>
  <c r="R34" i="78"/>
  <c r="R30" i="78"/>
  <c r="R60" i="78"/>
  <c r="R21" i="78"/>
  <c r="R59" i="78"/>
  <c r="R53" i="78"/>
  <c r="R52" i="78"/>
  <c r="R65" i="78"/>
  <c r="R58" i="78"/>
  <c r="R31" i="78"/>
  <c r="R56" i="78"/>
  <c r="R46" i="78"/>
  <c r="R45" i="78"/>
  <c r="R37" i="78"/>
  <c r="R26" i="78"/>
  <c r="R24" i="78"/>
  <c r="R32" i="78"/>
  <c r="R28" i="78"/>
  <c r="P24" i="78"/>
  <c r="R70" i="78"/>
  <c r="R33" i="78"/>
  <c r="R22" i="78"/>
  <c r="R20" i="78"/>
  <c r="R18" i="78"/>
  <c r="R54" i="78"/>
  <c r="R67" i="78"/>
  <c r="R49" i="78"/>
  <c r="R36" i="78"/>
  <c r="R57" i="78"/>
  <c r="R17" i="78"/>
  <c r="R27" i="78"/>
  <c r="R44" i="78"/>
  <c r="R50" i="78"/>
  <c r="X12" i="78"/>
  <c r="Z12" i="78" s="1"/>
  <c r="R29" i="78"/>
  <c r="F78" i="75"/>
  <c r="F45" i="75"/>
  <c r="F44" i="75"/>
  <c r="F82" i="75"/>
  <c r="F77" i="75"/>
  <c r="F68" i="75"/>
  <c r="F64" i="75"/>
  <c r="F63" i="75"/>
  <c r="F56" i="75"/>
  <c r="F55" i="75"/>
  <c r="L12" i="75"/>
  <c r="N12" i="75" s="1"/>
  <c r="F47" i="75"/>
  <c r="F46" i="75"/>
  <c r="F39" i="75"/>
  <c r="F35" i="75"/>
  <c r="F58" i="75"/>
  <c r="F57" i="75"/>
  <c r="F69" i="75"/>
  <c r="F65" i="75"/>
  <c r="F49" i="75"/>
  <c r="F48" i="75"/>
  <c r="F41" i="75"/>
  <c r="F40" i="75"/>
  <c r="F36" i="75"/>
  <c r="F32" i="75"/>
  <c r="F31" i="75"/>
  <c r="F71" i="75"/>
  <c r="F70" i="75"/>
  <c r="F59" i="75"/>
  <c r="F51" i="75"/>
  <c r="F50" i="75"/>
  <c r="F30" i="75"/>
  <c r="F26" i="75"/>
  <c r="F66" i="75"/>
  <c r="F42" i="75"/>
  <c r="D28" i="75"/>
  <c r="F73" i="75"/>
  <c r="F72" i="75"/>
  <c r="F53" i="75"/>
  <c r="F52" i="75"/>
  <c r="F37" i="75"/>
  <c r="F33" i="75"/>
  <c r="F75" i="75"/>
  <c r="F74" i="75"/>
  <c r="F67" i="75"/>
  <c r="F43" i="75"/>
  <c r="F62" i="75"/>
  <c r="F61" i="75"/>
  <c r="F54" i="75"/>
  <c r="F38" i="75"/>
  <c r="F34" i="75"/>
  <c r="F60" i="75"/>
  <c r="J134" i="74"/>
  <c r="J128" i="74"/>
  <c r="J114" i="74"/>
  <c r="J106" i="74"/>
  <c r="J98" i="74"/>
  <c r="J92" i="74"/>
  <c r="J121" i="74"/>
  <c r="J109" i="74"/>
  <c r="J122" i="74"/>
  <c r="J116" i="74"/>
  <c r="J100" i="74"/>
  <c r="J88" i="74"/>
  <c r="J84" i="74"/>
  <c r="J123" i="74"/>
  <c r="J101" i="74"/>
  <c r="J89" i="74"/>
  <c r="J75" i="74"/>
  <c r="J71" i="74"/>
  <c r="J67" i="74"/>
  <c r="J63" i="74"/>
  <c r="J59" i="74"/>
  <c r="J55" i="74"/>
  <c r="J124" i="74"/>
  <c r="J110" i="74"/>
  <c r="J102" i="74"/>
  <c r="J94" i="74"/>
  <c r="J90" i="74"/>
  <c r="J80" i="74"/>
  <c r="J125" i="74"/>
  <c r="J117" i="74"/>
  <c r="J111" i="74"/>
  <c r="J103" i="74"/>
  <c r="J112" i="74"/>
  <c r="J104" i="74"/>
  <c r="H77" i="74"/>
  <c r="J72" i="74"/>
  <c r="J68" i="74"/>
  <c r="J64" i="74"/>
  <c r="J60" i="74"/>
  <c r="J56" i="74"/>
  <c r="J130" i="74"/>
  <c r="J126" i="74"/>
  <c r="J118" i="74"/>
  <c r="J96" i="74"/>
  <c r="J86" i="74"/>
  <c r="J82" i="74"/>
  <c r="J129" i="74"/>
  <c r="J113" i="74"/>
  <c r="J105" i="74"/>
  <c r="J97" i="74"/>
  <c r="J73" i="74"/>
  <c r="J69" i="74"/>
  <c r="J65" i="74"/>
  <c r="J61" i="74"/>
  <c r="J57" i="74"/>
  <c r="J53" i="74"/>
  <c r="J119" i="74"/>
  <c r="J115" i="74"/>
  <c r="J87" i="74"/>
  <c r="J66" i="74"/>
  <c r="J107" i="74"/>
  <c r="J85" i="74"/>
  <c r="J83" i="74"/>
  <c r="J62" i="74"/>
  <c r="N12" i="74"/>
  <c r="J120" i="74"/>
  <c r="J81" i="74"/>
  <c r="J79" i="74"/>
  <c r="J58" i="74"/>
  <c r="J108" i="74"/>
  <c r="J99" i="74"/>
  <c r="J54" i="74"/>
  <c r="J95" i="74"/>
  <c r="J70" i="74"/>
  <c r="J52" i="74"/>
  <c r="J91" i="74"/>
  <c r="J93" i="74"/>
  <c r="J74" i="74"/>
  <c r="D72" i="72"/>
  <c r="L23" i="72"/>
  <c r="N23" i="72" s="1"/>
  <c r="Z23" i="72"/>
  <c r="T72" i="72"/>
  <c r="H58" i="67"/>
  <c r="N16" i="67"/>
  <c r="D71" i="58"/>
  <c r="L16" i="58"/>
  <c r="V20" i="69"/>
  <c r="P26" i="54"/>
  <c r="X22" i="54"/>
  <c r="D67" i="48"/>
  <c r="H122" i="36"/>
  <c r="V98" i="33"/>
  <c r="V90" i="33"/>
  <c r="V84" i="33"/>
  <c r="V72" i="33"/>
  <c r="V64" i="33"/>
  <c r="V52" i="33"/>
  <c r="V48" i="33"/>
  <c r="V89" i="33"/>
  <c r="V71" i="33"/>
  <c r="V63" i="33"/>
  <c r="V55" i="33"/>
  <c r="V47" i="33"/>
  <c r="V43" i="33"/>
  <c r="V39" i="33"/>
  <c r="V88" i="33"/>
  <c r="V86" i="33"/>
  <c r="V78" i="33"/>
  <c r="V74" i="33"/>
  <c r="V66" i="33"/>
  <c r="V54" i="33"/>
  <c r="V38" i="33"/>
  <c r="V36" i="33"/>
  <c r="V73" i="33"/>
  <c r="V65" i="33"/>
  <c r="V57" i="33"/>
  <c r="V49" i="33"/>
  <c r="V79" i="33"/>
  <c r="V75" i="33"/>
  <c r="V67" i="33"/>
  <c r="V59" i="33"/>
  <c r="V31" i="33"/>
  <c r="V58" i="33"/>
  <c r="V50" i="33"/>
  <c r="V81" i="33"/>
  <c r="V69" i="33"/>
  <c r="V61" i="33"/>
  <c r="V45" i="33"/>
  <c r="V41" i="33"/>
  <c r="V94" i="33"/>
  <c r="V80" i="33"/>
  <c r="V76" i="33"/>
  <c r="V60" i="33"/>
  <c r="V32" i="33"/>
  <c r="V92" i="33"/>
  <c r="V82" i="33"/>
  <c r="V70" i="33"/>
  <c r="V62" i="33"/>
  <c r="V91" i="33"/>
  <c r="V85" i="33"/>
  <c r="V77" i="33"/>
  <c r="V53" i="33"/>
  <c r="V33" i="33"/>
  <c r="V83" i="33"/>
  <c r="V34" i="33"/>
  <c r="Z12" i="33"/>
  <c r="V56" i="33"/>
  <c r="V40" i="33"/>
  <c r="V30" i="33"/>
  <c r="V42" i="33"/>
  <c r="V68" i="33"/>
  <c r="V93" i="33"/>
  <c r="V44" i="33"/>
  <c r="T36" i="33"/>
  <c r="V51" i="33"/>
  <c r="V46" i="33"/>
  <c r="V29" i="33"/>
  <c r="X113" i="27"/>
  <c r="Z113" i="27" s="1"/>
  <c r="F265" i="12"/>
  <c r="F236" i="12"/>
  <c r="F235" i="12"/>
  <c r="F224" i="12"/>
  <c r="F160" i="12"/>
  <c r="F156" i="12"/>
  <c r="F152" i="12"/>
  <c r="F148" i="12"/>
  <c r="F144" i="12"/>
  <c r="F140" i="12"/>
  <c r="F136" i="12"/>
  <c r="F132" i="12"/>
  <c r="F128" i="12"/>
  <c r="F124" i="12"/>
  <c r="F120" i="12"/>
  <c r="F116" i="12"/>
  <c r="F112" i="12"/>
  <c r="F264" i="12"/>
  <c r="F247" i="12"/>
  <c r="F246" i="12"/>
  <c r="F231" i="12"/>
  <c r="F219" i="12"/>
  <c r="F218" i="12"/>
  <c r="F207" i="12"/>
  <c r="F183" i="12"/>
  <c r="F179" i="12"/>
  <c r="F178" i="12"/>
  <c r="F262" i="12"/>
  <c r="F237" i="12"/>
  <c r="F221" i="12"/>
  <c r="F220" i="12"/>
  <c r="F209" i="12"/>
  <c r="F208" i="12"/>
  <c r="F161" i="12"/>
  <c r="F157" i="12"/>
  <c r="F153" i="12"/>
  <c r="F149" i="12"/>
  <c r="F145" i="12"/>
  <c r="F141" i="12"/>
  <c r="F137" i="12"/>
  <c r="F133" i="12"/>
  <c r="F129" i="12"/>
  <c r="F125" i="12"/>
  <c r="F121" i="12"/>
  <c r="F117" i="12"/>
  <c r="F113" i="12"/>
  <c r="F261" i="12"/>
  <c r="F256" i="12"/>
  <c r="F255" i="12"/>
  <c r="F248" i="12"/>
  <c r="F232" i="12"/>
  <c r="F200" i="12"/>
  <c r="F199" i="12"/>
  <c r="F192" i="12"/>
  <c r="F191" i="12"/>
  <c r="F184" i="12"/>
  <c r="F180" i="12"/>
  <c r="F260" i="12"/>
  <c r="F243" i="12"/>
  <c r="F239" i="12"/>
  <c r="F238" i="12"/>
  <c r="F227" i="12"/>
  <c r="F211" i="12"/>
  <c r="F210" i="12"/>
  <c r="F175" i="12"/>
  <c r="F171" i="12"/>
  <c r="F259" i="12"/>
  <c r="F250" i="12"/>
  <c r="F249" i="12"/>
  <c r="F222" i="12"/>
  <c r="F202" i="12"/>
  <c r="F201" i="12"/>
  <c r="F194" i="12"/>
  <c r="F193" i="12"/>
  <c r="F162" i="12"/>
  <c r="F158" i="12"/>
  <c r="F154" i="12"/>
  <c r="F150" i="12"/>
  <c r="F146" i="12"/>
  <c r="F142" i="12"/>
  <c r="F138" i="12"/>
  <c r="F134" i="12"/>
  <c r="F130" i="12"/>
  <c r="F126" i="12"/>
  <c r="F122" i="12"/>
  <c r="F118" i="12"/>
  <c r="F114" i="12"/>
  <c r="F258" i="12"/>
  <c r="F233" i="12"/>
  <c r="F213" i="12"/>
  <c r="F212" i="12"/>
  <c r="F252" i="12"/>
  <c r="F251" i="12"/>
  <c r="F244" i="12"/>
  <c r="F240" i="12"/>
  <c r="F228" i="12"/>
  <c r="F204" i="12"/>
  <c r="F203" i="12"/>
  <c r="F176" i="12"/>
  <c r="F172" i="12"/>
  <c r="F168" i="12"/>
  <c r="F167" i="12"/>
  <c r="F267" i="12"/>
  <c r="F234" i="12"/>
  <c r="F230" i="12"/>
  <c r="F229" i="12"/>
  <c r="F206" i="12"/>
  <c r="F205" i="12"/>
  <c r="F182" i="12"/>
  <c r="D164" i="12"/>
  <c r="F271" i="12"/>
  <c r="F266" i="12"/>
  <c r="F253" i="12"/>
  <c r="F245" i="12"/>
  <c r="F241" i="12"/>
  <c r="F217" i="12"/>
  <c r="F216" i="12"/>
  <c r="F197" i="12"/>
  <c r="F196" i="12"/>
  <c r="F189" i="12"/>
  <c r="F188" i="12"/>
  <c r="F177" i="12"/>
  <c r="F173" i="12"/>
  <c r="F169" i="12"/>
  <c r="F223" i="12"/>
  <c r="F181" i="12"/>
  <c r="F225" i="12"/>
  <c r="F214" i="12"/>
  <c r="F115" i="12"/>
  <c r="F174" i="12"/>
  <c r="F164" i="12"/>
  <c r="F151" i="12"/>
  <c r="F135" i="12"/>
  <c r="F119" i="12"/>
  <c r="F195" i="12"/>
  <c r="F187" i="12"/>
  <c r="F185" i="12"/>
  <c r="F139" i="12"/>
  <c r="F123" i="12"/>
  <c r="F254" i="12"/>
  <c r="F226" i="12"/>
  <c r="F215" i="12"/>
  <c r="F166" i="12"/>
  <c r="F143" i="12"/>
  <c r="F127" i="12"/>
  <c r="F159" i="12"/>
  <c r="F170" i="12"/>
  <c r="F147" i="12"/>
  <c r="F131" i="12"/>
  <c r="F111" i="12"/>
  <c r="F242" i="12"/>
  <c r="F198" i="12"/>
  <c r="F110" i="12"/>
  <c r="F186" i="12"/>
  <c r="F190" i="12"/>
  <c r="F155" i="12"/>
  <c r="L12" i="12"/>
  <c r="N12" i="12" s="1"/>
  <c r="F263" i="12"/>
  <c r="Z196" i="3"/>
  <c r="T311" i="3"/>
  <c r="H27" i="110"/>
  <c r="N18" i="110"/>
  <c r="L18" i="110"/>
  <c r="D27" i="110"/>
  <c r="L18" i="112"/>
  <c r="D27" i="112"/>
  <c r="T27" i="52"/>
  <c r="Z18" i="52"/>
  <c r="H27" i="46"/>
  <c r="N18" i="46"/>
  <c r="P27" i="50"/>
  <c r="X18" i="50"/>
  <c r="H27" i="44"/>
  <c r="N18" i="44"/>
  <c r="H27" i="41"/>
  <c r="N18" i="41"/>
  <c r="X18" i="37"/>
  <c r="P27" i="37"/>
  <c r="X18" i="19"/>
  <c r="P27" i="19"/>
  <c r="T27" i="14"/>
  <c r="Z18" i="14"/>
  <c r="T63" i="109"/>
  <c r="N17" i="109"/>
  <c r="H63" i="109"/>
  <c r="R80" i="105"/>
  <c r="R79" i="105"/>
  <c r="R75" i="105"/>
  <c r="R71" i="105"/>
  <c r="R82" i="105"/>
  <c r="R81" i="105"/>
  <c r="R65" i="105"/>
  <c r="R84" i="105"/>
  <c r="R83" i="105"/>
  <c r="R85" i="105"/>
  <c r="R77" i="105"/>
  <c r="R73" i="105"/>
  <c r="R61" i="105"/>
  <c r="R87" i="105"/>
  <c r="R53" i="105"/>
  <c r="R52" i="105"/>
  <c r="R68" i="105"/>
  <c r="R67" i="105"/>
  <c r="R91" i="105"/>
  <c r="R70" i="105"/>
  <c r="R69" i="105"/>
  <c r="R59" i="105"/>
  <c r="R51" i="105"/>
  <c r="R50" i="105"/>
  <c r="R41" i="105"/>
  <c r="R40" i="105"/>
  <c r="R36" i="105"/>
  <c r="R17" i="105"/>
  <c r="X12" i="105"/>
  <c r="Z12" i="105" s="1"/>
  <c r="R31" i="105"/>
  <c r="R27" i="105"/>
  <c r="R43" i="105"/>
  <c r="R42" i="105"/>
  <c r="R18" i="105"/>
  <c r="R57" i="105"/>
  <c r="R56" i="105"/>
  <c r="R37" i="105"/>
  <c r="R64" i="105"/>
  <c r="R45" i="105"/>
  <c r="R44" i="105"/>
  <c r="R32" i="105"/>
  <c r="R28" i="105"/>
  <c r="R72" i="105"/>
  <c r="R66" i="105"/>
  <c r="R60" i="105"/>
  <c r="R24" i="105"/>
  <c r="R19" i="105"/>
  <c r="R74" i="105"/>
  <c r="R62" i="105"/>
  <c r="R47" i="105"/>
  <c r="R46" i="105"/>
  <c r="R38" i="105"/>
  <c r="R23" i="105"/>
  <c r="R21" i="105"/>
  <c r="R78" i="105"/>
  <c r="R76" i="105"/>
  <c r="R34" i="105"/>
  <c r="R33" i="105"/>
  <c r="R29" i="105"/>
  <c r="R25" i="105"/>
  <c r="P21" i="105"/>
  <c r="R49" i="105"/>
  <c r="R39" i="105"/>
  <c r="R35" i="105"/>
  <c r="R63" i="105"/>
  <c r="R55" i="105"/>
  <c r="R30" i="105"/>
  <c r="R26" i="105"/>
  <c r="R48" i="105"/>
  <c r="R54" i="105"/>
  <c r="R58" i="105"/>
  <c r="J78" i="105"/>
  <c r="J74" i="105"/>
  <c r="J68" i="105"/>
  <c r="J62" i="105"/>
  <c r="J54" i="105"/>
  <c r="J91" i="105"/>
  <c r="J69" i="105"/>
  <c r="J63" i="105"/>
  <c r="J70" i="105"/>
  <c r="J64" i="105"/>
  <c r="J80" i="105"/>
  <c r="J58" i="105"/>
  <c r="J82" i="105"/>
  <c r="J76" i="105"/>
  <c r="J72" i="105"/>
  <c r="J60" i="105"/>
  <c r="J83" i="105"/>
  <c r="J84" i="105"/>
  <c r="J66" i="105"/>
  <c r="J85" i="105"/>
  <c r="J48" i="105"/>
  <c r="J34" i="105"/>
  <c r="H21" i="105"/>
  <c r="J21" i="105" s="1"/>
  <c r="J49" i="105"/>
  <c r="J39" i="105"/>
  <c r="J35" i="105"/>
  <c r="J73" i="105"/>
  <c r="J65" i="105"/>
  <c r="J55" i="105"/>
  <c r="J30" i="105"/>
  <c r="J26" i="105"/>
  <c r="J81" i="105"/>
  <c r="J71" i="105"/>
  <c r="J67" i="105"/>
  <c r="J61" i="105"/>
  <c r="J50" i="105"/>
  <c r="J75" i="105"/>
  <c r="J59" i="105"/>
  <c r="J40" i="105"/>
  <c r="J36" i="105"/>
  <c r="N12" i="105"/>
  <c r="J79" i="105"/>
  <c r="J77" i="105"/>
  <c r="J51" i="105"/>
  <c r="J41" i="105"/>
  <c r="J31" i="105"/>
  <c r="J27" i="105"/>
  <c r="J17" i="105"/>
  <c r="J56" i="105"/>
  <c r="J52" i="105"/>
  <c r="J42" i="105"/>
  <c r="J18" i="105"/>
  <c r="J43" i="105"/>
  <c r="J37" i="105"/>
  <c r="J57" i="105"/>
  <c r="J44" i="105"/>
  <c r="J32" i="105"/>
  <c r="J28" i="105"/>
  <c r="J46" i="105"/>
  <c r="J38" i="105"/>
  <c r="J24" i="105"/>
  <c r="J47" i="105"/>
  <c r="J33" i="105"/>
  <c r="J29" i="105"/>
  <c r="J25" i="105"/>
  <c r="J23" i="105"/>
  <c r="J19" i="105"/>
  <c r="J87" i="105"/>
  <c r="J53" i="105"/>
  <c r="J45" i="105"/>
  <c r="X19" i="100"/>
  <c r="P60" i="100"/>
  <c r="P66" i="93"/>
  <c r="X20" i="93"/>
  <c r="J20" i="88"/>
  <c r="J18" i="85"/>
  <c r="R17" i="82"/>
  <c r="X12" i="82"/>
  <c r="Z12" i="82" s="1"/>
  <c r="R18" i="82"/>
  <c r="R19" i="82"/>
  <c r="R25" i="82"/>
  <c r="R23" i="82"/>
  <c r="P21" i="82"/>
  <c r="R29" i="82"/>
  <c r="T69" i="80"/>
  <c r="Z20" i="80"/>
  <c r="V20" i="80"/>
  <c r="R70" i="75"/>
  <c r="R69" i="75"/>
  <c r="R65" i="75"/>
  <c r="R50" i="75"/>
  <c r="R49" i="75"/>
  <c r="R41" i="75"/>
  <c r="R30" i="75"/>
  <c r="R28" i="75"/>
  <c r="R26" i="75"/>
  <c r="R36" i="75"/>
  <c r="R32" i="75"/>
  <c r="P28" i="75"/>
  <c r="R72" i="75"/>
  <c r="R71" i="75"/>
  <c r="R59" i="75"/>
  <c r="R52" i="75"/>
  <c r="R51" i="75"/>
  <c r="R66" i="75"/>
  <c r="R42" i="75"/>
  <c r="R74" i="75"/>
  <c r="R73" i="75"/>
  <c r="R53" i="75"/>
  <c r="R37" i="75"/>
  <c r="R33" i="75"/>
  <c r="R61" i="75"/>
  <c r="R60" i="75"/>
  <c r="R78" i="75"/>
  <c r="R75" i="75"/>
  <c r="R67" i="75"/>
  <c r="R44" i="75"/>
  <c r="R43" i="75"/>
  <c r="R77" i="75"/>
  <c r="R63" i="75"/>
  <c r="R62" i="75"/>
  <c r="R55" i="75"/>
  <c r="R54" i="75"/>
  <c r="R38" i="75"/>
  <c r="R34" i="75"/>
  <c r="R46" i="75"/>
  <c r="R45" i="75"/>
  <c r="R48" i="75"/>
  <c r="R47" i="75"/>
  <c r="R40" i="75"/>
  <c r="R39" i="75"/>
  <c r="R35" i="75"/>
  <c r="R58" i="75"/>
  <c r="R31" i="75"/>
  <c r="R68" i="75"/>
  <c r="X12" i="75"/>
  <c r="Z12" i="75" s="1"/>
  <c r="R56" i="75"/>
  <c r="R64" i="75"/>
  <c r="R57" i="75"/>
  <c r="R82" i="75"/>
  <c r="R119" i="70"/>
  <c r="R112" i="70"/>
  <c r="R86" i="70"/>
  <c r="R85" i="70"/>
  <c r="R77" i="70"/>
  <c r="R73" i="70"/>
  <c r="R42" i="70"/>
  <c r="R96" i="70"/>
  <c r="R68" i="70"/>
  <c r="R64" i="70"/>
  <c r="R79" i="70"/>
  <c r="R78" i="70"/>
  <c r="R74" i="70"/>
  <c r="R105" i="70"/>
  <c r="R98" i="70"/>
  <c r="R97" i="70"/>
  <c r="R89" i="70"/>
  <c r="R69" i="70"/>
  <c r="R65" i="70"/>
  <c r="R81" i="70"/>
  <c r="R80" i="70"/>
  <c r="R56" i="70"/>
  <c r="R52" i="70"/>
  <c r="R48" i="70"/>
  <c r="R44" i="70"/>
  <c r="R100" i="70"/>
  <c r="R99" i="70"/>
  <c r="R75" i="70"/>
  <c r="R107" i="70"/>
  <c r="R106" i="70"/>
  <c r="R91" i="70"/>
  <c r="R90" i="70"/>
  <c r="R82" i="70"/>
  <c r="R70" i="70"/>
  <c r="R66" i="70"/>
  <c r="R101" i="70"/>
  <c r="R62" i="70"/>
  <c r="R57" i="70"/>
  <c r="R53" i="70"/>
  <c r="R49" i="70"/>
  <c r="R45" i="70"/>
  <c r="R114" i="70"/>
  <c r="R84" i="70"/>
  <c r="R83" i="70"/>
  <c r="R72" i="70"/>
  <c r="R71" i="70"/>
  <c r="R67" i="70"/>
  <c r="R63" i="70"/>
  <c r="P59" i="70"/>
  <c r="R88" i="70"/>
  <c r="R94" i="70"/>
  <c r="R47" i="70"/>
  <c r="R115" i="70"/>
  <c r="R104" i="70"/>
  <c r="R102" i="70"/>
  <c r="R59" i="70"/>
  <c r="R110" i="70"/>
  <c r="R92" i="70"/>
  <c r="R76" i="70"/>
  <c r="R51" i="70"/>
  <c r="R113" i="70"/>
  <c r="R46" i="70"/>
  <c r="R108" i="70"/>
  <c r="R95" i="70"/>
  <c r="R55" i="70"/>
  <c r="R93" i="70"/>
  <c r="R87" i="70"/>
  <c r="R109" i="70"/>
  <c r="R43" i="70"/>
  <c r="X12" i="70"/>
  <c r="Z12" i="70" s="1"/>
  <c r="R54" i="70"/>
  <c r="R61" i="70"/>
  <c r="R50" i="70"/>
  <c r="R103" i="70"/>
  <c r="V28" i="75"/>
  <c r="F78" i="73"/>
  <c r="F77" i="73"/>
  <c r="F69" i="73"/>
  <c r="F68" i="73"/>
  <c r="F61" i="73"/>
  <c r="F57" i="73"/>
  <c r="F48" i="73"/>
  <c r="F44" i="73"/>
  <c r="F40" i="73"/>
  <c r="F36" i="73"/>
  <c r="F82" i="73"/>
  <c r="F80" i="73"/>
  <c r="F63" i="73"/>
  <c r="F62" i="73"/>
  <c r="F84" i="73"/>
  <c r="F70" i="73"/>
  <c r="F58" i="73"/>
  <c r="F49" i="73"/>
  <c r="F45" i="73"/>
  <c r="F41" i="73"/>
  <c r="F37" i="73"/>
  <c r="F72" i="73"/>
  <c r="F71" i="73"/>
  <c r="F64" i="73"/>
  <c r="L12" i="73"/>
  <c r="N12" i="73" s="1"/>
  <c r="F89" i="73"/>
  <c r="F86" i="73"/>
  <c r="F59" i="73"/>
  <c r="F55" i="73"/>
  <c r="F54" i="73"/>
  <c r="F74" i="73"/>
  <c r="F73" i="73"/>
  <c r="F53" i="73"/>
  <c r="F51" i="73"/>
  <c r="F46" i="73"/>
  <c r="F42" i="73"/>
  <c r="F38" i="73"/>
  <c r="F76" i="73"/>
  <c r="F75" i="73"/>
  <c r="F60" i="73"/>
  <c r="F56" i="73"/>
  <c r="F67" i="73"/>
  <c r="F43" i="73"/>
  <c r="F35" i="73"/>
  <c r="F65" i="73"/>
  <c r="F39" i="73"/>
  <c r="D51" i="73"/>
  <c r="F66" i="73"/>
  <c r="F34" i="73"/>
  <c r="F47" i="73"/>
  <c r="X16" i="59"/>
  <c r="P61" i="59"/>
  <c r="P62" i="67"/>
  <c r="Z16" i="60"/>
  <c r="T50" i="60"/>
  <c r="T70" i="56"/>
  <c r="Z16" i="56"/>
  <c r="X16" i="56"/>
  <c r="F88" i="45"/>
  <c r="F87" i="45"/>
  <c r="F71" i="45"/>
  <c r="F55" i="45"/>
  <c r="F54" i="45"/>
  <c r="F57" i="45"/>
  <c r="F56" i="45"/>
  <c r="F45" i="45"/>
  <c r="F92" i="45"/>
  <c r="F83" i="45"/>
  <c r="F79" i="45"/>
  <c r="F67" i="45"/>
  <c r="F59" i="45"/>
  <c r="F58" i="45"/>
  <c r="F47" i="45"/>
  <c r="F46" i="45"/>
  <c r="F35" i="45"/>
  <c r="F96" i="45"/>
  <c r="F74" i="45"/>
  <c r="F73" i="45"/>
  <c r="F69" i="45"/>
  <c r="F68" i="45"/>
  <c r="F61" i="45"/>
  <c r="F60" i="45"/>
  <c r="F49" i="45"/>
  <c r="F48" i="45"/>
  <c r="F41" i="45"/>
  <c r="F86" i="45"/>
  <c r="F85" i="45"/>
  <c r="F70" i="45"/>
  <c r="F42" i="45"/>
  <c r="F81" i="45"/>
  <c r="F77" i="45"/>
  <c r="F65" i="45"/>
  <c r="F64" i="45"/>
  <c r="F53" i="45"/>
  <c r="F52" i="45"/>
  <c r="F62" i="45"/>
  <c r="F82" i="45"/>
  <c r="F72" i="45"/>
  <c r="F51" i="45"/>
  <c r="F44" i="45"/>
  <c r="F38" i="45"/>
  <c r="F30" i="45"/>
  <c r="F84" i="45"/>
  <c r="F34" i="45"/>
  <c r="F21" i="45"/>
  <c r="F75" i="45"/>
  <c r="L12" i="45"/>
  <c r="N12" i="45" s="1"/>
  <c r="F89" i="45"/>
  <c r="F31" i="45"/>
  <c r="F27" i="45"/>
  <c r="F26" i="45"/>
  <c r="F25" i="45"/>
  <c r="F23" i="45"/>
  <c r="F50" i="45"/>
  <c r="F39" i="45"/>
  <c r="D23" i="45"/>
  <c r="F63" i="45"/>
  <c r="F32" i="45"/>
  <c r="F28" i="45"/>
  <c r="F66" i="45"/>
  <c r="F37" i="45"/>
  <c r="F29" i="45"/>
  <c r="F80" i="45"/>
  <c r="F43" i="45"/>
  <c r="F33" i="45"/>
  <c r="F20" i="45"/>
  <c r="F19" i="45"/>
  <c r="F76" i="45"/>
  <c r="F78" i="45"/>
  <c r="F36" i="45"/>
  <c r="F90" i="45"/>
  <c r="F40" i="45"/>
  <c r="V106" i="42"/>
  <c r="V90" i="42"/>
  <c r="V78" i="42"/>
  <c r="V58" i="42"/>
  <c r="V50" i="42"/>
  <c r="V38" i="42"/>
  <c r="V34" i="42"/>
  <c r="V30" i="42"/>
  <c r="V89" i="42"/>
  <c r="V85" i="42"/>
  <c r="V69" i="42"/>
  <c r="V57" i="42"/>
  <c r="V49" i="42"/>
  <c r="V29" i="42"/>
  <c r="V27" i="42"/>
  <c r="V25" i="42"/>
  <c r="V108" i="42"/>
  <c r="V100" i="42"/>
  <c r="V96" i="42"/>
  <c r="V91" i="42"/>
  <c r="V79" i="42"/>
  <c r="V71" i="42"/>
  <c r="V59" i="42"/>
  <c r="V51" i="42"/>
  <c r="V39" i="42"/>
  <c r="V35" i="42"/>
  <c r="V31" i="42"/>
  <c r="V86" i="42"/>
  <c r="V70" i="42"/>
  <c r="V62" i="42"/>
  <c r="V54" i="42"/>
  <c r="V109" i="42"/>
  <c r="V101" i="42"/>
  <c r="V97" i="42"/>
  <c r="V93" i="42"/>
  <c r="V81" i="42"/>
  <c r="V73" i="42"/>
  <c r="V61" i="42"/>
  <c r="V53" i="42"/>
  <c r="V45" i="42"/>
  <c r="V41" i="42"/>
  <c r="V92" i="42"/>
  <c r="V80" i="42"/>
  <c r="V72" i="42"/>
  <c r="V64" i="42"/>
  <c r="V36" i="42"/>
  <c r="V32" i="42"/>
  <c r="V117" i="42"/>
  <c r="V111" i="42"/>
  <c r="V103" i="42"/>
  <c r="V87" i="42"/>
  <c r="V114" i="42"/>
  <c r="V112" i="42"/>
  <c r="V104" i="42"/>
  <c r="V88" i="42"/>
  <c r="V84" i="42"/>
  <c r="V76" i="42"/>
  <c r="V56" i="42"/>
  <c r="V48" i="42"/>
  <c r="V24" i="42"/>
  <c r="V121" i="42"/>
  <c r="V107" i="42"/>
  <c r="V99" i="42"/>
  <c r="V95" i="42"/>
  <c r="V83" i="42"/>
  <c r="V67" i="42"/>
  <c r="V47" i="42"/>
  <c r="V43" i="42"/>
  <c r="V110" i="42"/>
  <c r="V82" i="42"/>
  <c r="V60" i="42"/>
  <c r="V105" i="42"/>
  <c r="V98" i="42"/>
  <c r="V115" i="42"/>
  <c r="V74" i="42"/>
  <c r="V40" i="42"/>
  <c r="V65" i="42"/>
  <c r="V52" i="42"/>
  <c r="V42" i="42"/>
  <c r="Z12" i="42"/>
  <c r="V63" i="42"/>
  <c r="V77" i="42"/>
  <c r="V75" i="42"/>
  <c r="V102" i="42"/>
  <c r="V68" i="42"/>
  <c r="V55" i="42"/>
  <c r="V94" i="42"/>
  <c r="T27" i="42"/>
  <c r="V37" i="42"/>
  <c r="V23" i="42"/>
  <c r="V33" i="42"/>
  <c r="V116" i="42"/>
  <c r="V44" i="42"/>
  <c r="V46" i="42"/>
  <c r="V66" i="42"/>
  <c r="F87" i="42"/>
  <c r="F63" i="42"/>
  <c r="F62" i="42"/>
  <c r="F55" i="42"/>
  <c r="F54" i="42"/>
  <c r="F110" i="42"/>
  <c r="F102" i="42"/>
  <c r="F98" i="42"/>
  <c r="F94" i="42"/>
  <c r="F93" i="42"/>
  <c r="F82" i="42"/>
  <c r="F81" i="42"/>
  <c r="F74" i="42"/>
  <c r="F73" i="42"/>
  <c r="F46" i="42"/>
  <c r="F42" i="42"/>
  <c r="F117" i="42"/>
  <c r="F112" i="42"/>
  <c r="F111" i="42"/>
  <c r="F104" i="42"/>
  <c r="F103" i="42"/>
  <c r="F88" i="42"/>
  <c r="F76" i="42"/>
  <c r="F75" i="42"/>
  <c r="F56" i="42"/>
  <c r="F24" i="42"/>
  <c r="F23" i="42"/>
  <c r="F121" i="42"/>
  <c r="F116" i="42"/>
  <c r="F99" i="42"/>
  <c r="F95" i="42"/>
  <c r="F83" i="42"/>
  <c r="F67" i="42"/>
  <c r="F66" i="42"/>
  <c r="F47" i="42"/>
  <c r="F43" i="42"/>
  <c r="F115" i="42"/>
  <c r="F106" i="42"/>
  <c r="F105" i="42"/>
  <c r="F78" i="42"/>
  <c r="F77" i="42"/>
  <c r="F38" i="42"/>
  <c r="F34" i="42"/>
  <c r="F114" i="42"/>
  <c r="F89" i="42"/>
  <c r="F85" i="42"/>
  <c r="F84" i="42"/>
  <c r="F57" i="42"/>
  <c r="F49" i="42"/>
  <c r="F48" i="42"/>
  <c r="F25" i="42"/>
  <c r="F108" i="42"/>
  <c r="F107" i="42"/>
  <c r="F100" i="42"/>
  <c r="F96" i="42"/>
  <c r="F109" i="42"/>
  <c r="F101" i="42"/>
  <c r="F97" i="42"/>
  <c r="F61" i="42"/>
  <c r="F60" i="42"/>
  <c r="F53" i="42"/>
  <c r="F52" i="42"/>
  <c r="F45" i="42"/>
  <c r="F41" i="42"/>
  <c r="F40" i="42"/>
  <c r="D27" i="42"/>
  <c r="F92" i="42"/>
  <c r="F80" i="42"/>
  <c r="F72" i="42"/>
  <c r="F71" i="42"/>
  <c r="F36" i="42"/>
  <c r="F32" i="42"/>
  <c r="F68" i="42"/>
  <c r="F59" i="42"/>
  <c r="F37" i="42"/>
  <c r="F30" i="42"/>
  <c r="F27" i="42"/>
  <c r="F64" i="42"/>
  <c r="F39" i="42"/>
  <c r="F91" i="42"/>
  <c r="F51" i="42"/>
  <c r="F69" i="42"/>
  <c r="F86" i="42"/>
  <c r="L12" i="42"/>
  <c r="F65" i="42"/>
  <c r="F29" i="42"/>
  <c r="F90" i="42"/>
  <c r="F33" i="42"/>
  <c r="F50" i="42"/>
  <c r="F44" i="42"/>
  <c r="F79" i="42"/>
  <c r="F70" i="42"/>
  <c r="F35" i="42"/>
  <c r="F58" i="42"/>
  <c r="F31" i="42"/>
  <c r="J95" i="39"/>
  <c r="J79" i="39"/>
  <c r="J71" i="39"/>
  <c r="J118" i="39"/>
  <c r="J110" i="39"/>
  <c r="J106" i="39"/>
  <c r="J80" i="39"/>
  <c r="J72" i="39"/>
  <c r="J62" i="39"/>
  <c r="J101" i="39"/>
  <c r="J89" i="39"/>
  <c r="J81" i="39"/>
  <c r="J73" i="39"/>
  <c r="J53" i="39"/>
  <c r="J49" i="39"/>
  <c r="J102" i="39"/>
  <c r="J119" i="39"/>
  <c r="J111" i="39"/>
  <c r="J107" i="39"/>
  <c r="J126" i="39"/>
  <c r="J120" i="39"/>
  <c r="J112" i="39"/>
  <c r="J84" i="39"/>
  <c r="J74" i="39"/>
  <c r="J64" i="39"/>
  <c r="J56" i="39"/>
  <c r="J50" i="39"/>
  <c r="J36" i="39"/>
  <c r="J125" i="39"/>
  <c r="J121" i="39"/>
  <c r="J113" i="39"/>
  <c r="J97" i="39"/>
  <c r="J85" i="39"/>
  <c r="J75" i="39"/>
  <c r="J65" i="39"/>
  <c r="J57" i="39"/>
  <c r="J45" i="39"/>
  <c r="J41" i="39"/>
  <c r="J37" i="39"/>
  <c r="J35" i="39"/>
  <c r="J123" i="39"/>
  <c r="J115" i="39"/>
  <c r="J93" i="39"/>
  <c r="J87" i="39"/>
  <c r="J67" i="39"/>
  <c r="J59" i="39"/>
  <c r="J51" i="39"/>
  <c r="J47" i="39"/>
  <c r="J116" i="39"/>
  <c r="J98" i="39"/>
  <c r="J94" i="39"/>
  <c r="J68" i="39"/>
  <c r="J60" i="39"/>
  <c r="J117" i="39"/>
  <c r="J109" i="39"/>
  <c r="J105" i="39"/>
  <c r="J99" i="39"/>
  <c r="J77" i="39"/>
  <c r="J69" i="39"/>
  <c r="J61" i="39"/>
  <c r="J100" i="39"/>
  <c r="J88" i="39"/>
  <c r="J78" i="39"/>
  <c r="J70" i="39"/>
  <c r="J52" i="39"/>
  <c r="J48" i="39"/>
  <c r="J63" i="39"/>
  <c r="J46" i="39"/>
  <c r="J30" i="39"/>
  <c r="J83" i="39"/>
  <c r="J58" i="39"/>
  <c r="J103" i="39"/>
  <c r="J108" i="39"/>
  <c r="J86" i="39"/>
  <c r="J66" i="39"/>
  <c r="J39" i="39"/>
  <c r="J114" i="39"/>
  <c r="J90" i="39"/>
  <c r="J54" i="39"/>
  <c r="J44" i="39"/>
  <c r="J31" i="39"/>
  <c r="N12" i="39"/>
  <c r="J130" i="39"/>
  <c r="J96" i="39"/>
  <c r="J82" i="39"/>
  <c r="J42" i="39"/>
  <c r="J92" i="39"/>
  <c r="J76" i="39"/>
  <c r="J40" i="39"/>
  <c r="H33" i="39"/>
  <c r="J33" i="39" s="1"/>
  <c r="J29" i="39"/>
  <c r="J38" i="39"/>
  <c r="J91" i="39"/>
  <c r="J55" i="39"/>
  <c r="J43" i="39"/>
  <c r="J124" i="39"/>
  <c r="J104" i="39"/>
  <c r="F123" i="39"/>
  <c r="R36" i="33"/>
  <c r="P126" i="36"/>
  <c r="F152" i="30"/>
  <c r="F151" i="30"/>
  <c r="F144" i="30"/>
  <c r="F132" i="30"/>
  <c r="F124" i="30"/>
  <c r="F123" i="30"/>
  <c r="F104" i="30"/>
  <c r="F103" i="30"/>
  <c r="F80" i="30"/>
  <c r="F76" i="30"/>
  <c r="F72" i="30"/>
  <c r="F68" i="30"/>
  <c r="F64" i="30"/>
  <c r="F60" i="30"/>
  <c r="F56" i="30"/>
  <c r="F55" i="30"/>
  <c r="F139" i="30"/>
  <c r="F115" i="30"/>
  <c r="F114" i="30"/>
  <c r="F99" i="30"/>
  <c r="F134" i="30"/>
  <c r="F133" i="30"/>
  <c r="F126" i="30"/>
  <c r="F125" i="30"/>
  <c r="F106" i="30"/>
  <c r="F105" i="30"/>
  <c r="F94" i="30"/>
  <c r="F90" i="30"/>
  <c r="F153" i="30"/>
  <c r="F145" i="30"/>
  <c r="F141" i="30"/>
  <c r="F140" i="30"/>
  <c r="F81" i="30"/>
  <c r="F77" i="30"/>
  <c r="F73" i="30"/>
  <c r="F69" i="30"/>
  <c r="F65" i="30"/>
  <c r="F61" i="30"/>
  <c r="F57" i="30"/>
  <c r="F128" i="30"/>
  <c r="F127" i="30"/>
  <c r="F116" i="30"/>
  <c r="F108" i="30"/>
  <c r="F107" i="30"/>
  <c r="F100" i="30"/>
  <c r="L12" i="30"/>
  <c r="F155" i="30"/>
  <c r="F154" i="30"/>
  <c r="F135" i="30"/>
  <c r="F95" i="30"/>
  <c r="F91" i="30"/>
  <c r="F159" i="30"/>
  <c r="F146" i="30"/>
  <c r="F142" i="30"/>
  <c r="F118" i="30"/>
  <c r="F117" i="30"/>
  <c r="F110" i="30"/>
  <c r="F109" i="30"/>
  <c r="F82" i="30"/>
  <c r="F78" i="30"/>
  <c r="F74" i="30"/>
  <c r="F70" i="30"/>
  <c r="F66" i="30"/>
  <c r="F62" i="30"/>
  <c r="F58" i="30"/>
  <c r="F163" i="30"/>
  <c r="F158" i="30"/>
  <c r="F129" i="30"/>
  <c r="F101" i="30"/>
  <c r="F97" i="30"/>
  <c r="F96" i="30"/>
  <c r="F150" i="30"/>
  <c r="F149" i="30"/>
  <c r="F138" i="30"/>
  <c r="F137" i="30"/>
  <c r="F122" i="30"/>
  <c r="F121" i="30"/>
  <c r="F102" i="30"/>
  <c r="F98" i="30"/>
  <c r="D84" i="30"/>
  <c r="F84" i="30" s="1"/>
  <c r="F113" i="30"/>
  <c r="F112" i="30"/>
  <c r="F93" i="30"/>
  <c r="F89" i="30"/>
  <c r="F148" i="30"/>
  <c r="F131" i="30"/>
  <c r="F87" i="30"/>
  <c r="F71" i="30"/>
  <c r="F157" i="30"/>
  <c r="F119" i="30"/>
  <c r="F92" i="30"/>
  <c r="F75" i="30"/>
  <c r="F143" i="30"/>
  <c r="F111" i="30"/>
  <c r="F59" i="30"/>
  <c r="F147" i="30"/>
  <c r="F130" i="30"/>
  <c r="F120" i="30"/>
  <c r="F67" i="30"/>
  <c r="F88" i="30"/>
  <c r="F79" i="30"/>
  <c r="F136" i="30"/>
  <c r="F86" i="30"/>
  <c r="F63" i="30"/>
  <c r="N113" i="27"/>
  <c r="L18" i="111"/>
  <c r="D27" i="111"/>
  <c r="H27" i="112"/>
  <c r="N18" i="112"/>
  <c r="P27" i="53"/>
  <c r="X18" i="53"/>
  <c r="L18" i="46"/>
  <c r="D27" i="46"/>
  <c r="L18" i="37"/>
  <c r="D27" i="37"/>
  <c r="X18" i="31"/>
  <c r="P27" i="31"/>
  <c r="T27" i="28"/>
  <c r="Z18" i="28"/>
  <c r="H27" i="20"/>
  <c r="N18" i="20"/>
  <c r="L18" i="19"/>
  <c r="D27" i="19"/>
  <c r="T27" i="13"/>
  <c r="Z18" i="13"/>
  <c r="L18" i="22"/>
  <c r="D27" i="22"/>
  <c r="D27" i="20"/>
  <c r="L18" i="20"/>
  <c r="H27" i="5"/>
  <c r="N18" i="5"/>
  <c r="T27" i="7"/>
  <c r="Z18" i="7"/>
  <c r="L21" i="107"/>
  <c r="D83" i="107"/>
  <c r="T89" i="105"/>
  <c r="P85" i="103"/>
  <c r="X21" i="103"/>
  <c r="Z21" i="103" s="1"/>
  <c r="J56" i="101"/>
  <c r="J48" i="101"/>
  <c r="J32" i="101"/>
  <c r="J18" i="101"/>
  <c r="J57" i="101"/>
  <c r="J49" i="101"/>
  <c r="J37" i="101"/>
  <c r="J33" i="101"/>
  <c r="J68" i="101"/>
  <c r="J64" i="101"/>
  <c r="J58" i="101"/>
  <c r="J50" i="101"/>
  <c r="J38" i="101"/>
  <c r="J70" i="101"/>
  <c r="J52" i="101"/>
  <c r="J75" i="101"/>
  <c r="J61" i="101"/>
  <c r="J43" i="101"/>
  <c r="J35" i="101"/>
  <c r="J46" i="101"/>
  <c r="J79" i="101"/>
  <c r="J72" i="101"/>
  <c r="J55" i="101"/>
  <c r="J29" i="101"/>
  <c r="J26" i="101"/>
  <c r="H20" i="101"/>
  <c r="J67" i="101"/>
  <c r="J53" i="101"/>
  <c r="J42" i="101"/>
  <c r="J22" i="101"/>
  <c r="J16" i="101"/>
  <c r="N12" i="101"/>
  <c r="J65" i="101"/>
  <c r="J60" i="101"/>
  <c r="J36" i="101"/>
  <c r="J23" i="101"/>
  <c r="J45" i="101"/>
  <c r="J39" i="101"/>
  <c r="J30" i="101"/>
  <c r="J63" i="101"/>
  <c r="J34" i="101"/>
  <c r="J27" i="101"/>
  <c r="J17" i="101"/>
  <c r="J74" i="101"/>
  <c r="J51" i="101"/>
  <c r="J24" i="101"/>
  <c r="J54" i="101"/>
  <c r="J40" i="101"/>
  <c r="J71" i="101"/>
  <c r="J66" i="101"/>
  <c r="J31" i="101"/>
  <c r="J44" i="101"/>
  <c r="J25" i="101"/>
  <c r="J41" i="101"/>
  <c r="J47" i="101"/>
  <c r="J62" i="101"/>
  <c r="J28" i="101"/>
  <c r="J69" i="101"/>
  <c r="J59" i="101"/>
  <c r="H47" i="98"/>
  <c r="N19" i="98"/>
  <c r="X86" i="95"/>
  <c r="Z86" i="95" s="1"/>
  <c r="R86" i="95"/>
  <c r="J68" i="97"/>
  <c r="J62" i="97"/>
  <c r="J46" i="97"/>
  <c r="J32" i="97"/>
  <c r="J18" i="97"/>
  <c r="J73" i="97"/>
  <c r="J69" i="97"/>
  <c r="J37" i="97"/>
  <c r="J33" i="97"/>
  <c r="J23" i="97"/>
  <c r="J56" i="97"/>
  <c r="J28" i="97"/>
  <c r="J24" i="97"/>
  <c r="J22" i="97"/>
  <c r="J20" i="97"/>
  <c r="J63" i="97"/>
  <c r="J57" i="97"/>
  <c r="J47" i="97"/>
  <c r="J74" i="97"/>
  <c r="J70" i="97"/>
  <c r="J58" i="97"/>
  <c r="J48" i="97"/>
  <c r="J38" i="97"/>
  <c r="J34" i="97"/>
  <c r="J75" i="97"/>
  <c r="J49" i="97"/>
  <c r="J39" i="97"/>
  <c r="J29" i="97"/>
  <c r="J25" i="97"/>
  <c r="J76" i="97"/>
  <c r="J64" i="97"/>
  <c r="J50" i="97"/>
  <c r="J40" i="97"/>
  <c r="J77" i="97"/>
  <c r="J71" i="97"/>
  <c r="J65" i="97"/>
  <c r="J59" i="97"/>
  <c r="J51" i="97"/>
  <c r="J41" i="97"/>
  <c r="J35" i="97"/>
  <c r="J78" i="97"/>
  <c r="J66" i="97"/>
  <c r="J52" i="97"/>
  <c r="J42" i="97"/>
  <c r="J30" i="97"/>
  <c r="J26" i="97"/>
  <c r="J16" i="97"/>
  <c r="J80" i="97"/>
  <c r="J72" i="97"/>
  <c r="J60" i="97"/>
  <c r="J54" i="97"/>
  <c r="J44" i="97"/>
  <c r="J36" i="97"/>
  <c r="N12" i="97"/>
  <c r="J85" i="97"/>
  <c r="J67" i="97"/>
  <c r="J61" i="97"/>
  <c r="J55" i="97"/>
  <c r="J45" i="97"/>
  <c r="J31" i="97"/>
  <c r="J27" i="97"/>
  <c r="J43" i="97"/>
  <c r="J17" i="97"/>
  <c r="J81" i="97"/>
  <c r="H20" i="97"/>
  <c r="L20" i="97" s="1"/>
  <c r="J53" i="97"/>
  <c r="V42" i="92"/>
  <c r="V34" i="92"/>
  <c r="V65" i="92"/>
  <c r="V53" i="92"/>
  <c r="V41" i="92"/>
  <c r="V64" i="92"/>
  <c r="V60" i="92"/>
  <c r="V44" i="92"/>
  <c r="V16" i="92"/>
  <c r="V67" i="92"/>
  <c r="V66" i="92"/>
  <c r="V54" i="92"/>
  <c r="V46" i="92"/>
  <c r="V30" i="92"/>
  <c r="V26" i="92"/>
  <c r="V22" i="92"/>
  <c r="V61" i="92"/>
  <c r="V45" i="92"/>
  <c r="V21" i="92"/>
  <c r="V19" i="92"/>
  <c r="V17" i="92"/>
  <c r="V70" i="92"/>
  <c r="V68" i="92"/>
  <c r="V56" i="92"/>
  <c r="V48" i="92"/>
  <c r="V36" i="92"/>
  <c r="V32" i="92"/>
  <c r="V47" i="92"/>
  <c r="V27" i="92"/>
  <c r="V23" i="92"/>
  <c r="V74" i="92"/>
  <c r="V52" i="92"/>
  <c r="V40" i="92"/>
  <c r="V28" i="92"/>
  <c r="V24" i="92"/>
  <c r="V63" i="92"/>
  <c r="V59" i="92"/>
  <c r="V51" i="92"/>
  <c r="V55" i="92"/>
  <c r="V62" i="92"/>
  <c r="Z12" i="92"/>
  <c r="V57" i="92"/>
  <c r="V49" i="92"/>
  <c r="V43" i="92"/>
  <c r="V33" i="92"/>
  <c r="V31" i="92"/>
  <c r="V39" i="92"/>
  <c r="V37" i="92"/>
  <c r="V35" i="92"/>
  <c r="T19" i="92"/>
  <c r="V29" i="92"/>
  <c r="V25" i="92"/>
  <c r="V38" i="92"/>
  <c r="V58" i="92"/>
  <c r="V50" i="92"/>
  <c r="T83" i="87"/>
  <c r="J112" i="84"/>
  <c r="J98" i="84"/>
  <c r="J90" i="84"/>
  <c r="J78" i="84"/>
  <c r="J70" i="84"/>
  <c r="J113" i="84"/>
  <c r="J105" i="84"/>
  <c r="J91" i="84"/>
  <c r="J79" i="84"/>
  <c r="J65" i="84"/>
  <c r="J61" i="84"/>
  <c r="J39" i="84"/>
  <c r="J92" i="84"/>
  <c r="J80" i="84"/>
  <c r="J52" i="84"/>
  <c r="J115" i="84"/>
  <c r="J99" i="84"/>
  <c r="J93" i="84"/>
  <c r="J81" i="84"/>
  <c r="J71" i="84"/>
  <c r="J106" i="84"/>
  <c r="J100" i="84"/>
  <c r="J94" i="84"/>
  <c r="J82" i="84"/>
  <c r="J66" i="84"/>
  <c r="J62" i="84"/>
  <c r="J119" i="84"/>
  <c r="J101" i="84"/>
  <c r="J83" i="84"/>
  <c r="J67" i="84"/>
  <c r="J53" i="84"/>
  <c r="J49" i="84"/>
  <c r="J45" i="84"/>
  <c r="J41" i="84"/>
  <c r="J84" i="84"/>
  <c r="J72" i="84"/>
  <c r="J68" i="84"/>
  <c r="J58" i="84"/>
  <c r="J108" i="84"/>
  <c r="J102" i="84"/>
  <c r="J96" i="84"/>
  <c r="J86" i="84"/>
  <c r="J74" i="84"/>
  <c r="H55" i="84"/>
  <c r="J50" i="84"/>
  <c r="J46" i="84"/>
  <c r="J42" i="84"/>
  <c r="J110" i="84"/>
  <c r="J104" i="84"/>
  <c r="J88" i="84"/>
  <c r="J76" i="84"/>
  <c r="J64" i="84"/>
  <c r="J60" i="84"/>
  <c r="J111" i="84"/>
  <c r="J89" i="84"/>
  <c r="J77" i="84"/>
  <c r="J51" i="84"/>
  <c r="J47" i="84"/>
  <c r="J43" i="84"/>
  <c r="J103" i="84"/>
  <c r="J59" i="84"/>
  <c r="J107" i="84"/>
  <c r="J44" i="84"/>
  <c r="J109" i="84"/>
  <c r="J87" i="84"/>
  <c r="J85" i="84"/>
  <c r="J63" i="84"/>
  <c r="J48" i="84"/>
  <c r="J95" i="84"/>
  <c r="J97" i="84"/>
  <c r="J75" i="84"/>
  <c r="J73" i="84"/>
  <c r="J69" i="84"/>
  <c r="J57" i="84"/>
  <c r="J40" i="84"/>
  <c r="V70" i="83"/>
  <c r="V58" i="83"/>
  <c r="V65" i="83"/>
  <c r="V49" i="83"/>
  <c r="V37" i="83"/>
  <c r="V33" i="83"/>
  <c r="V71" i="83"/>
  <c r="V67" i="83"/>
  <c r="V59" i="83"/>
  <c r="V73" i="83"/>
  <c r="V61" i="83"/>
  <c r="V53" i="83"/>
  <c r="V41" i="83"/>
  <c r="V29" i="83"/>
  <c r="V25" i="83"/>
  <c r="V72" i="83"/>
  <c r="V68" i="83"/>
  <c r="V60" i="83"/>
  <c r="V74" i="83"/>
  <c r="V62" i="83"/>
  <c r="V54" i="83"/>
  <c r="V78" i="83"/>
  <c r="V76" i="83"/>
  <c r="V63" i="83"/>
  <c r="V47" i="83"/>
  <c r="V31" i="83"/>
  <c r="V55" i="83"/>
  <c r="V45" i="83"/>
  <c r="V26" i="83"/>
  <c r="V18" i="83"/>
  <c r="V30" i="83"/>
  <c r="V82" i="83"/>
  <c r="V52" i="83"/>
  <c r="V23" i="83"/>
  <c r="V22" i="83"/>
  <c r="T20" i="83"/>
  <c r="X20" i="83" s="1"/>
  <c r="V66" i="83"/>
  <c r="V36" i="83"/>
  <c r="V27" i="83"/>
  <c r="V69" i="83"/>
  <c r="V64" i="83"/>
  <c r="V43" i="83"/>
  <c r="V46" i="83"/>
  <c r="V39" i="83"/>
  <c r="V34" i="83"/>
  <c r="V32" i="83"/>
  <c r="V24" i="83"/>
  <c r="V16" i="83"/>
  <c r="V56" i="83"/>
  <c r="V50" i="83"/>
  <c r="V44" i="83"/>
  <c r="V40" i="83"/>
  <c r="V28" i="83"/>
  <c r="V51" i="83"/>
  <c r="V17" i="83"/>
  <c r="V57" i="83"/>
  <c r="V48" i="83"/>
  <c r="V35" i="83"/>
  <c r="V75" i="83"/>
  <c r="V42" i="83"/>
  <c r="V38" i="83"/>
  <c r="T68" i="79"/>
  <c r="Z20" i="79"/>
  <c r="H107" i="76"/>
  <c r="P68" i="69"/>
  <c r="X20" i="69"/>
  <c r="Z20" i="69" s="1"/>
  <c r="L16" i="67"/>
  <c r="D58" i="67"/>
  <c r="T108" i="63"/>
  <c r="L16" i="55"/>
  <c r="P77" i="56"/>
  <c r="N117" i="36"/>
  <c r="T161" i="30"/>
  <c r="J80" i="33"/>
  <c r="J76" i="33"/>
  <c r="J60" i="33"/>
  <c r="J32" i="33"/>
  <c r="J81" i="33"/>
  <c r="J61" i="33"/>
  <c r="J51" i="33"/>
  <c r="J94" i="33"/>
  <c r="J82" i="33"/>
  <c r="J70" i="33"/>
  <c r="J62" i="33"/>
  <c r="J46" i="33"/>
  <c r="J42" i="33"/>
  <c r="J93" i="33"/>
  <c r="J83" i="33"/>
  <c r="J77" i="33"/>
  <c r="J91" i="33"/>
  <c r="J85" i="33"/>
  <c r="J71" i="33"/>
  <c r="J63" i="33"/>
  <c r="J53" i="33"/>
  <c r="J47" i="33"/>
  <c r="J43" i="33"/>
  <c r="J29" i="33"/>
  <c r="J90" i="33"/>
  <c r="J86" i="33"/>
  <c r="J78" i="33"/>
  <c r="J72" i="33"/>
  <c r="J64" i="33"/>
  <c r="J54" i="33"/>
  <c r="J48" i="33"/>
  <c r="J34" i="33"/>
  <c r="J30" i="33"/>
  <c r="J89" i="33"/>
  <c r="J73" i="33"/>
  <c r="J65" i="33"/>
  <c r="J55" i="33"/>
  <c r="J49" i="33"/>
  <c r="J39" i="33"/>
  <c r="J88" i="33"/>
  <c r="J74" i="33"/>
  <c r="J66" i="33"/>
  <c r="J56" i="33"/>
  <c r="J44" i="33"/>
  <c r="J40" i="33"/>
  <c r="J38" i="33"/>
  <c r="J36" i="33"/>
  <c r="J68" i="33"/>
  <c r="J58" i="33"/>
  <c r="J50" i="33"/>
  <c r="J69" i="33"/>
  <c r="J59" i="33"/>
  <c r="J45" i="33"/>
  <c r="J41" i="33"/>
  <c r="J79" i="33"/>
  <c r="J67" i="33"/>
  <c r="J92" i="33"/>
  <c r="N12" i="33"/>
  <c r="J52" i="33"/>
  <c r="J57" i="33"/>
  <c r="J98" i="33"/>
  <c r="H36" i="33"/>
  <c r="J33" i="33"/>
  <c r="J84" i="33"/>
  <c r="J75" i="33"/>
  <c r="J31" i="33"/>
  <c r="J139" i="30"/>
  <c r="J133" i="30"/>
  <c r="J125" i="30"/>
  <c r="J115" i="30"/>
  <c r="J105" i="30"/>
  <c r="J99" i="30"/>
  <c r="J140" i="30"/>
  <c r="J134" i="30"/>
  <c r="J126" i="30"/>
  <c r="J106" i="30"/>
  <c r="J94" i="30"/>
  <c r="J90" i="30"/>
  <c r="J153" i="30"/>
  <c r="J145" i="30"/>
  <c r="J141" i="30"/>
  <c r="J127" i="30"/>
  <c r="J107" i="30"/>
  <c r="J81" i="30"/>
  <c r="J77" i="30"/>
  <c r="J73" i="30"/>
  <c r="J69" i="30"/>
  <c r="J65" i="30"/>
  <c r="J61" i="30"/>
  <c r="J57" i="30"/>
  <c r="J154" i="30"/>
  <c r="J128" i="30"/>
  <c r="J116" i="30"/>
  <c r="J108" i="30"/>
  <c r="J100" i="30"/>
  <c r="N12" i="30"/>
  <c r="J159" i="30"/>
  <c r="J155" i="30"/>
  <c r="J135" i="30"/>
  <c r="J117" i="30"/>
  <c r="J109" i="30"/>
  <c r="J95" i="30"/>
  <c r="J91" i="30"/>
  <c r="J158" i="30"/>
  <c r="J146" i="30"/>
  <c r="J142" i="30"/>
  <c r="J118" i="30"/>
  <c r="J110" i="30"/>
  <c r="J96" i="30"/>
  <c r="J82" i="30"/>
  <c r="J78" i="30"/>
  <c r="J74" i="30"/>
  <c r="J70" i="30"/>
  <c r="J66" i="30"/>
  <c r="J62" i="30"/>
  <c r="J58" i="30"/>
  <c r="J163" i="30"/>
  <c r="J157" i="30"/>
  <c r="J147" i="30"/>
  <c r="J129" i="30"/>
  <c r="J119" i="30"/>
  <c r="J101" i="30"/>
  <c r="J97" i="30"/>
  <c r="J87" i="30"/>
  <c r="J148" i="30"/>
  <c r="J136" i="30"/>
  <c r="J130" i="30"/>
  <c r="J120" i="30"/>
  <c r="J92" i="30"/>
  <c r="J88" i="30"/>
  <c r="J86" i="30"/>
  <c r="J151" i="30"/>
  <c r="J123" i="30"/>
  <c r="J113" i="30"/>
  <c r="J103" i="30"/>
  <c r="J93" i="30"/>
  <c r="J89" i="30"/>
  <c r="J55" i="30"/>
  <c r="J152" i="30"/>
  <c r="J144" i="30"/>
  <c r="J132" i="30"/>
  <c r="J124" i="30"/>
  <c r="J114" i="30"/>
  <c r="J104" i="30"/>
  <c r="J80" i="30"/>
  <c r="J76" i="30"/>
  <c r="J72" i="30"/>
  <c r="J68" i="30"/>
  <c r="J64" i="30"/>
  <c r="J60" i="30"/>
  <c r="J56" i="30"/>
  <c r="J131" i="30"/>
  <c r="J122" i="30"/>
  <c r="J71" i="30"/>
  <c r="J150" i="30"/>
  <c r="J137" i="30"/>
  <c r="J98" i="30"/>
  <c r="J75" i="30"/>
  <c r="J143" i="30"/>
  <c r="J121" i="30"/>
  <c r="J111" i="30"/>
  <c r="J59" i="30"/>
  <c r="J149" i="30"/>
  <c r="J79" i="30"/>
  <c r="J63" i="30"/>
  <c r="J138" i="30"/>
  <c r="H84" i="30"/>
  <c r="J84" i="30" s="1"/>
  <c r="J67" i="30"/>
  <c r="J102" i="30"/>
  <c r="J112" i="30"/>
  <c r="P100" i="21"/>
  <c r="X26" i="21"/>
  <c r="V120" i="27"/>
  <c r="V86" i="27"/>
  <c r="V78" i="27"/>
  <c r="V74" i="27"/>
  <c r="V106" i="27"/>
  <c r="V98" i="27"/>
  <c r="V108" i="27"/>
  <c r="V100" i="27"/>
  <c r="V92" i="27"/>
  <c r="V76" i="27"/>
  <c r="V107" i="27"/>
  <c r="V91" i="27"/>
  <c r="V83" i="27"/>
  <c r="V71" i="27"/>
  <c r="V67" i="27"/>
  <c r="V114" i="27"/>
  <c r="V96" i="27"/>
  <c r="V84" i="27"/>
  <c r="V113" i="27"/>
  <c r="V111" i="27"/>
  <c r="V103" i="27"/>
  <c r="V95" i="27"/>
  <c r="V87" i="27"/>
  <c r="V56" i="27"/>
  <c r="V48" i="27"/>
  <c r="V90" i="27"/>
  <c r="T60" i="27"/>
  <c r="V93" i="27"/>
  <c r="V73" i="27"/>
  <c r="V72" i="27"/>
  <c r="V65" i="27"/>
  <c r="V62" i="27"/>
  <c r="V51" i="27"/>
  <c r="V43" i="27"/>
  <c r="V102" i="27"/>
  <c r="V70" i="27"/>
  <c r="V54" i="27"/>
  <c r="V46" i="27"/>
  <c r="V94" i="27"/>
  <c r="V81" i="27"/>
  <c r="V63" i="27"/>
  <c r="Z12" i="27"/>
  <c r="V115" i="27"/>
  <c r="V109" i="27"/>
  <c r="V104" i="27"/>
  <c r="V97" i="27"/>
  <c r="V88" i="27"/>
  <c r="V85" i="27"/>
  <c r="V57" i="27"/>
  <c r="V49" i="27"/>
  <c r="V82" i="27"/>
  <c r="V68" i="27"/>
  <c r="V52" i="27"/>
  <c r="V44" i="27"/>
  <c r="V77" i="27"/>
  <c r="V69" i="27"/>
  <c r="V64" i="27"/>
  <c r="V99" i="27"/>
  <c r="V75" i="27"/>
  <c r="V53" i="27"/>
  <c r="V45" i="27"/>
  <c r="V55" i="27"/>
  <c r="V47" i="27"/>
  <c r="V89" i="27"/>
  <c r="V79" i="27"/>
  <c r="V110" i="27"/>
  <c r="V105" i="27"/>
  <c r="V58" i="27"/>
  <c r="V50" i="27"/>
  <c r="V80" i="27"/>
  <c r="V116" i="27"/>
  <c r="V101" i="27"/>
  <c r="V66" i="27"/>
  <c r="H100" i="21"/>
  <c r="N26" i="21"/>
  <c r="R259" i="12"/>
  <c r="R256" i="12"/>
  <c r="R249" i="12"/>
  <c r="R248" i="12"/>
  <c r="R232" i="12"/>
  <c r="R201" i="12"/>
  <c r="R200" i="12"/>
  <c r="R193" i="12"/>
  <c r="R192" i="12"/>
  <c r="R184" i="12"/>
  <c r="R180" i="12"/>
  <c r="R258" i="12"/>
  <c r="R243" i="12"/>
  <c r="R239" i="12"/>
  <c r="R227" i="12"/>
  <c r="R212" i="12"/>
  <c r="R211" i="12"/>
  <c r="R175" i="12"/>
  <c r="R171" i="12"/>
  <c r="R233" i="12"/>
  <c r="R214" i="12"/>
  <c r="R213" i="12"/>
  <c r="R186" i="12"/>
  <c r="R185" i="12"/>
  <c r="R181" i="12"/>
  <c r="R166" i="12"/>
  <c r="R164" i="12"/>
  <c r="R110" i="12"/>
  <c r="R267" i="12"/>
  <c r="R252" i="12"/>
  <c r="R244" i="12"/>
  <c r="R240" i="12"/>
  <c r="R229" i="12"/>
  <c r="R228" i="12"/>
  <c r="R205" i="12"/>
  <c r="R204" i="12"/>
  <c r="R176" i="12"/>
  <c r="R172" i="12"/>
  <c r="R168" i="12"/>
  <c r="R266" i="12"/>
  <c r="R223" i="12"/>
  <c r="R216" i="12"/>
  <c r="R215" i="12"/>
  <c r="R196" i="12"/>
  <c r="R195" i="12"/>
  <c r="R188" i="12"/>
  <c r="R187" i="12"/>
  <c r="R159" i="12"/>
  <c r="R155" i="12"/>
  <c r="R151" i="12"/>
  <c r="R147" i="12"/>
  <c r="R143" i="12"/>
  <c r="R139" i="12"/>
  <c r="R135" i="12"/>
  <c r="R131" i="12"/>
  <c r="R127" i="12"/>
  <c r="R123" i="12"/>
  <c r="R119" i="12"/>
  <c r="R115" i="12"/>
  <c r="R111" i="12"/>
  <c r="R265" i="12"/>
  <c r="R235" i="12"/>
  <c r="R234" i="12"/>
  <c r="R230" i="12"/>
  <c r="R206" i="12"/>
  <c r="R182" i="12"/>
  <c r="R271" i="12"/>
  <c r="R264" i="12"/>
  <c r="R253" i="12"/>
  <c r="R246" i="12"/>
  <c r="R245" i="12"/>
  <c r="R241" i="12"/>
  <c r="R218" i="12"/>
  <c r="R217" i="12"/>
  <c r="R263" i="12"/>
  <c r="R236" i="12"/>
  <c r="R225" i="12"/>
  <c r="R224" i="12"/>
  <c r="R160" i="12"/>
  <c r="R156" i="12"/>
  <c r="R152" i="12"/>
  <c r="R148" i="12"/>
  <c r="R144" i="12"/>
  <c r="R140" i="12"/>
  <c r="R136" i="12"/>
  <c r="R132" i="12"/>
  <c r="R128" i="12"/>
  <c r="R124" i="12"/>
  <c r="R120" i="12"/>
  <c r="R116" i="12"/>
  <c r="R112" i="12"/>
  <c r="R261" i="12"/>
  <c r="R255" i="12"/>
  <c r="R254" i="12"/>
  <c r="R242" i="12"/>
  <c r="R226" i="12"/>
  <c r="R199" i="12"/>
  <c r="R198" i="12"/>
  <c r="R191" i="12"/>
  <c r="R190" i="12"/>
  <c r="R174" i="12"/>
  <c r="R170" i="12"/>
  <c r="R260" i="12"/>
  <c r="R238" i="12"/>
  <c r="R237" i="12"/>
  <c r="R221" i="12"/>
  <c r="R210" i="12"/>
  <c r="R209" i="12"/>
  <c r="R161" i="12"/>
  <c r="R157" i="12"/>
  <c r="R153" i="12"/>
  <c r="R149" i="12"/>
  <c r="R145" i="12"/>
  <c r="R141" i="12"/>
  <c r="R137" i="12"/>
  <c r="R133" i="12"/>
  <c r="R129" i="12"/>
  <c r="R125" i="12"/>
  <c r="R121" i="12"/>
  <c r="R117" i="12"/>
  <c r="R113" i="12"/>
  <c r="R203" i="12"/>
  <c r="P164" i="12"/>
  <c r="R142" i="12"/>
  <c r="R126" i="12"/>
  <c r="R262" i="12"/>
  <c r="R250" i="12"/>
  <c r="R220" i="12"/>
  <c r="R197" i="12"/>
  <c r="R189" i="12"/>
  <c r="R178" i="12"/>
  <c r="R231" i="12"/>
  <c r="R158" i="12"/>
  <c r="X12" i="12"/>
  <c r="Z12" i="12" s="1"/>
  <c r="R207" i="12"/>
  <c r="R169" i="12"/>
  <c r="R146" i="12"/>
  <c r="R130" i="12"/>
  <c r="R222" i="12"/>
  <c r="R247" i="12"/>
  <c r="R162" i="12"/>
  <c r="R114" i="12"/>
  <c r="R154" i="12"/>
  <c r="R183" i="12"/>
  <c r="R167" i="12"/>
  <c r="R202" i="12"/>
  <c r="R251" i="12"/>
  <c r="R219" i="12"/>
  <c r="R150" i="12"/>
  <c r="R118" i="12"/>
  <c r="R122" i="12"/>
  <c r="R138" i="12"/>
  <c r="R173" i="12"/>
  <c r="R208" i="12"/>
  <c r="R194" i="12"/>
  <c r="R134" i="12"/>
  <c r="R179" i="12"/>
  <c r="R177" i="12"/>
  <c r="L91" i="9"/>
  <c r="D95" i="9"/>
  <c r="P95" i="9"/>
  <c r="X91" i="9"/>
  <c r="Z91" i="9" s="1"/>
  <c r="D311" i="3"/>
  <c r="L196" i="3"/>
  <c r="H27" i="111"/>
  <c r="N18" i="111"/>
  <c r="T27" i="46"/>
  <c r="Z18" i="46"/>
  <c r="L18" i="49"/>
  <c r="D27" i="49"/>
  <c r="D27" i="47"/>
  <c r="L18" i="47"/>
  <c r="T27" i="40"/>
  <c r="Z18" i="40"/>
  <c r="X18" i="40"/>
  <c r="P27" i="40"/>
  <c r="T27" i="34"/>
  <c r="Z18" i="34"/>
  <c r="T27" i="37"/>
  <c r="Z18" i="37"/>
  <c r="T27" i="29"/>
  <c r="Z18" i="29"/>
  <c r="T27" i="20"/>
  <c r="Z18" i="20"/>
  <c r="L18" i="16"/>
  <c r="D27" i="16"/>
  <c r="L18" i="11"/>
  <c r="D27" i="11"/>
  <c r="T47" i="98"/>
  <c r="X47" i="98" s="1"/>
  <c r="Z19" i="98"/>
  <c r="P83" i="97"/>
  <c r="X20" i="97"/>
  <c r="V91" i="95"/>
  <c r="V81" i="95"/>
  <c r="V83" i="95"/>
  <c r="V82" i="95"/>
  <c r="V76" i="95"/>
  <c r="V72" i="95"/>
  <c r="V60" i="95"/>
  <c r="V52" i="95"/>
  <c r="V44" i="95"/>
  <c r="V16" i="95"/>
  <c r="V87" i="95"/>
  <c r="V80" i="95"/>
  <c r="V67" i="95"/>
  <c r="V55" i="95"/>
  <c r="V43" i="95"/>
  <c r="V35" i="95"/>
  <c r="V84" i="95"/>
  <c r="V66" i="95"/>
  <c r="V62" i="95"/>
  <c r="V54" i="95"/>
  <c r="V30" i="95"/>
  <c r="V26" i="95"/>
  <c r="V77" i="95"/>
  <c r="V73" i="95"/>
  <c r="V57" i="95"/>
  <c r="V45" i="95"/>
  <c r="V17" i="95"/>
  <c r="V68" i="95"/>
  <c r="V56" i="95"/>
  <c r="V36" i="95"/>
  <c r="V32" i="95"/>
  <c r="Z12" i="95"/>
  <c r="V63" i="95"/>
  <c r="V47" i="95"/>
  <c r="V31" i="95"/>
  <c r="V27" i="95"/>
  <c r="V23" i="95"/>
  <c r="V78" i="95"/>
  <c r="V74" i="95"/>
  <c r="V70" i="95"/>
  <c r="V58" i="95"/>
  <c r="V46" i="95"/>
  <c r="V38" i="95"/>
  <c r="V22" i="95"/>
  <c r="V20" i="95"/>
  <c r="V18" i="95"/>
  <c r="V79" i="95"/>
  <c r="V69" i="95"/>
  <c r="V49" i="95"/>
  <c r="V37" i="95"/>
  <c r="V33" i="95"/>
  <c r="T20" i="95"/>
  <c r="V86" i="95"/>
  <c r="V64" i="95"/>
  <c r="V48" i="95"/>
  <c r="V40" i="95"/>
  <c r="V28" i="95"/>
  <c r="V24" i="95"/>
  <c r="V50" i="95"/>
  <c r="V42" i="95"/>
  <c r="V34" i="95"/>
  <c r="V65" i="95"/>
  <c r="V61" i="95"/>
  <c r="V53" i="95"/>
  <c r="V41" i="95"/>
  <c r="V29" i="95"/>
  <c r="V25" i="95"/>
  <c r="V75" i="95"/>
  <c r="V51" i="95"/>
  <c r="V39" i="95"/>
  <c r="V71" i="95"/>
  <c r="V59" i="95"/>
  <c r="L20" i="94"/>
  <c r="N20" i="94" s="1"/>
  <c r="D74" i="94"/>
  <c r="X20" i="87"/>
  <c r="Z20" i="87" s="1"/>
  <c r="P83" i="87"/>
  <c r="H83" i="87"/>
  <c r="N16" i="81"/>
  <c r="H22" i="81"/>
  <c r="T71" i="88"/>
  <c r="Z20" i="88"/>
  <c r="D63" i="78"/>
  <c r="L24" i="78"/>
  <c r="V124" i="74"/>
  <c r="V116" i="74"/>
  <c r="V100" i="74"/>
  <c r="V88" i="74"/>
  <c r="V84" i="74"/>
  <c r="V80" i="74"/>
  <c r="V125" i="74"/>
  <c r="V117" i="74"/>
  <c r="V130" i="74"/>
  <c r="V112" i="74"/>
  <c r="V104" i="74"/>
  <c r="V96" i="74"/>
  <c r="V129" i="74"/>
  <c r="V95" i="74"/>
  <c r="V91" i="74"/>
  <c r="V128" i="74"/>
  <c r="V126" i="74"/>
  <c r="V118" i="74"/>
  <c r="V114" i="74"/>
  <c r="V106" i="74"/>
  <c r="V98" i="74"/>
  <c r="V86" i="74"/>
  <c r="V82" i="74"/>
  <c r="V113" i="74"/>
  <c r="V105" i="74"/>
  <c r="V97" i="74"/>
  <c r="V134" i="74"/>
  <c r="V120" i="74"/>
  <c r="V108" i="74"/>
  <c r="V92" i="74"/>
  <c r="V122" i="74"/>
  <c r="V74" i="74"/>
  <c r="V70" i="74"/>
  <c r="V121" i="74"/>
  <c r="V109" i="74"/>
  <c r="V101" i="74"/>
  <c r="V93" i="74"/>
  <c r="V89" i="74"/>
  <c r="V107" i="74"/>
  <c r="V90" i="74"/>
  <c r="V85" i="74"/>
  <c r="V83" i="74"/>
  <c r="V79" i="74"/>
  <c r="V94" i="74"/>
  <c r="V81" i="74"/>
  <c r="V64" i="74"/>
  <c r="V62" i="74"/>
  <c r="V53" i="74"/>
  <c r="V60" i="74"/>
  <c r="V58" i="74"/>
  <c r="V56" i="74"/>
  <c r="V75" i="74"/>
  <c r="V73" i="74"/>
  <c r="V71" i="74"/>
  <c r="V69" i="74"/>
  <c r="V99" i="74"/>
  <c r="V67" i="74"/>
  <c r="V54" i="74"/>
  <c r="V110" i="74"/>
  <c r="V65" i="74"/>
  <c r="V63" i="74"/>
  <c r="V52" i="74"/>
  <c r="V123" i="74"/>
  <c r="V102" i="74"/>
  <c r="V77" i="74"/>
  <c r="V61" i="74"/>
  <c r="V59" i="74"/>
  <c r="V119" i="74"/>
  <c r="V115" i="74"/>
  <c r="V72" i="74"/>
  <c r="V68" i="74"/>
  <c r="V55" i="74"/>
  <c r="V87" i="74"/>
  <c r="V57" i="74"/>
  <c r="Z12" i="74"/>
  <c r="T77" i="74"/>
  <c r="V103" i="74"/>
  <c r="V66" i="74"/>
  <c r="V111" i="74"/>
  <c r="V51" i="73"/>
  <c r="P82" i="73"/>
  <c r="X51" i="73"/>
  <c r="Z51" i="73" s="1"/>
  <c r="N16" i="61"/>
  <c r="H48" i="61"/>
  <c r="X65" i="57"/>
  <c r="Z65" i="57" s="1"/>
  <c r="P69" i="57"/>
  <c r="L33" i="55"/>
  <c r="D37" i="55"/>
  <c r="F54" i="51"/>
  <c r="N123" i="39"/>
  <c r="L275" i="18"/>
  <c r="N275" i="18" s="1"/>
  <c r="V120" i="24"/>
  <c r="V112" i="24"/>
  <c r="V104" i="24"/>
  <c r="V96" i="24"/>
  <c r="V88" i="24"/>
  <c r="Z12" i="24"/>
  <c r="V125" i="24"/>
  <c r="V124" i="24"/>
  <c r="V122" i="24"/>
  <c r="V114" i="24"/>
  <c r="V106" i="24"/>
  <c r="V97" i="24"/>
  <c r="V89" i="24"/>
  <c r="V108" i="24"/>
  <c r="V84" i="24"/>
  <c r="V80" i="24"/>
  <c r="V98" i="24"/>
  <c r="V90" i="24"/>
  <c r="V86" i="24"/>
  <c r="V118" i="24"/>
  <c r="V110" i="24"/>
  <c r="V102" i="24"/>
  <c r="V94" i="24"/>
  <c r="V82" i="24"/>
  <c r="V78" i="24"/>
  <c r="V121" i="24"/>
  <c r="V113" i="24"/>
  <c r="V105" i="24"/>
  <c r="V93" i="24"/>
  <c r="V69" i="24"/>
  <c r="V65" i="24"/>
  <c r="V61" i="24"/>
  <c r="V57" i="24"/>
  <c r="V53" i="24"/>
  <c r="V49" i="24"/>
  <c r="V129" i="24"/>
  <c r="V100" i="24"/>
  <c r="V91" i="24"/>
  <c r="V59" i="24"/>
  <c r="V109" i="24"/>
  <c r="V87" i="24"/>
  <c r="V81" i="24"/>
  <c r="V63" i="24"/>
  <c r="V116" i="24"/>
  <c r="V107" i="24"/>
  <c r="V103" i="24"/>
  <c r="V85" i="24"/>
  <c r="V79" i="24"/>
  <c r="V67" i="24"/>
  <c r="V92" i="24"/>
  <c r="V83" i="24"/>
  <c r="V71" i="24"/>
  <c r="V52" i="24"/>
  <c r="V119" i="24"/>
  <c r="V101" i="24"/>
  <c r="T74" i="24"/>
  <c r="V56" i="24"/>
  <c r="V99" i="24"/>
  <c r="V60" i="24"/>
  <c r="V54" i="24"/>
  <c r="V50" i="24"/>
  <c r="V117" i="24"/>
  <c r="V64" i="24"/>
  <c r="V58" i="24"/>
  <c r="V115" i="24"/>
  <c r="V76" i="24"/>
  <c r="V72" i="24"/>
  <c r="V66" i="24"/>
  <c r="V111" i="24"/>
  <c r="V95" i="24"/>
  <c r="V77" i="24"/>
  <c r="V55" i="24"/>
  <c r="V51" i="24"/>
  <c r="V62" i="24"/>
  <c r="V70" i="24"/>
  <c r="V68" i="24"/>
  <c r="F255" i="15"/>
  <c r="F246" i="15"/>
  <c r="F234" i="15"/>
  <c r="F252" i="15"/>
  <c r="F235" i="15"/>
  <c r="F231" i="15"/>
  <c r="F230" i="15"/>
  <c r="F219" i="15"/>
  <c r="F218" i="15"/>
  <c r="F215" i="15"/>
  <c r="F263" i="15"/>
  <c r="F258" i="15"/>
  <c r="F245" i="15"/>
  <c r="F237" i="15"/>
  <c r="F233" i="15"/>
  <c r="F221" i="15"/>
  <c r="F257" i="15"/>
  <c r="F228" i="15"/>
  <c r="F227" i="15"/>
  <c r="F216" i="15"/>
  <c r="F208" i="15"/>
  <c r="F207" i="15"/>
  <c r="F256" i="15"/>
  <c r="F244" i="15"/>
  <c r="F241" i="15"/>
  <c r="F212" i="15"/>
  <c r="F190" i="15"/>
  <c r="F182" i="15"/>
  <c r="F181" i="15"/>
  <c r="F161" i="15"/>
  <c r="F154" i="15"/>
  <c r="F150" i="15"/>
  <c r="F146" i="15"/>
  <c r="F142" i="15"/>
  <c r="F138" i="15"/>
  <c r="F134" i="15"/>
  <c r="F130" i="15"/>
  <c r="F126" i="15"/>
  <c r="F122" i="15"/>
  <c r="F118" i="15"/>
  <c r="F114" i="15"/>
  <c r="F110" i="15"/>
  <c r="F251" i="15"/>
  <c r="F247" i="15"/>
  <c r="F225" i="15"/>
  <c r="F201" i="15"/>
  <c r="F200" i="15"/>
  <c r="F177" i="15"/>
  <c r="D159" i="15"/>
  <c r="F239" i="15"/>
  <c r="F223" i="15"/>
  <c r="F217" i="15"/>
  <c r="F192" i="15"/>
  <c r="F191" i="15"/>
  <c r="F184" i="15"/>
  <c r="F183" i="15"/>
  <c r="F172" i="15"/>
  <c r="F168" i="15"/>
  <c r="F164" i="15"/>
  <c r="F248" i="15"/>
  <c r="F242" i="15"/>
  <c r="F155" i="15"/>
  <c r="F151" i="15"/>
  <c r="F147" i="15"/>
  <c r="F143" i="15"/>
  <c r="F139" i="15"/>
  <c r="F135" i="15"/>
  <c r="F131" i="15"/>
  <c r="F127" i="15"/>
  <c r="F123" i="15"/>
  <c r="F119" i="15"/>
  <c r="F115" i="15"/>
  <c r="F111" i="15"/>
  <c r="F236" i="15"/>
  <c r="F220" i="15"/>
  <c r="F202" i="15"/>
  <c r="F178" i="15"/>
  <c r="F174" i="15"/>
  <c r="F173" i="15"/>
  <c r="F253" i="15"/>
  <c r="F213" i="15"/>
  <c r="F209" i="15"/>
  <c r="F193" i="15"/>
  <c r="F185" i="15"/>
  <c r="F169" i="15"/>
  <c r="F165" i="15"/>
  <c r="F254" i="15"/>
  <c r="F226" i="15"/>
  <c r="F156" i="15"/>
  <c r="F152" i="15"/>
  <c r="F148" i="15"/>
  <c r="F144" i="15"/>
  <c r="F140" i="15"/>
  <c r="F136" i="15"/>
  <c r="F132" i="15"/>
  <c r="F128" i="15"/>
  <c r="F124" i="15"/>
  <c r="F120" i="15"/>
  <c r="F116" i="15"/>
  <c r="F112" i="15"/>
  <c r="F108" i="15"/>
  <c r="F107" i="15"/>
  <c r="F259" i="15"/>
  <c r="F240" i="15"/>
  <c r="F224" i="15"/>
  <c r="F210" i="15"/>
  <c r="F203" i="15"/>
  <c r="F195" i="15"/>
  <c r="F194" i="15"/>
  <c r="F187" i="15"/>
  <c r="F186" i="15"/>
  <c r="F179" i="15"/>
  <c r="F175" i="15"/>
  <c r="F243" i="15"/>
  <c r="F229" i="15"/>
  <c r="F214" i="15"/>
  <c r="F204" i="15"/>
  <c r="F170" i="15"/>
  <c r="F166" i="15"/>
  <c r="F211" i="15"/>
  <c r="F206" i="15"/>
  <c r="F205" i="15"/>
  <c r="F180" i="15"/>
  <c r="F176" i="15"/>
  <c r="L12" i="15"/>
  <c r="N12" i="15" s="1"/>
  <c r="F238" i="15"/>
  <c r="F222" i="15"/>
  <c r="F199" i="15"/>
  <c r="F198" i="15"/>
  <c r="F171" i="15"/>
  <c r="F167" i="15"/>
  <c r="F163" i="15"/>
  <c r="F162" i="15"/>
  <c r="F197" i="15"/>
  <c r="F153" i="15"/>
  <c r="F145" i="15"/>
  <c r="F121" i="15"/>
  <c r="F113" i="15"/>
  <c r="F137" i="15"/>
  <c r="F129" i="15"/>
  <c r="F250" i="15"/>
  <c r="F232" i="15"/>
  <c r="F196" i="15"/>
  <c r="F109" i="15"/>
  <c r="F133" i="15"/>
  <c r="F125" i="15"/>
  <c r="F188" i="15"/>
  <c r="F141" i="15"/>
  <c r="F117" i="15"/>
  <c r="F149" i="15"/>
  <c r="F189" i="15"/>
  <c r="F157" i="15"/>
  <c r="R276" i="18"/>
  <c r="R273" i="18"/>
  <c r="R266" i="18"/>
  <c r="R265" i="18"/>
  <c r="R249" i="18"/>
  <c r="R238" i="18"/>
  <c r="R237" i="18"/>
  <c r="R217" i="18"/>
  <c r="R209" i="18"/>
  <c r="R198" i="18"/>
  <c r="R197" i="18"/>
  <c r="R193" i="18"/>
  <c r="R189" i="18"/>
  <c r="R287" i="18"/>
  <c r="R275" i="18"/>
  <c r="R260" i="18"/>
  <c r="R256" i="18"/>
  <c r="R244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128" i="18"/>
  <c r="R286" i="18"/>
  <c r="R268" i="18"/>
  <c r="R267" i="18"/>
  <c r="R239" i="18"/>
  <c r="R228" i="18"/>
  <c r="R227" i="18"/>
  <c r="R203" i="18"/>
  <c r="R199" i="18"/>
  <c r="R285" i="18"/>
  <c r="R250" i="18"/>
  <c r="R219" i="18"/>
  <c r="R218" i="18"/>
  <c r="R211" i="18"/>
  <c r="R210" i="18"/>
  <c r="R194" i="18"/>
  <c r="R190" i="18"/>
  <c r="R291" i="18"/>
  <c r="R284" i="18"/>
  <c r="R269" i="18"/>
  <c r="R261" i="18"/>
  <c r="R257" i="18"/>
  <c r="R245" i="18"/>
  <c r="R230" i="18"/>
  <c r="R229" i="18"/>
  <c r="R181" i="18"/>
  <c r="R177" i="18"/>
  <c r="R173" i="18"/>
  <c r="R169" i="18"/>
  <c r="R165" i="18"/>
  <c r="R161" i="18"/>
  <c r="R157" i="18"/>
  <c r="R153" i="18"/>
  <c r="R149" i="18"/>
  <c r="R145" i="18"/>
  <c r="R141" i="18"/>
  <c r="R137" i="18"/>
  <c r="R133" i="18"/>
  <c r="R129" i="18"/>
  <c r="R283" i="18"/>
  <c r="R240" i="18"/>
  <c r="R221" i="18"/>
  <c r="R220" i="18"/>
  <c r="R213" i="18"/>
  <c r="R212" i="18"/>
  <c r="R204" i="18"/>
  <c r="R200" i="18"/>
  <c r="R282" i="18"/>
  <c r="R252" i="18"/>
  <c r="R251" i="18"/>
  <c r="R232" i="18"/>
  <c r="R231" i="18"/>
  <c r="R195" i="18"/>
  <c r="R191" i="18"/>
  <c r="R280" i="18"/>
  <c r="R253" i="18"/>
  <c r="R241" i="18"/>
  <c r="R234" i="18"/>
  <c r="R233" i="18"/>
  <c r="R206" i="18"/>
  <c r="R205" i="18"/>
  <c r="R201" i="18"/>
  <c r="R186" i="18"/>
  <c r="R278" i="18"/>
  <c r="R272" i="18"/>
  <c r="R271" i="18"/>
  <c r="R259" i="18"/>
  <c r="R236" i="18"/>
  <c r="R235" i="18"/>
  <c r="R216" i="18"/>
  <c r="R215" i="18"/>
  <c r="R208" i="18"/>
  <c r="R207" i="18"/>
  <c r="R179" i="18"/>
  <c r="R175" i="18"/>
  <c r="R171" i="18"/>
  <c r="R167" i="18"/>
  <c r="R163" i="18"/>
  <c r="R159" i="18"/>
  <c r="R155" i="18"/>
  <c r="R151" i="18"/>
  <c r="R147" i="18"/>
  <c r="R143" i="18"/>
  <c r="R139" i="18"/>
  <c r="R135" i="18"/>
  <c r="R131" i="18"/>
  <c r="R127" i="18"/>
  <c r="R277" i="18"/>
  <c r="R255" i="18"/>
  <c r="R254" i="18"/>
  <c r="R243" i="18"/>
  <c r="R242" i="18"/>
  <c r="R226" i="18"/>
  <c r="R202" i="18"/>
  <c r="R281" i="18"/>
  <c r="P184" i="18"/>
  <c r="R184" i="18" s="1"/>
  <c r="R166" i="18"/>
  <c r="R146" i="18"/>
  <c r="R126" i="18"/>
  <c r="R192" i="18"/>
  <c r="R187" i="18"/>
  <c r="R138" i="18"/>
  <c r="R182" i="18"/>
  <c r="R279" i="18"/>
  <c r="R264" i="18"/>
  <c r="R262" i="18"/>
  <c r="R248" i="18"/>
  <c r="R246" i="18"/>
  <c r="R223" i="18"/>
  <c r="R225" i="18"/>
  <c r="R170" i="18"/>
  <c r="R158" i="18"/>
  <c r="R130" i="18"/>
  <c r="R125" i="18"/>
  <c r="R196" i="18"/>
  <c r="R150" i="18"/>
  <c r="R142" i="18"/>
  <c r="R214" i="18"/>
  <c r="R188" i="18"/>
  <c r="X12" i="18"/>
  <c r="Z12" i="18" s="1"/>
  <c r="R263" i="18"/>
  <c r="R247" i="18"/>
  <c r="R174" i="18"/>
  <c r="R162" i="18"/>
  <c r="R258" i="18"/>
  <c r="R224" i="18"/>
  <c r="R222" i="18"/>
  <c r="R270" i="18"/>
  <c r="R178" i="18"/>
  <c r="R154" i="18"/>
  <c r="R134" i="18"/>
  <c r="Z16" i="6"/>
  <c r="T22" i="6"/>
  <c r="X16" i="6"/>
  <c r="L16" i="6"/>
  <c r="D22" i="6"/>
  <c r="J296" i="3"/>
  <c r="X18" i="49"/>
  <c r="P27" i="49"/>
  <c r="H27" i="49"/>
  <c r="N18" i="49"/>
  <c r="X18" i="35"/>
  <c r="P27" i="35"/>
  <c r="X18" i="34"/>
  <c r="P27" i="34"/>
  <c r="D27" i="34"/>
  <c r="L18" i="34"/>
  <c r="D27" i="28"/>
  <c r="L18" i="28"/>
  <c r="T27" i="19"/>
  <c r="Z18" i="19"/>
  <c r="Z18" i="25"/>
  <c r="T27" i="25"/>
  <c r="Z18" i="23"/>
  <c r="T27" i="23"/>
  <c r="L18" i="13"/>
  <c r="D27" i="13"/>
  <c r="X18" i="26"/>
  <c r="P27" i="26"/>
  <c r="T27" i="11"/>
  <c r="Z18" i="11"/>
  <c r="T27" i="8"/>
  <c r="Z18" i="8"/>
  <c r="L18" i="8"/>
  <c r="D27" i="8"/>
  <c r="N18" i="8"/>
  <c r="H27" i="8"/>
  <c r="F21" i="105"/>
  <c r="T85" i="103"/>
  <c r="V21" i="103"/>
  <c r="J76" i="103"/>
  <c r="J66" i="103"/>
  <c r="J50" i="103"/>
  <c r="J77" i="103"/>
  <c r="J67" i="103"/>
  <c r="J78" i="103"/>
  <c r="J72" i="103"/>
  <c r="J68" i="103"/>
  <c r="J52" i="103"/>
  <c r="J79" i="103"/>
  <c r="J53" i="103"/>
  <c r="J80" i="103"/>
  <c r="J62" i="103"/>
  <c r="J54" i="103"/>
  <c r="J42" i="103"/>
  <c r="J64" i="103"/>
  <c r="J56" i="103"/>
  <c r="J44" i="103"/>
  <c r="J83" i="103"/>
  <c r="J60" i="103"/>
  <c r="J48" i="103"/>
  <c r="J75" i="103"/>
  <c r="J71" i="103"/>
  <c r="J49" i="103"/>
  <c r="J39" i="103"/>
  <c r="J35" i="103"/>
  <c r="J36" i="103"/>
  <c r="J28" i="103"/>
  <c r="J69" i="103"/>
  <c r="J65" i="103"/>
  <c r="J57" i="103"/>
  <c r="J32" i="103"/>
  <c r="J19" i="103"/>
  <c r="J55" i="103"/>
  <c r="J46" i="103"/>
  <c r="J24" i="103"/>
  <c r="J87" i="103"/>
  <c r="J43" i="103"/>
  <c r="J29" i="103"/>
  <c r="J25" i="103"/>
  <c r="J23" i="103"/>
  <c r="J21" i="103"/>
  <c r="J81" i="103"/>
  <c r="J73" i="103"/>
  <c r="J33" i="103"/>
  <c r="H21" i="103"/>
  <c r="J37" i="103"/>
  <c r="J58" i="103"/>
  <c r="J40" i="103"/>
  <c r="J34" i="103"/>
  <c r="J30" i="103"/>
  <c r="J26" i="103"/>
  <c r="N12" i="103"/>
  <c r="J74" i="103"/>
  <c r="J45" i="103"/>
  <c r="J41" i="103"/>
  <c r="J18" i="103"/>
  <c r="J61" i="103"/>
  <c r="J59" i="103"/>
  <c r="J17" i="103"/>
  <c r="J51" i="103"/>
  <c r="J70" i="103"/>
  <c r="J27" i="103"/>
  <c r="J47" i="103"/>
  <c r="J38" i="103"/>
  <c r="J31" i="103"/>
  <c r="J63" i="103"/>
  <c r="L12" i="103"/>
  <c r="N40" i="99"/>
  <c r="X17" i="99"/>
  <c r="Z17" i="99" s="1"/>
  <c r="T74" i="94"/>
  <c r="Z20" i="94"/>
  <c r="J20" i="95"/>
  <c r="R23" i="85"/>
  <c r="R22" i="85"/>
  <c r="P18" i="85"/>
  <c r="R25" i="85"/>
  <c r="R24" i="85"/>
  <c r="X12" i="85"/>
  <c r="Z12" i="85" s="1"/>
  <c r="R26" i="85"/>
  <c r="R28" i="85"/>
  <c r="R32" i="85"/>
  <c r="R15" i="85"/>
  <c r="R21" i="85"/>
  <c r="R16" i="85"/>
  <c r="R20" i="85"/>
  <c r="R18" i="85"/>
  <c r="V55" i="84"/>
  <c r="H82" i="73"/>
  <c r="J70" i="69"/>
  <c r="J60" i="69"/>
  <c r="J61" i="69"/>
  <c r="J55" i="69"/>
  <c r="J64" i="69"/>
  <c r="J58" i="69"/>
  <c r="J49" i="69"/>
  <c r="J37" i="69"/>
  <c r="J33" i="69"/>
  <c r="J23" i="69"/>
  <c r="J59" i="69"/>
  <c r="J50" i="69"/>
  <c r="J38" i="69"/>
  <c r="J28" i="69"/>
  <c r="J24" i="69"/>
  <c r="J22" i="69"/>
  <c r="J66" i="69"/>
  <c r="J62" i="69"/>
  <c r="J56" i="69"/>
  <c r="J51" i="69"/>
  <c r="J39" i="69"/>
  <c r="H20" i="69"/>
  <c r="J20" i="69" s="1"/>
  <c r="J52" i="69"/>
  <c r="J40" i="69"/>
  <c r="J34" i="69"/>
  <c r="J53" i="69"/>
  <c r="J41" i="69"/>
  <c r="J29" i="69"/>
  <c r="J25" i="69"/>
  <c r="J63" i="69"/>
  <c r="J42" i="69"/>
  <c r="J43" i="69"/>
  <c r="J35" i="69"/>
  <c r="J57" i="69"/>
  <c r="J44" i="69"/>
  <c r="J30" i="69"/>
  <c r="J26" i="69"/>
  <c r="J16" i="69"/>
  <c r="J47" i="69"/>
  <c r="J31" i="69"/>
  <c r="J27" i="69"/>
  <c r="J48" i="69"/>
  <c r="J32" i="69"/>
  <c r="J18" i="69"/>
  <c r="J46" i="69"/>
  <c r="J36" i="69"/>
  <c r="J54" i="69"/>
  <c r="N12" i="69"/>
  <c r="J17" i="69"/>
  <c r="J45" i="69"/>
  <c r="T107" i="76"/>
  <c r="Z112" i="70"/>
  <c r="L96" i="63"/>
  <c r="N96" i="63" s="1"/>
  <c r="D70" i="56"/>
  <c r="L16" i="56"/>
  <c r="L101" i="51"/>
  <c r="N101" i="51" s="1"/>
  <c r="Z16" i="54"/>
  <c r="T22" i="54"/>
  <c r="V83" i="45"/>
  <c r="V79" i="45"/>
  <c r="V75" i="45"/>
  <c r="V67" i="45"/>
  <c r="V59" i="45"/>
  <c r="V47" i="45"/>
  <c r="V96" i="45"/>
  <c r="V74" i="45"/>
  <c r="V62" i="45"/>
  <c r="V50" i="45"/>
  <c r="V84" i="45"/>
  <c r="V80" i="45"/>
  <c r="V76" i="45"/>
  <c r="V64" i="45"/>
  <c r="V52" i="45"/>
  <c r="V86" i="45"/>
  <c r="V70" i="45"/>
  <c r="V54" i="45"/>
  <c r="V42" i="45"/>
  <c r="V38" i="45"/>
  <c r="V89" i="45"/>
  <c r="V81" i="45"/>
  <c r="V77" i="45"/>
  <c r="V65" i="45"/>
  <c r="V53" i="45"/>
  <c r="V88" i="45"/>
  <c r="V56" i="45"/>
  <c r="V44" i="45"/>
  <c r="V73" i="45"/>
  <c r="V57" i="45"/>
  <c r="V45" i="45"/>
  <c r="V72" i="45"/>
  <c r="V68" i="45"/>
  <c r="V60" i="45"/>
  <c r="V48" i="45"/>
  <c r="V40" i="45"/>
  <c r="V36" i="45"/>
  <c r="V92" i="45"/>
  <c r="V87" i="45"/>
  <c r="V39" i="45"/>
  <c r="V35" i="45"/>
  <c r="V85" i="45"/>
  <c r="V28" i="45"/>
  <c r="V69" i="45"/>
  <c r="V63" i="45"/>
  <c r="V32" i="45"/>
  <c r="V19" i="45"/>
  <c r="V71" i="45"/>
  <c r="V61" i="45"/>
  <c r="V46" i="45"/>
  <c r="V37" i="45"/>
  <c r="V29" i="45"/>
  <c r="V55" i="45"/>
  <c r="V43" i="45"/>
  <c r="V33" i="45"/>
  <c r="V20" i="45"/>
  <c r="V90" i="45"/>
  <c r="V78" i="45"/>
  <c r="V82" i="45"/>
  <c r="V58" i="45"/>
  <c r="V49" i="45"/>
  <c r="T23" i="45"/>
  <c r="Z12" i="45"/>
  <c r="V31" i="45"/>
  <c r="V27" i="45"/>
  <c r="V34" i="45"/>
  <c r="V21" i="45"/>
  <c r="V66" i="45"/>
  <c r="V30" i="45"/>
  <c r="V25" i="45"/>
  <c r="V26" i="45"/>
  <c r="V51" i="45"/>
  <c r="V41" i="45"/>
  <c r="V23" i="45"/>
  <c r="J110" i="42"/>
  <c r="J102" i="42"/>
  <c r="J98" i="42"/>
  <c r="J94" i="42"/>
  <c r="J82" i="42"/>
  <c r="J74" i="42"/>
  <c r="J64" i="42"/>
  <c r="J46" i="42"/>
  <c r="J42" i="42"/>
  <c r="J117" i="42"/>
  <c r="J111" i="42"/>
  <c r="J103" i="42"/>
  <c r="J75" i="42"/>
  <c r="J65" i="42"/>
  <c r="J37" i="42"/>
  <c r="J33" i="42"/>
  <c r="J23" i="42"/>
  <c r="J116" i="42"/>
  <c r="J112" i="42"/>
  <c r="J104" i="42"/>
  <c r="J88" i="42"/>
  <c r="J121" i="42"/>
  <c r="J115" i="42"/>
  <c r="J105" i="42"/>
  <c r="J99" i="42"/>
  <c r="J95" i="42"/>
  <c r="J83" i="42"/>
  <c r="J77" i="42"/>
  <c r="J67" i="42"/>
  <c r="J47" i="42"/>
  <c r="J43" i="42"/>
  <c r="J114" i="42"/>
  <c r="J106" i="42"/>
  <c r="J84" i="42"/>
  <c r="J78" i="42"/>
  <c r="J48" i="42"/>
  <c r="J38" i="42"/>
  <c r="J34" i="42"/>
  <c r="J107" i="42"/>
  <c r="J89" i="42"/>
  <c r="J85" i="42"/>
  <c r="J57" i="42"/>
  <c r="J49" i="42"/>
  <c r="J25" i="42"/>
  <c r="J108" i="42"/>
  <c r="J100" i="42"/>
  <c r="J96" i="42"/>
  <c r="J90" i="42"/>
  <c r="J68" i="42"/>
  <c r="J58" i="42"/>
  <c r="J50" i="42"/>
  <c r="J44" i="42"/>
  <c r="J30" i="42"/>
  <c r="N12" i="42"/>
  <c r="J91" i="42"/>
  <c r="J92" i="42"/>
  <c r="J80" i="42"/>
  <c r="J72" i="42"/>
  <c r="J62" i="42"/>
  <c r="J54" i="42"/>
  <c r="J36" i="42"/>
  <c r="J32" i="42"/>
  <c r="J93" i="42"/>
  <c r="J87" i="42"/>
  <c r="J81" i="42"/>
  <c r="J73" i="42"/>
  <c r="J63" i="42"/>
  <c r="J55" i="42"/>
  <c r="J59" i="42"/>
  <c r="H27" i="42"/>
  <c r="J41" i="42"/>
  <c r="J53" i="42"/>
  <c r="J39" i="42"/>
  <c r="J71" i="42"/>
  <c r="J69" i="42"/>
  <c r="J51" i="42"/>
  <c r="J101" i="42"/>
  <c r="J45" i="42"/>
  <c r="J86" i="42"/>
  <c r="J76" i="42"/>
  <c r="J60" i="42"/>
  <c r="J56" i="42"/>
  <c r="J31" i="42"/>
  <c r="J29" i="42"/>
  <c r="J40" i="42"/>
  <c r="J52" i="42"/>
  <c r="J24" i="42"/>
  <c r="J109" i="42"/>
  <c r="J97" i="42"/>
  <c r="J79" i="42"/>
  <c r="J70" i="42"/>
  <c r="J35" i="42"/>
  <c r="J66" i="42"/>
  <c r="J61" i="42"/>
  <c r="J27" i="42"/>
  <c r="N88" i="33"/>
  <c r="J196" i="3"/>
  <c r="H27" i="52"/>
  <c r="N18" i="52"/>
  <c r="Z18" i="47"/>
  <c r="T27" i="47"/>
  <c r="H27" i="34"/>
  <c r="N18" i="34"/>
  <c r="T27" i="31"/>
  <c r="Z18" i="31"/>
  <c r="P27" i="22"/>
  <c r="X18" i="22"/>
  <c r="X18" i="20"/>
  <c r="P27" i="20"/>
  <c r="L18" i="17"/>
  <c r="D27" i="17"/>
  <c r="X18" i="11"/>
  <c r="P27" i="11"/>
  <c r="J17" i="109"/>
  <c r="X12" i="107"/>
  <c r="V70" i="101"/>
  <c r="V42" i="101"/>
  <c r="V34" i="101"/>
  <c r="V75" i="101"/>
  <c r="V65" i="101"/>
  <c r="V61" i="101"/>
  <c r="V53" i="101"/>
  <c r="V41" i="101"/>
  <c r="V74" i="101"/>
  <c r="V72" i="101"/>
  <c r="V60" i="101"/>
  <c r="V44" i="101"/>
  <c r="V66" i="101"/>
  <c r="V62" i="101"/>
  <c r="V54" i="101"/>
  <c r="V67" i="101"/>
  <c r="V63" i="101"/>
  <c r="V55" i="101"/>
  <c r="V47" i="101"/>
  <c r="V31" i="101"/>
  <c r="V27" i="101"/>
  <c r="V23" i="101"/>
  <c r="V68" i="101"/>
  <c r="V64" i="101"/>
  <c r="V52" i="101"/>
  <c r="V40" i="101"/>
  <c r="V58" i="101"/>
  <c r="V56" i="101"/>
  <c r="V36" i="101"/>
  <c r="V30" i="101"/>
  <c r="V45" i="101"/>
  <c r="V46" i="101"/>
  <c r="V39" i="101"/>
  <c r="V17" i="101"/>
  <c r="V43" i="101"/>
  <c r="V24" i="101"/>
  <c r="V71" i="101"/>
  <c r="V51" i="101"/>
  <c r="V49" i="101"/>
  <c r="V69" i="101"/>
  <c r="V37" i="101"/>
  <c r="V32" i="101"/>
  <c r="V28" i="101"/>
  <c r="V25" i="101"/>
  <c r="V18" i="101"/>
  <c r="V59" i="101"/>
  <c r="V57" i="101"/>
  <c r="V35" i="101"/>
  <c r="V20" i="101"/>
  <c r="V38" i="101"/>
  <c r="T20" i="101"/>
  <c r="V29" i="101"/>
  <c r="V33" i="101"/>
  <c r="V16" i="101"/>
  <c r="V26" i="101"/>
  <c r="V48" i="101"/>
  <c r="V79" i="101"/>
  <c r="V50" i="101"/>
  <c r="V22" i="101"/>
  <c r="Z12" i="101"/>
  <c r="P47" i="99"/>
  <c r="X43" i="99"/>
  <c r="D60" i="100"/>
  <c r="L19" i="100"/>
  <c r="N19" i="100" s="1"/>
  <c r="T50" i="102"/>
  <c r="N86" i="95"/>
  <c r="X91" i="91"/>
  <c r="P95" i="91"/>
  <c r="X12" i="83"/>
  <c r="Z12" i="83" s="1"/>
  <c r="N20" i="80"/>
  <c r="H69" i="80"/>
  <c r="D72" i="69"/>
  <c r="T58" i="67"/>
  <c r="Z16" i="67"/>
  <c r="T52" i="61"/>
  <c r="X16" i="61"/>
  <c r="P48" i="61"/>
  <c r="J60" i="48"/>
  <c r="J52" i="48"/>
  <c r="J44" i="48"/>
  <c r="J30" i="48"/>
  <c r="H17" i="48"/>
  <c r="J65" i="48"/>
  <c r="J53" i="48"/>
  <c r="J45" i="48"/>
  <c r="J35" i="48"/>
  <c r="J31" i="48"/>
  <c r="J54" i="48"/>
  <c r="J46" i="48"/>
  <c r="J47" i="48"/>
  <c r="J37" i="48"/>
  <c r="J48" i="48"/>
  <c r="J38" i="48"/>
  <c r="J32" i="48"/>
  <c r="N12" i="48"/>
  <c r="J55" i="48"/>
  <c r="J49" i="48"/>
  <c r="J39" i="48"/>
  <c r="J27" i="48"/>
  <c r="J23" i="48"/>
  <c r="J50" i="48"/>
  <c r="J40" i="48"/>
  <c r="J41" i="48"/>
  <c r="J33" i="48"/>
  <c r="J58" i="48"/>
  <c r="J34" i="48"/>
  <c r="J20" i="48"/>
  <c r="J61" i="48"/>
  <c r="J29" i="48"/>
  <c r="J25" i="48"/>
  <c r="J21" i="48"/>
  <c r="J19" i="48"/>
  <c r="J17" i="48"/>
  <c r="J15" i="48"/>
  <c r="J43" i="48"/>
  <c r="J57" i="48"/>
  <c r="J51" i="48"/>
  <c r="J22" i="48"/>
  <c r="J42" i="48"/>
  <c r="J24" i="48"/>
  <c r="J28" i="48"/>
  <c r="J26" i="48"/>
  <c r="J56" i="48"/>
  <c r="J36" i="48"/>
  <c r="H70" i="56"/>
  <c r="N16" i="56"/>
  <c r="V54" i="51"/>
  <c r="P94" i="45"/>
  <c r="X23" i="45"/>
  <c r="H94" i="45"/>
  <c r="T128" i="39"/>
  <c r="J280" i="18"/>
  <c r="J264" i="18"/>
  <c r="J248" i="18"/>
  <c r="J234" i="18"/>
  <c r="J224" i="18"/>
  <c r="J206" i="18"/>
  <c r="J196" i="18"/>
  <c r="J192" i="18"/>
  <c r="J188" i="18"/>
  <c r="J186" i="18"/>
  <c r="J279" i="18"/>
  <c r="J271" i="18"/>
  <c r="J259" i="18"/>
  <c r="J235" i="18"/>
  <c r="J225" i="18"/>
  <c r="J215" i="18"/>
  <c r="J207" i="18"/>
  <c r="H184" i="18"/>
  <c r="J184" i="18" s="1"/>
  <c r="J179" i="18"/>
  <c r="J175" i="18"/>
  <c r="J171" i="18"/>
  <c r="J167" i="18"/>
  <c r="J163" i="18"/>
  <c r="J159" i="18"/>
  <c r="J155" i="18"/>
  <c r="J151" i="18"/>
  <c r="J147" i="18"/>
  <c r="J143" i="18"/>
  <c r="J139" i="18"/>
  <c r="J135" i="18"/>
  <c r="J131" i="18"/>
  <c r="J127" i="18"/>
  <c r="J278" i="18"/>
  <c r="J272" i="18"/>
  <c r="J254" i="18"/>
  <c r="J242" i="18"/>
  <c r="J236" i="18"/>
  <c r="J226" i="18"/>
  <c r="J216" i="18"/>
  <c r="J208" i="18"/>
  <c r="J202" i="18"/>
  <c r="J277" i="18"/>
  <c r="J273" i="18"/>
  <c r="J265" i="18"/>
  <c r="J255" i="18"/>
  <c r="J249" i="18"/>
  <c r="J243" i="18"/>
  <c r="J237" i="18"/>
  <c r="J217" i="18"/>
  <c r="J209" i="18"/>
  <c r="J197" i="18"/>
  <c r="J193" i="18"/>
  <c r="J189" i="18"/>
  <c r="J276" i="18"/>
  <c r="J266" i="18"/>
  <c r="J260" i="18"/>
  <c r="J256" i="18"/>
  <c r="J244" i="18"/>
  <c r="J238" i="18"/>
  <c r="J198" i="18"/>
  <c r="J180" i="18"/>
  <c r="J176" i="18"/>
  <c r="J172" i="18"/>
  <c r="J168" i="18"/>
  <c r="J164" i="18"/>
  <c r="J160" i="18"/>
  <c r="J156" i="18"/>
  <c r="J152" i="18"/>
  <c r="J148" i="18"/>
  <c r="J144" i="18"/>
  <c r="J140" i="18"/>
  <c r="J136" i="18"/>
  <c r="J132" i="18"/>
  <c r="J128" i="18"/>
  <c r="J287" i="18"/>
  <c r="J275" i="18"/>
  <c r="J267" i="18"/>
  <c r="J239" i="18"/>
  <c r="J227" i="18"/>
  <c r="J203" i="18"/>
  <c r="J199" i="18"/>
  <c r="J286" i="18"/>
  <c r="J268" i="18"/>
  <c r="J250" i="18"/>
  <c r="J228" i="18"/>
  <c r="J218" i="18"/>
  <c r="J210" i="18"/>
  <c r="J194" i="18"/>
  <c r="J190" i="18"/>
  <c r="J284" i="18"/>
  <c r="J240" i="18"/>
  <c r="J230" i="18"/>
  <c r="J220" i="18"/>
  <c r="J212" i="18"/>
  <c r="J204" i="18"/>
  <c r="J200" i="18"/>
  <c r="J282" i="18"/>
  <c r="J270" i="18"/>
  <c r="J262" i="18"/>
  <c r="J258" i="18"/>
  <c r="J252" i="18"/>
  <c r="J246" i="18"/>
  <c r="J232" i="18"/>
  <c r="J222" i="18"/>
  <c r="J214" i="18"/>
  <c r="J182" i="18"/>
  <c r="J178" i="18"/>
  <c r="J174" i="18"/>
  <c r="J170" i="18"/>
  <c r="J166" i="18"/>
  <c r="J162" i="18"/>
  <c r="J158" i="18"/>
  <c r="J154" i="18"/>
  <c r="J150" i="18"/>
  <c r="J146" i="18"/>
  <c r="J142" i="18"/>
  <c r="J138" i="18"/>
  <c r="J134" i="18"/>
  <c r="J130" i="18"/>
  <c r="J126" i="18"/>
  <c r="J281" i="18"/>
  <c r="J263" i="18"/>
  <c r="J253" i="18"/>
  <c r="J247" i="18"/>
  <c r="J241" i="18"/>
  <c r="J233" i="18"/>
  <c r="J223" i="18"/>
  <c r="J205" i="18"/>
  <c r="J201" i="18"/>
  <c r="J187" i="18"/>
  <c r="J231" i="18"/>
  <c r="J149" i="18"/>
  <c r="J141" i="18"/>
  <c r="J283" i="18"/>
  <c r="J195" i="18"/>
  <c r="J213" i="18"/>
  <c r="J173" i="18"/>
  <c r="J161" i="18"/>
  <c r="J291" i="18"/>
  <c r="J251" i="18"/>
  <c r="J211" i="18"/>
  <c r="J133" i="18"/>
  <c r="J269" i="18"/>
  <c r="J257" i="18"/>
  <c r="J221" i="18"/>
  <c r="J219" i="18"/>
  <c r="J177" i="18"/>
  <c r="J165" i="18"/>
  <c r="J153" i="18"/>
  <c r="J145" i="18"/>
  <c r="J137" i="18"/>
  <c r="J191" i="18"/>
  <c r="J125" i="18"/>
  <c r="J285" i="18"/>
  <c r="J169" i="18"/>
  <c r="J229" i="18"/>
  <c r="J157" i="18"/>
  <c r="J129" i="18"/>
  <c r="J181" i="18"/>
  <c r="J261" i="18"/>
  <c r="J245" i="18"/>
  <c r="F109" i="24"/>
  <c r="F108" i="24"/>
  <c r="F85" i="24"/>
  <c r="F81" i="24"/>
  <c r="F134" i="24"/>
  <c r="F131" i="24"/>
  <c r="F116" i="24"/>
  <c r="F100" i="24"/>
  <c r="F99" i="24"/>
  <c r="F91" i="24"/>
  <c r="F87" i="24"/>
  <c r="F86" i="24"/>
  <c r="F118" i="24"/>
  <c r="F117" i="24"/>
  <c r="F110" i="24"/>
  <c r="F102" i="24"/>
  <c r="F101" i="24"/>
  <c r="F82" i="24"/>
  <c r="F78" i="24"/>
  <c r="F77" i="24"/>
  <c r="F93" i="24"/>
  <c r="F92" i="24"/>
  <c r="F76" i="24"/>
  <c r="F74" i="24"/>
  <c r="F69" i="24"/>
  <c r="F65" i="24"/>
  <c r="F61" i="24"/>
  <c r="F57" i="24"/>
  <c r="F53" i="24"/>
  <c r="F95" i="24"/>
  <c r="F94" i="24"/>
  <c r="F83" i="24"/>
  <c r="F79" i="24"/>
  <c r="F129" i="24"/>
  <c r="F124" i="24"/>
  <c r="F115" i="24"/>
  <c r="F107" i="24"/>
  <c r="F71" i="24"/>
  <c r="F67" i="24"/>
  <c r="F63" i="24"/>
  <c r="F59" i="24"/>
  <c r="F55" i="24"/>
  <c r="F51" i="24"/>
  <c r="F98" i="24"/>
  <c r="F90" i="24"/>
  <c r="F120" i="24"/>
  <c r="F113" i="24"/>
  <c r="F97" i="24"/>
  <c r="F84" i="24"/>
  <c r="F125" i="24"/>
  <c r="F89" i="24"/>
  <c r="F111" i="24"/>
  <c r="F105" i="24"/>
  <c r="F49" i="24"/>
  <c r="L12" i="24"/>
  <c r="N12" i="24" s="1"/>
  <c r="F114" i="24"/>
  <c r="F121" i="24"/>
  <c r="F112" i="24"/>
  <c r="F96" i="24"/>
  <c r="D74" i="24"/>
  <c r="F103" i="24"/>
  <c r="F60" i="24"/>
  <c r="F58" i="24"/>
  <c r="F50" i="24"/>
  <c r="F119" i="24"/>
  <c r="F104" i="24"/>
  <c r="F68" i="24"/>
  <c r="F66" i="24"/>
  <c r="F122" i="24"/>
  <c r="F80" i="24"/>
  <c r="F72" i="24"/>
  <c r="F70" i="24"/>
  <c r="F88" i="24"/>
  <c r="F56" i="24"/>
  <c r="F62" i="24"/>
  <c r="F64" i="24"/>
  <c r="F106" i="24"/>
  <c r="F52" i="24"/>
  <c r="F127" i="24"/>
  <c r="F54" i="24"/>
  <c r="R243" i="15"/>
  <c r="R242" i="15"/>
  <c r="R214" i="15"/>
  <c r="R258" i="15"/>
  <c r="R215" i="15"/>
  <c r="R254" i="15"/>
  <c r="R239" i="15"/>
  <c r="R223" i="15"/>
  <c r="R252" i="15"/>
  <c r="R230" i="15"/>
  <c r="R229" i="15"/>
  <c r="R218" i="15"/>
  <c r="R217" i="15"/>
  <c r="R251" i="15"/>
  <c r="R248" i="15"/>
  <c r="R241" i="15"/>
  <c r="R240" i="15"/>
  <c r="R224" i="15"/>
  <c r="R213" i="15"/>
  <c r="R212" i="15"/>
  <c r="R263" i="15"/>
  <c r="R228" i="15"/>
  <c r="R202" i="15"/>
  <c r="R178" i="15"/>
  <c r="R174" i="15"/>
  <c r="R107" i="15"/>
  <c r="R259" i="15"/>
  <c r="R253" i="15"/>
  <c r="R245" i="15"/>
  <c r="R236" i="15"/>
  <c r="R231" i="15"/>
  <c r="R220" i="15"/>
  <c r="R209" i="15"/>
  <c r="R203" i="15"/>
  <c r="R194" i="15"/>
  <c r="R193" i="15"/>
  <c r="R186" i="15"/>
  <c r="R185" i="15"/>
  <c r="R169" i="15"/>
  <c r="R165" i="15"/>
  <c r="R234" i="15"/>
  <c r="R156" i="15"/>
  <c r="R152" i="15"/>
  <c r="R148" i="15"/>
  <c r="R144" i="15"/>
  <c r="R140" i="15"/>
  <c r="R136" i="15"/>
  <c r="R132" i="15"/>
  <c r="R128" i="15"/>
  <c r="R124" i="15"/>
  <c r="R120" i="15"/>
  <c r="R116" i="15"/>
  <c r="R112" i="15"/>
  <c r="R108" i="15"/>
  <c r="R226" i="15"/>
  <c r="R196" i="15"/>
  <c r="R195" i="15"/>
  <c r="R188" i="15"/>
  <c r="R187" i="15"/>
  <c r="R179" i="15"/>
  <c r="R175" i="15"/>
  <c r="R210" i="15"/>
  <c r="R205" i="15"/>
  <c r="R204" i="15"/>
  <c r="R170" i="15"/>
  <c r="R166" i="15"/>
  <c r="R250" i="15"/>
  <c r="R237" i="15"/>
  <c r="R232" i="15"/>
  <c r="R221" i="15"/>
  <c r="R198" i="15"/>
  <c r="R197" i="15"/>
  <c r="R189" i="15"/>
  <c r="R162" i="15"/>
  <c r="R157" i="15"/>
  <c r="R153" i="15"/>
  <c r="R149" i="15"/>
  <c r="R145" i="15"/>
  <c r="R141" i="15"/>
  <c r="R137" i="15"/>
  <c r="R133" i="15"/>
  <c r="R129" i="15"/>
  <c r="R125" i="15"/>
  <c r="R121" i="15"/>
  <c r="R117" i="15"/>
  <c r="R113" i="15"/>
  <c r="R109" i="15"/>
  <c r="R255" i="15"/>
  <c r="R246" i="15"/>
  <c r="R227" i="15"/>
  <c r="R216" i="15"/>
  <c r="R211" i="15"/>
  <c r="R206" i="15"/>
  <c r="R181" i="15"/>
  <c r="R180" i="15"/>
  <c r="R176" i="15"/>
  <c r="R161" i="15"/>
  <c r="X12" i="15"/>
  <c r="Z12" i="15" s="1"/>
  <c r="R238" i="15"/>
  <c r="R222" i="15"/>
  <c r="R207" i="15"/>
  <c r="R200" i="15"/>
  <c r="R199" i="15"/>
  <c r="R171" i="15"/>
  <c r="R167" i="15"/>
  <c r="R163" i="15"/>
  <c r="P159" i="15"/>
  <c r="R159" i="15" s="1"/>
  <c r="R256" i="15"/>
  <c r="R235" i="15"/>
  <c r="R219" i="15"/>
  <c r="R191" i="15"/>
  <c r="R190" i="15"/>
  <c r="R183" i="15"/>
  <c r="R182" i="15"/>
  <c r="R154" i="15"/>
  <c r="R150" i="15"/>
  <c r="R146" i="15"/>
  <c r="R142" i="15"/>
  <c r="R138" i="15"/>
  <c r="R134" i="15"/>
  <c r="R130" i="15"/>
  <c r="R126" i="15"/>
  <c r="R122" i="15"/>
  <c r="R118" i="15"/>
  <c r="R114" i="15"/>
  <c r="R110" i="15"/>
  <c r="R257" i="15"/>
  <c r="R192" i="15"/>
  <c r="R184" i="15"/>
  <c r="R173" i="15"/>
  <c r="R172" i="15"/>
  <c r="R168" i="15"/>
  <c r="R164" i="15"/>
  <c r="R208" i="15"/>
  <c r="R155" i="15"/>
  <c r="R151" i="15"/>
  <c r="R147" i="15"/>
  <c r="R143" i="15"/>
  <c r="R139" i="15"/>
  <c r="R135" i="15"/>
  <c r="R131" i="15"/>
  <c r="R127" i="15"/>
  <c r="R123" i="15"/>
  <c r="R119" i="15"/>
  <c r="R115" i="15"/>
  <c r="R111" i="15"/>
  <c r="R247" i="15"/>
  <c r="R225" i="15"/>
  <c r="R244" i="15"/>
  <c r="R201" i="15"/>
  <c r="R233" i="15"/>
  <c r="R177" i="15"/>
  <c r="R296" i="3"/>
  <c r="T27" i="111"/>
  <c r="Z18" i="111"/>
  <c r="T27" i="43"/>
  <c r="Z18" i="43"/>
  <c r="T27" i="41"/>
  <c r="Z18" i="41"/>
  <c r="H27" i="40"/>
  <c r="N18" i="40"/>
  <c r="X18" i="38"/>
  <c r="P27" i="38"/>
  <c r="T27" i="26"/>
  <c r="Z18" i="26"/>
  <c r="H27" i="23"/>
  <c r="N18" i="23"/>
  <c r="H27" i="26"/>
  <c r="N18" i="26"/>
  <c r="H27" i="25"/>
  <c r="N18" i="25"/>
  <c r="X18" i="14"/>
  <c r="P27" i="14"/>
  <c r="P86" i="73" l="1"/>
  <c r="X82" i="73"/>
  <c r="P65" i="59"/>
  <c r="X61" i="59"/>
  <c r="N27" i="41"/>
  <c r="H31" i="41"/>
  <c r="X27" i="7"/>
  <c r="P31" i="7"/>
  <c r="P39" i="108"/>
  <c r="X35" i="108"/>
  <c r="Z35" i="108" s="1"/>
  <c r="P31" i="44"/>
  <c r="X27" i="44"/>
  <c r="Z27" i="110"/>
  <c r="T31" i="110"/>
  <c r="D65" i="59"/>
  <c r="L61" i="59"/>
  <c r="N61" i="59" s="1"/>
  <c r="D50" i="102"/>
  <c r="L46" i="102"/>
  <c r="N46" i="102" s="1"/>
  <c r="T122" i="36"/>
  <c r="Z28" i="36"/>
  <c r="X28" i="36"/>
  <c r="H74" i="56"/>
  <c r="D64" i="100"/>
  <c r="L60" i="100"/>
  <c r="X27" i="20"/>
  <c r="P31" i="20"/>
  <c r="Z27" i="11"/>
  <c r="T31" i="11"/>
  <c r="L27" i="28"/>
  <c r="D31" i="28"/>
  <c r="L22" i="6"/>
  <c r="D26" i="6"/>
  <c r="T127" i="24"/>
  <c r="D67" i="78"/>
  <c r="T89" i="95"/>
  <c r="X20" i="95"/>
  <c r="Z20" i="95" s="1"/>
  <c r="D31" i="11"/>
  <c r="L27" i="11"/>
  <c r="X27" i="40"/>
  <c r="P31" i="40"/>
  <c r="H104" i="21"/>
  <c r="J100" i="21"/>
  <c r="T118" i="27"/>
  <c r="H96" i="33"/>
  <c r="H111" i="76"/>
  <c r="J107" i="76"/>
  <c r="X85" i="103"/>
  <c r="P89" i="103"/>
  <c r="R85" i="103"/>
  <c r="D119" i="42"/>
  <c r="L27" i="42"/>
  <c r="H67" i="109"/>
  <c r="N63" i="109"/>
  <c r="J63" i="109"/>
  <c r="X26" i="54"/>
  <c r="P31" i="54"/>
  <c r="L27" i="43"/>
  <c r="D31" i="43"/>
  <c r="T289" i="18"/>
  <c r="D71" i="88"/>
  <c r="L20" i="88"/>
  <c r="N20" i="88" s="1"/>
  <c r="H50" i="102"/>
  <c r="X27" i="47"/>
  <c r="P31" i="47"/>
  <c r="X50" i="60"/>
  <c r="P54" i="60"/>
  <c r="T31" i="5"/>
  <c r="Z27" i="5"/>
  <c r="T70" i="93"/>
  <c r="V66" i="93"/>
  <c r="D89" i="95"/>
  <c r="L20" i="95"/>
  <c r="N20" i="95" s="1"/>
  <c r="Z19" i="100"/>
  <c r="T60" i="100"/>
  <c r="N27" i="37"/>
  <c r="H31" i="37"/>
  <c r="H84" i="75"/>
  <c r="J80" i="75"/>
  <c r="Z27" i="4"/>
  <c r="T31" i="4"/>
  <c r="H315" i="3"/>
  <c r="N311" i="3"/>
  <c r="J311" i="3"/>
  <c r="Z61" i="59"/>
  <c r="T65" i="59"/>
  <c r="H112" i="68"/>
  <c r="T34" i="85"/>
  <c r="V30" i="85"/>
  <c r="P96" i="95"/>
  <c r="R93" i="95"/>
  <c r="H31" i="111"/>
  <c r="N27" i="111"/>
  <c r="Z21" i="107"/>
  <c r="T83" i="107"/>
  <c r="D31" i="31"/>
  <c r="L27" i="31"/>
  <c r="D105" i="63"/>
  <c r="L101" i="63"/>
  <c r="N101" i="63" s="1"/>
  <c r="X27" i="16"/>
  <c r="P31" i="16"/>
  <c r="X27" i="17"/>
  <c r="P31" i="17"/>
  <c r="L59" i="70"/>
  <c r="D117" i="70"/>
  <c r="D31" i="25"/>
  <c r="L27" i="25"/>
  <c r="D75" i="69"/>
  <c r="T77" i="101"/>
  <c r="T89" i="103"/>
  <c r="Z85" i="103"/>
  <c r="V85" i="103"/>
  <c r="X27" i="26"/>
  <c r="P31" i="26"/>
  <c r="D78" i="94"/>
  <c r="L74" i="94"/>
  <c r="N74" i="94" s="1"/>
  <c r="L311" i="3"/>
  <c r="D315" i="3"/>
  <c r="F311" i="3"/>
  <c r="L27" i="46"/>
  <c r="D31" i="46"/>
  <c r="X21" i="82"/>
  <c r="Z21" i="82" s="1"/>
  <c r="P27" i="82"/>
  <c r="N27" i="44"/>
  <c r="H31" i="44"/>
  <c r="N27" i="110"/>
  <c r="H31" i="110"/>
  <c r="T96" i="33"/>
  <c r="X27" i="10"/>
  <c r="P31" i="10"/>
  <c r="V184" i="18"/>
  <c r="T39" i="108"/>
  <c r="T31" i="17"/>
  <c r="Z27" i="17"/>
  <c r="N27" i="31"/>
  <c r="H31" i="31"/>
  <c r="P118" i="27"/>
  <c r="X60" i="27"/>
  <c r="Z60" i="27" s="1"/>
  <c r="L50" i="60"/>
  <c r="N50" i="60" s="1"/>
  <c r="D54" i="60"/>
  <c r="D52" i="61"/>
  <c r="L48" i="61"/>
  <c r="T112" i="68"/>
  <c r="H81" i="94"/>
  <c r="J78" i="94"/>
  <c r="Z27" i="112"/>
  <c r="T31" i="112"/>
  <c r="D111" i="51"/>
  <c r="L107" i="51"/>
  <c r="F107" i="51"/>
  <c r="H78" i="58"/>
  <c r="D42" i="108"/>
  <c r="T269" i="12"/>
  <c r="H98" i="91"/>
  <c r="T111" i="76"/>
  <c r="V107" i="76"/>
  <c r="P129" i="36"/>
  <c r="R126" i="36"/>
  <c r="L72" i="72"/>
  <c r="N72" i="72" s="1"/>
  <c r="D76" i="72"/>
  <c r="L27" i="50"/>
  <c r="D31" i="50"/>
  <c r="H118" i="27"/>
  <c r="P49" i="104"/>
  <c r="X21" i="104"/>
  <c r="Z21" i="104" s="1"/>
  <c r="X27" i="111"/>
  <c r="P31" i="111"/>
  <c r="P107" i="51"/>
  <c r="X54" i="51"/>
  <c r="Z54" i="51" s="1"/>
  <c r="D72" i="79"/>
  <c r="L68" i="79"/>
  <c r="X27" i="14"/>
  <c r="P31" i="14"/>
  <c r="H31" i="40"/>
  <c r="N27" i="40"/>
  <c r="H73" i="80"/>
  <c r="J69" i="80"/>
  <c r="P50" i="99"/>
  <c r="P30" i="85"/>
  <c r="X18" i="85"/>
  <c r="Z18" i="85" s="1"/>
  <c r="L27" i="34"/>
  <c r="D31" i="34"/>
  <c r="T75" i="88"/>
  <c r="V71" i="88"/>
  <c r="L27" i="16"/>
  <c r="D31" i="16"/>
  <c r="V20" i="83"/>
  <c r="T72" i="92"/>
  <c r="Z19" i="92"/>
  <c r="X19" i="92"/>
  <c r="T93" i="105"/>
  <c r="V89" i="105"/>
  <c r="Z27" i="13"/>
  <c r="T31" i="13"/>
  <c r="R21" i="82"/>
  <c r="T67" i="109"/>
  <c r="V63" i="109"/>
  <c r="T315" i="3"/>
  <c r="V311" i="3"/>
  <c r="D80" i="75"/>
  <c r="L28" i="75"/>
  <c r="N28" i="75" s="1"/>
  <c r="X69" i="80"/>
  <c r="P73" i="80"/>
  <c r="T31" i="49"/>
  <c r="Z27" i="49"/>
  <c r="P54" i="98"/>
  <c r="R51" i="98"/>
  <c r="N27" i="22"/>
  <c r="H31" i="22"/>
  <c r="D31" i="32"/>
  <c r="L27" i="32"/>
  <c r="L27" i="52"/>
  <c r="D31" i="52"/>
  <c r="T26" i="81"/>
  <c r="Z22" i="81"/>
  <c r="L27" i="38"/>
  <c r="D31" i="38"/>
  <c r="N27" i="50"/>
  <c r="H31" i="50"/>
  <c r="R60" i="27"/>
  <c r="H54" i="60"/>
  <c r="H31" i="14"/>
  <c r="N27" i="14"/>
  <c r="T31" i="44"/>
  <c r="Z27" i="44"/>
  <c r="N22" i="6"/>
  <c r="H26" i="6"/>
  <c r="H79" i="72"/>
  <c r="J76" i="72"/>
  <c r="H273" i="12"/>
  <c r="J269" i="12"/>
  <c r="N68" i="79"/>
  <c r="H72" i="79"/>
  <c r="J68" i="79"/>
  <c r="D76" i="92"/>
  <c r="L72" i="92"/>
  <c r="N27" i="19"/>
  <c r="H31" i="19"/>
  <c r="H31" i="28"/>
  <c r="N27" i="28"/>
  <c r="D87" i="107"/>
  <c r="D31" i="19"/>
  <c r="L27" i="19"/>
  <c r="P31" i="50"/>
  <c r="X27" i="50"/>
  <c r="L71" i="58"/>
  <c r="N71" i="58" s="1"/>
  <c r="D75" i="58"/>
  <c r="H68" i="59"/>
  <c r="T47" i="99"/>
  <c r="X47" i="99" s="1"/>
  <c r="Z43" i="99"/>
  <c r="L27" i="35"/>
  <c r="D31" i="35"/>
  <c r="X27" i="112"/>
  <c r="P31" i="112"/>
  <c r="J60" i="27"/>
  <c r="D122" i="36"/>
  <c r="L28" i="36"/>
  <c r="N28" i="36" s="1"/>
  <c r="P84" i="83"/>
  <c r="L20" i="93"/>
  <c r="N20" i="93" s="1"/>
  <c r="D66" i="93"/>
  <c r="T67" i="48"/>
  <c r="V63" i="48"/>
  <c r="T31" i="35"/>
  <c r="Z27" i="35"/>
  <c r="H261" i="15"/>
  <c r="H70" i="93"/>
  <c r="J66" i="93"/>
  <c r="P87" i="107"/>
  <c r="X83" i="107"/>
  <c r="L91" i="91"/>
  <c r="N91" i="91" s="1"/>
  <c r="D95" i="91"/>
  <c r="X63" i="48"/>
  <c r="Z63" i="48" s="1"/>
  <c r="H31" i="25"/>
  <c r="N27" i="25"/>
  <c r="H119" i="42"/>
  <c r="N27" i="42"/>
  <c r="P289" i="18"/>
  <c r="X184" i="18"/>
  <c r="Z184" i="18" s="1"/>
  <c r="T132" i="74"/>
  <c r="D98" i="9"/>
  <c r="V60" i="27"/>
  <c r="T72" i="79"/>
  <c r="V68" i="79"/>
  <c r="P31" i="53"/>
  <c r="X27" i="53"/>
  <c r="T119" i="42"/>
  <c r="D94" i="45"/>
  <c r="L23" i="45"/>
  <c r="N23" i="45" s="1"/>
  <c r="D82" i="73"/>
  <c r="L51" i="73"/>
  <c r="N51" i="73" s="1"/>
  <c r="L164" i="12"/>
  <c r="N164" i="12" s="1"/>
  <c r="D269" i="12"/>
  <c r="X46" i="102"/>
  <c r="Z46" i="102" s="1"/>
  <c r="P50" i="102"/>
  <c r="L27" i="4"/>
  <c r="D31" i="4"/>
  <c r="L27" i="53"/>
  <c r="D31" i="53"/>
  <c r="D51" i="98"/>
  <c r="L47" i="98"/>
  <c r="F47" i="98"/>
  <c r="P31" i="25"/>
  <c r="X27" i="25"/>
  <c r="N27" i="32"/>
  <c r="H31" i="32"/>
  <c r="P315" i="3"/>
  <c r="X311" i="3"/>
  <c r="Z311" i="3" s="1"/>
  <c r="R311" i="3"/>
  <c r="N74" i="24"/>
  <c r="H127" i="24"/>
  <c r="X84" i="30"/>
  <c r="Z84" i="30" s="1"/>
  <c r="P161" i="30"/>
  <c r="P128" i="39"/>
  <c r="X33" i="39"/>
  <c r="Z33" i="39" s="1"/>
  <c r="N27" i="11"/>
  <c r="H31" i="11"/>
  <c r="T111" i="51"/>
  <c r="V107" i="51"/>
  <c r="N59" i="70"/>
  <c r="H117" i="70"/>
  <c r="P31" i="29"/>
  <c r="X27" i="29"/>
  <c r="N27" i="47"/>
  <c r="H31" i="47"/>
  <c r="H72" i="92"/>
  <c r="N19" i="92"/>
  <c r="N21" i="107"/>
  <c r="H83" i="107"/>
  <c r="L83" i="107" s="1"/>
  <c r="D31" i="40"/>
  <c r="L27" i="40"/>
  <c r="H69" i="57"/>
  <c r="N65" i="57"/>
  <c r="L22" i="81"/>
  <c r="D26" i="81"/>
  <c r="X21" i="107"/>
  <c r="Z27" i="16"/>
  <c r="T31" i="16"/>
  <c r="T31" i="38"/>
  <c r="Z27" i="38"/>
  <c r="V164" i="12"/>
  <c r="P26" i="81"/>
  <c r="X22" i="81"/>
  <c r="P70" i="48"/>
  <c r="R67" i="48"/>
  <c r="N27" i="52"/>
  <c r="H31" i="52"/>
  <c r="H89" i="105"/>
  <c r="N21" i="105"/>
  <c r="X27" i="34"/>
  <c r="P31" i="34"/>
  <c r="D40" i="55"/>
  <c r="T31" i="41"/>
  <c r="Z27" i="41"/>
  <c r="T132" i="39"/>
  <c r="V128" i="39"/>
  <c r="X95" i="91"/>
  <c r="P98" i="91"/>
  <c r="Z27" i="31"/>
  <c r="T31" i="31"/>
  <c r="T94" i="45"/>
  <c r="Z23" i="45"/>
  <c r="H31" i="8"/>
  <c r="N27" i="8"/>
  <c r="Z27" i="23"/>
  <c r="T31" i="23"/>
  <c r="P31" i="35"/>
  <c r="X27" i="35"/>
  <c r="V74" i="24"/>
  <c r="X69" i="57"/>
  <c r="Z69" i="57" s="1"/>
  <c r="P72" i="57"/>
  <c r="Z27" i="20"/>
  <c r="T31" i="20"/>
  <c r="L27" i="47"/>
  <c r="D31" i="47"/>
  <c r="X164" i="12"/>
  <c r="Z164" i="12" s="1"/>
  <c r="P269" i="12"/>
  <c r="D62" i="67"/>
  <c r="L58" i="67"/>
  <c r="N58" i="67" s="1"/>
  <c r="H77" i="101"/>
  <c r="P80" i="75"/>
  <c r="X28" i="75"/>
  <c r="Z28" i="75" s="1"/>
  <c r="X66" i="93"/>
  <c r="Z66" i="93" s="1"/>
  <c r="P70" i="93"/>
  <c r="Z27" i="14"/>
  <c r="T31" i="14"/>
  <c r="N27" i="46"/>
  <c r="H31" i="46"/>
  <c r="H62" i="67"/>
  <c r="H27" i="82"/>
  <c r="N21" i="82"/>
  <c r="L21" i="105"/>
  <c r="L27" i="5"/>
  <c r="D31" i="5"/>
  <c r="T75" i="58"/>
  <c r="P72" i="79"/>
  <c r="X68" i="79"/>
  <c r="Z68" i="79" s="1"/>
  <c r="R68" i="79"/>
  <c r="H31" i="10"/>
  <c r="N27" i="10"/>
  <c r="D73" i="80"/>
  <c r="L69" i="80"/>
  <c r="N69" i="80" s="1"/>
  <c r="P100" i="33"/>
  <c r="R96" i="33"/>
  <c r="T72" i="57"/>
  <c r="D34" i="85"/>
  <c r="L30" i="85"/>
  <c r="N30" i="85" s="1"/>
  <c r="X27" i="32"/>
  <c r="P31" i="32"/>
  <c r="Z59" i="70"/>
  <c r="T117" i="70"/>
  <c r="D83" i="87"/>
  <c r="L20" i="87"/>
  <c r="N20" i="87" s="1"/>
  <c r="L63" i="109"/>
  <c r="H50" i="99"/>
  <c r="T62" i="67"/>
  <c r="D261" i="15"/>
  <c r="L159" i="15"/>
  <c r="N159" i="15" s="1"/>
  <c r="D31" i="22"/>
  <c r="L27" i="22"/>
  <c r="H31" i="26"/>
  <c r="N27" i="26"/>
  <c r="T31" i="43"/>
  <c r="Z27" i="43"/>
  <c r="D127" i="24"/>
  <c r="L74" i="24"/>
  <c r="H98" i="45"/>
  <c r="J94" i="45"/>
  <c r="T55" i="61"/>
  <c r="D74" i="56"/>
  <c r="L70" i="56"/>
  <c r="N70" i="56" s="1"/>
  <c r="F159" i="15"/>
  <c r="H87" i="87"/>
  <c r="J83" i="87"/>
  <c r="L27" i="49"/>
  <c r="D31" i="49"/>
  <c r="T165" i="30"/>
  <c r="V161" i="30"/>
  <c r="Z27" i="7"/>
  <c r="T31" i="7"/>
  <c r="H31" i="20"/>
  <c r="N27" i="20"/>
  <c r="N27" i="112"/>
  <c r="H31" i="112"/>
  <c r="T74" i="56"/>
  <c r="X70" i="56"/>
  <c r="Z70" i="56" s="1"/>
  <c r="X59" i="70"/>
  <c r="P117" i="70"/>
  <c r="X60" i="100"/>
  <c r="P64" i="100"/>
  <c r="X27" i="19"/>
  <c r="P31" i="19"/>
  <c r="T76" i="72"/>
  <c r="V72" i="72"/>
  <c r="F28" i="75"/>
  <c r="D93" i="105"/>
  <c r="L89" i="105"/>
  <c r="F89" i="105"/>
  <c r="P112" i="68"/>
  <c r="X66" i="68"/>
  <c r="Z66" i="68" s="1"/>
  <c r="V21" i="107"/>
  <c r="D31" i="26"/>
  <c r="L27" i="26"/>
  <c r="D31" i="29"/>
  <c r="L27" i="29"/>
  <c r="L104" i="21"/>
  <c r="D107" i="21"/>
  <c r="D289" i="18"/>
  <c r="L184" i="18"/>
  <c r="N184" i="18" s="1"/>
  <c r="D96" i="33"/>
  <c r="L36" i="33"/>
  <c r="N36" i="33" s="1"/>
  <c r="R33" i="39"/>
  <c r="N21" i="104"/>
  <c r="H49" i="104"/>
  <c r="X27" i="13"/>
  <c r="P31" i="13"/>
  <c r="N27" i="38"/>
  <c r="H31" i="38"/>
  <c r="T98" i="9"/>
  <c r="X36" i="33"/>
  <c r="Z36" i="33" s="1"/>
  <c r="H107" i="51"/>
  <c r="N54" i="51"/>
  <c r="J59" i="70"/>
  <c r="T31" i="82"/>
  <c r="V27" i="82"/>
  <c r="Z27" i="53"/>
  <c r="T31" i="53"/>
  <c r="P127" i="24"/>
  <c r="X74" i="24"/>
  <c r="Z74" i="24" s="1"/>
  <c r="D72" i="57"/>
  <c r="L69" i="57"/>
  <c r="F20" i="95"/>
  <c r="P31" i="41"/>
  <c r="X27" i="41"/>
  <c r="N91" i="9"/>
  <c r="H95" i="9"/>
  <c r="L95" i="9" s="1"/>
  <c r="R54" i="51"/>
  <c r="X33" i="55"/>
  <c r="Z33" i="55" s="1"/>
  <c r="P37" i="55"/>
  <c r="X20" i="101"/>
  <c r="Z20" i="101" s="1"/>
  <c r="L67" i="109"/>
  <c r="D70" i="109"/>
  <c r="F67" i="109"/>
  <c r="L27" i="23"/>
  <c r="D31" i="23"/>
  <c r="D31" i="41"/>
  <c r="L27" i="41"/>
  <c r="Z26" i="21"/>
  <c r="T100" i="21"/>
  <c r="X48" i="61"/>
  <c r="Z48" i="61" s="1"/>
  <c r="P52" i="61"/>
  <c r="L27" i="13"/>
  <c r="D31" i="13"/>
  <c r="N22" i="81"/>
  <c r="H26" i="81"/>
  <c r="T31" i="40"/>
  <c r="Z27" i="40"/>
  <c r="N27" i="34"/>
  <c r="H31" i="34"/>
  <c r="D31" i="8"/>
  <c r="L27" i="8"/>
  <c r="Z27" i="25"/>
  <c r="T31" i="25"/>
  <c r="P87" i="87"/>
  <c r="X83" i="87"/>
  <c r="Z83" i="87" s="1"/>
  <c r="P87" i="97"/>
  <c r="T31" i="29"/>
  <c r="Z27" i="29"/>
  <c r="P104" i="21"/>
  <c r="X100" i="21"/>
  <c r="R100" i="21"/>
  <c r="H51" i="98"/>
  <c r="N47" i="98"/>
  <c r="J47" i="98"/>
  <c r="D31" i="111"/>
  <c r="L27" i="111"/>
  <c r="T54" i="60"/>
  <c r="Z50" i="60"/>
  <c r="Z27" i="52"/>
  <c r="T31" i="52"/>
  <c r="D31" i="14"/>
  <c r="L27" i="14"/>
  <c r="T265" i="15"/>
  <c r="V261" i="15"/>
  <c r="L60" i="27"/>
  <c r="N60" i="27" s="1"/>
  <c r="D118" i="27"/>
  <c r="H34" i="85"/>
  <c r="J30" i="85"/>
  <c r="D77" i="101"/>
  <c r="L20" i="101"/>
  <c r="N20" i="101" s="1"/>
  <c r="X17" i="109"/>
  <c r="Z17" i="109" s="1"/>
  <c r="P63" i="109"/>
  <c r="Z27" i="10"/>
  <c r="T31" i="10"/>
  <c r="L100" i="21"/>
  <c r="N100" i="21" s="1"/>
  <c r="D107" i="76"/>
  <c r="L54" i="76"/>
  <c r="N54" i="76" s="1"/>
  <c r="P75" i="58"/>
  <c r="X71" i="58"/>
  <c r="Z71" i="58" s="1"/>
  <c r="P78" i="94"/>
  <c r="X74" i="94"/>
  <c r="R74" i="94"/>
  <c r="T53" i="104"/>
  <c r="V49" i="104"/>
  <c r="D87" i="97"/>
  <c r="V19" i="100"/>
  <c r="P31" i="5"/>
  <c r="X27" i="5"/>
  <c r="T84" i="75"/>
  <c r="V80" i="75"/>
  <c r="P117" i="84"/>
  <c r="X55" i="84"/>
  <c r="Z55" i="84" s="1"/>
  <c r="X77" i="101"/>
  <c r="P81" i="101"/>
  <c r="X77" i="74"/>
  <c r="Z77" i="74" s="1"/>
  <c r="P132" i="74"/>
  <c r="T63" i="78"/>
  <c r="V24" i="78"/>
  <c r="N24" i="78"/>
  <c r="H63" i="78"/>
  <c r="L63" i="78" s="1"/>
  <c r="T121" i="84"/>
  <c r="V117" i="84"/>
  <c r="H108" i="63"/>
  <c r="L27" i="37"/>
  <c r="D31" i="37"/>
  <c r="P31" i="22"/>
  <c r="X27" i="22"/>
  <c r="X95" i="9"/>
  <c r="Z95" i="9" s="1"/>
  <c r="P98" i="9"/>
  <c r="X98" i="9" s="1"/>
  <c r="H31" i="23"/>
  <c r="N27" i="23"/>
  <c r="X27" i="11"/>
  <c r="P31" i="11"/>
  <c r="Z27" i="47"/>
  <c r="T31" i="47"/>
  <c r="H68" i="69"/>
  <c r="L20" i="69"/>
  <c r="N20" i="69" s="1"/>
  <c r="H86" i="73"/>
  <c r="J82" i="73"/>
  <c r="N27" i="49"/>
  <c r="H31" i="49"/>
  <c r="H52" i="61"/>
  <c r="N48" i="61"/>
  <c r="X68" i="69"/>
  <c r="P72" i="69"/>
  <c r="T87" i="87"/>
  <c r="V83" i="87"/>
  <c r="N20" i="97"/>
  <c r="H83" i="97"/>
  <c r="N27" i="5"/>
  <c r="H31" i="5"/>
  <c r="Z27" i="28"/>
  <c r="T31" i="28"/>
  <c r="P89" i="105"/>
  <c r="X21" i="105"/>
  <c r="Z21" i="105" s="1"/>
  <c r="X27" i="37"/>
  <c r="P31" i="37"/>
  <c r="D31" i="112"/>
  <c r="L27" i="112"/>
  <c r="H126" i="36"/>
  <c r="J122" i="36"/>
  <c r="F60" i="27"/>
  <c r="T72" i="69"/>
  <c r="Z68" i="69"/>
  <c r="V68" i="69"/>
  <c r="H64" i="100"/>
  <c r="N60" i="100"/>
  <c r="X27" i="23"/>
  <c r="P31" i="23"/>
  <c r="X27" i="28"/>
  <c r="P31" i="28"/>
  <c r="H37" i="55"/>
  <c r="L37" i="55" s="1"/>
  <c r="N33" i="55"/>
  <c r="H31" i="16"/>
  <c r="N27" i="16"/>
  <c r="H31" i="35"/>
  <c r="N27" i="35"/>
  <c r="F28" i="36"/>
  <c r="L22" i="54"/>
  <c r="D26" i="54"/>
  <c r="Z27" i="32"/>
  <c r="T31" i="32"/>
  <c r="N27" i="53"/>
  <c r="H31" i="53"/>
  <c r="T37" i="55"/>
  <c r="T86" i="73"/>
  <c r="Z82" i="73"/>
  <c r="V82" i="73"/>
  <c r="X27" i="8"/>
  <c r="P31" i="8"/>
  <c r="P31" i="43"/>
  <c r="X27" i="43"/>
  <c r="D132" i="39"/>
  <c r="L128" i="39"/>
  <c r="F128" i="39"/>
  <c r="H39" i="108"/>
  <c r="N35" i="108"/>
  <c r="H31" i="13"/>
  <c r="N27" i="13"/>
  <c r="N27" i="43"/>
  <c r="H31" i="43"/>
  <c r="D112" i="68"/>
  <c r="L66" i="68"/>
  <c r="N66" i="68" s="1"/>
  <c r="T31" i="34"/>
  <c r="Z27" i="34"/>
  <c r="P261" i="15"/>
  <c r="X159" i="15"/>
  <c r="Z159" i="15" s="1"/>
  <c r="H289" i="18"/>
  <c r="P98" i="45"/>
  <c r="X94" i="45"/>
  <c r="R94" i="45"/>
  <c r="T78" i="94"/>
  <c r="Z74" i="94"/>
  <c r="V74" i="94"/>
  <c r="P31" i="49"/>
  <c r="X27" i="49"/>
  <c r="Z47" i="98"/>
  <c r="T51" i="98"/>
  <c r="X51" i="98" s="1"/>
  <c r="V47" i="98"/>
  <c r="Z27" i="37"/>
  <c r="T31" i="37"/>
  <c r="Z27" i="46"/>
  <c r="T31" i="46"/>
  <c r="T80" i="83"/>
  <c r="X80" i="83" s="1"/>
  <c r="Z20" i="83"/>
  <c r="H117" i="84"/>
  <c r="X27" i="31"/>
  <c r="P31" i="31"/>
  <c r="H128" i="39"/>
  <c r="X58" i="67"/>
  <c r="Z58" i="67" s="1"/>
  <c r="Z69" i="80"/>
  <c r="T73" i="80"/>
  <c r="V69" i="80"/>
  <c r="N77" i="74"/>
  <c r="H132" i="74"/>
  <c r="H80" i="83"/>
  <c r="L20" i="83"/>
  <c r="N20" i="83" s="1"/>
  <c r="D117" i="84"/>
  <c r="L55" i="84"/>
  <c r="N55" i="84" s="1"/>
  <c r="L21" i="82"/>
  <c r="N27" i="4"/>
  <c r="H31" i="4"/>
  <c r="J74" i="24"/>
  <c r="X71" i="88"/>
  <c r="Z71" i="88" s="1"/>
  <c r="P75" i="88"/>
  <c r="J54" i="51"/>
  <c r="P105" i="63"/>
  <c r="X101" i="63"/>
  <c r="Z101" i="63" s="1"/>
  <c r="H75" i="88"/>
  <c r="J71" i="88"/>
  <c r="X27" i="110"/>
  <c r="P31" i="110"/>
  <c r="L33" i="39"/>
  <c r="N33" i="39" s="1"/>
  <c r="P76" i="72"/>
  <c r="X72" i="72"/>
  <c r="Z72" i="72" s="1"/>
  <c r="P31" i="52"/>
  <c r="X27" i="52"/>
  <c r="V28" i="36"/>
  <c r="X27" i="38"/>
  <c r="P31" i="38"/>
  <c r="H161" i="30"/>
  <c r="L84" i="30"/>
  <c r="N84" i="30" s="1"/>
  <c r="D161" i="30"/>
  <c r="T26" i="6"/>
  <c r="Z22" i="6"/>
  <c r="X22" i="6"/>
  <c r="Z27" i="111"/>
  <c r="T31" i="111"/>
  <c r="Z27" i="26"/>
  <c r="T31" i="26"/>
  <c r="H63" i="48"/>
  <c r="N17" i="48"/>
  <c r="L17" i="48"/>
  <c r="T53" i="102"/>
  <c r="L27" i="17"/>
  <c r="D31" i="17"/>
  <c r="T26" i="54"/>
  <c r="Z22" i="54"/>
  <c r="N21" i="103"/>
  <c r="H85" i="103"/>
  <c r="L21" i="103"/>
  <c r="Z27" i="8"/>
  <c r="T31" i="8"/>
  <c r="Z27" i="19"/>
  <c r="T31" i="19"/>
  <c r="J55" i="84"/>
  <c r="J20" i="101"/>
  <c r="D31" i="20"/>
  <c r="L27" i="20"/>
  <c r="P65" i="67"/>
  <c r="X62" i="67"/>
  <c r="L27" i="110"/>
  <c r="D31" i="110"/>
  <c r="D70" i="48"/>
  <c r="F67" i="48"/>
  <c r="J77" i="74"/>
  <c r="P63" i="78"/>
  <c r="X24" i="78"/>
  <c r="Z24" i="78" s="1"/>
  <c r="T83" i="97"/>
  <c r="Z20" i="97"/>
  <c r="H31" i="7"/>
  <c r="N27" i="7"/>
  <c r="Z27" i="22"/>
  <c r="T31" i="22"/>
  <c r="D31" i="82"/>
  <c r="L27" i="82"/>
  <c r="F27" i="82"/>
  <c r="Z95" i="91"/>
  <c r="T98" i="91"/>
  <c r="L49" i="104"/>
  <c r="D53" i="104"/>
  <c r="P31" i="4"/>
  <c r="X27" i="4"/>
  <c r="L27" i="44"/>
  <c r="D31" i="44"/>
  <c r="H93" i="95"/>
  <c r="J89" i="95"/>
  <c r="J21" i="104"/>
  <c r="H31" i="17"/>
  <c r="N27" i="17"/>
  <c r="Z27" i="50"/>
  <c r="T31" i="50"/>
  <c r="X27" i="42"/>
  <c r="Z27" i="42" s="1"/>
  <c r="P119" i="42"/>
  <c r="R27" i="42"/>
  <c r="N22" i="54"/>
  <c r="H26" i="54"/>
  <c r="D31" i="10"/>
  <c r="L27" i="10"/>
  <c r="X27" i="46"/>
  <c r="P31" i="46"/>
  <c r="L77" i="74"/>
  <c r="D132" i="74"/>
  <c r="J21" i="107"/>
  <c r="F59" i="70"/>
  <c r="P107" i="76"/>
  <c r="X54" i="76"/>
  <c r="Z54" i="76" s="1"/>
  <c r="D31" i="7"/>
  <c r="L27" i="7"/>
  <c r="N27" i="29"/>
  <c r="H31" i="29"/>
  <c r="J66" i="68"/>
  <c r="D50" i="99"/>
  <c r="L50" i="99" s="1"/>
  <c r="L47" i="99"/>
  <c r="N47" i="99" s="1"/>
  <c r="D36" i="7" l="1"/>
  <c r="L31" i="7"/>
  <c r="H78" i="88"/>
  <c r="J75" i="88"/>
  <c r="X31" i="28"/>
  <c r="P36" i="28"/>
  <c r="T67" i="78"/>
  <c r="V63" i="78"/>
  <c r="X52" i="61"/>
  <c r="Z52" i="61" s="1"/>
  <c r="P55" i="61"/>
  <c r="X55" i="61" s="1"/>
  <c r="Z55" i="61" s="1"/>
  <c r="X117" i="70"/>
  <c r="P121" i="70"/>
  <c r="R117" i="70"/>
  <c r="T36" i="38"/>
  <c r="Z36" i="38" s="1"/>
  <c r="Z31" i="38"/>
  <c r="D98" i="91"/>
  <c r="L98" i="91" s="1"/>
  <c r="L95" i="91"/>
  <c r="N95" i="91" s="1"/>
  <c r="T70" i="48"/>
  <c r="V67" i="48"/>
  <c r="P36" i="50"/>
  <c r="X31" i="50"/>
  <c r="H276" i="12"/>
  <c r="J273" i="12"/>
  <c r="N31" i="22"/>
  <c r="H36" i="22"/>
  <c r="N36" i="22" s="1"/>
  <c r="T320" i="3"/>
  <c r="V315" i="3"/>
  <c r="X50" i="99"/>
  <c r="P111" i="51"/>
  <c r="X107" i="51"/>
  <c r="Z107" i="51" s="1"/>
  <c r="R107" i="51"/>
  <c r="R129" i="36"/>
  <c r="D55" i="61"/>
  <c r="L52" i="61"/>
  <c r="X31" i="10"/>
  <c r="P36" i="10"/>
  <c r="X31" i="16"/>
  <c r="P36" i="16"/>
  <c r="N315" i="3"/>
  <c r="H320" i="3"/>
  <c r="J315" i="3"/>
  <c r="D36" i="10"/>
  <c r="L31" i="10"/>
  <c r="L161" i="30"/>
  <c r="D165" i="30"/>
  <c r="F161" i="30"/>
  <c r="L117" i="84"/>
  <c r="D121" i="84"/>
  <c r="F117" i="84"/>
  <c r="T81" i="94"/>
  <c r="V78" i="94"/>
  <c r="D135" i="39"/>
  <c r="F132" i="39"/>
  <c r="Z31" i="32"/>
  <c r="T36" i="32"/>
  <c r="Z36" i="32" s="1"/>
  <c r="H129" i="36"/>
  <c r="J126" i="36"/>
  <c r="H87" i="97"/>
  <c r="N83" i="97"/>
  <c r="J83" i="97"/>
  <c r="L31" i="37"/>
  <c r="D36" i="37"/>
  <c r="X132" i="74"/>
  <c r="P136" i="74"/>
  <c r="R132" i="74"/>
  <c r="L83" i="97"/>
  <c r="X37" i="55"/>
  <c r="P40" i="55"/>
  <c r="Z31" i="53"/>
  <c r="T36" i="53"/>
  <c r="Z36" i="53" s="1"/>
  <c r="D293" i="18"/>
  <c r="L289" i="18"/>
  <c r="N289" i="18" s="1"/>
  <c r="F289" i="18"/>
  <c r="D96" i="105"/>
  <c r="F93" i="105"/>
  <c r="T168" i="30"/>
  <c r="V165" i="30"/>
  <c r="H101" i="45"/>
  <c r="J98" i="45"/>
  <c r="Z62" i="67"/>
  <c r="T65" i="67"/>
  <c r="P36" i="32"/>
  <c r="X31" i="32"/>
  <c r="D76" i="80"/>
  <c r="L73" i="80"/>
  <c r="H31" i="82"/>
  <c r="N27" i="82"/>
  <c r="J27" i="82"/>
  <c r="X98" i="91"/>
  <c r="H93" i="105"/>
  <c r="N89" i="105"/>
  <c r="J89" i="105"/>
  <c r="Z31" i="16"/>
  <c r="T36" i="16"/>
  <c r="Z36" i="16" s="1"/>
  <c r="H76" i="92"/>
  <c r="N72" i="92"/>
  <c r="J72" i="92"/>
  <c r="P36" i="25"/>
  <c r="X31" i="25"/>
  <c r="Z72" i="92"/>
  <c r="T76" i="92"/>
  <c r="X72" i="92"/>
  <c r="V72" i="92"/>
  <c r="X31" i="111"/>
  <c r="P36" i="111"/>
  <c r="L54" i="60"/>
  <c r="D57" i="60"/>
  <c r="T92" i="103"/>
  <c r="V89" i="103"/>
  <c r="Z31" i="4"/>
  <c r="T36" i="4"/>
  <c r="Z36" i="4" s="1"/>
  <c r="L89" i="95"/>
  <c r="N89" i="95" s="1"/>
  <c r="D93" i="95"/>
  <c r="F89" i="95"/>
  <c r="X31" i="47"/>
  <c r="P36" i="47"/>
  <c r="T93" i="95"/>
  <c r="V89" i="95"/>
  <c r="X89" i="95"/>
  <c r="Z89" i="95" s="1"/>
  <c r="Z31" i="11"/>
  <c r="T36" i="11"/>
  <c r="Z36" i="11" s="1"/>
  <c r="T126" i="36"/>
  <c r="X122" i="36"/>
  <c r="Z122" i="36" s="1"/>
  <c r="V122" i="36"/>
  <c r="P42" i="108"/>
  <c r="X39" i="108"/>
  <c r="P36" i="22"/>
  <c r="X31" i="22"/>
  <c r="L87" i="97"/>
  <c r="D90" i="97"/>
  <c r="H54" i="98"/>
  <c r="J51" i="98"/>
  <c r="L107" i="21"/>
  <c r="L31" i="49"/>
  <c r="D36" i="49"/>
  <c r="D70" i="93"/>
  <c r="L66" i="93"/>
  <c r="N66" i="93" s="1"/>
  <c r="J79" i="72"/>
  <c r="T100" i="33"/>
  <c r="V96" i="33"/>
  <c r="X31" i="7"/>
  <c r="P36" i="7"/>
  <c r="H96" i="95"/>
  <c r="J93" i="95"/>
  <c r="D34" i="82"/>
  <c r="F31" i="82"/>
  <c r="H67" i="48"/>
  <c r="N63" i="48"/>
  <c r="L63" i="48"/>
  <c r="J63" i="48"/>
  <c r="X31" i="31"/>
  <c r="P36" i="31"/>
  <c r="N31" i="43"/>
  <c r="H36" i="43"/>
  <c r="N36" i="43" s="1"/>
  <c r="P36" i="43"/>
  <c r="X31" i="43"/>
  <c r="L26" i="54"/>
  <c r="D31" i="54"/>
  <c r="N108" i="63"/>
  <c r="X81" i="101"/>
  <c r="P84" i="101"/>
  <c r="D36" i="8"/>
  <c r="L31" i="8"/>
  <c r="Z100" i="21"/>
  <c r="T104" i="21"/>
  <c r="V100" i="21"/>
  <c r="T77" i="56"/>
  <c r="X74" i="56"/>
  <c r="Z74" i="56" s="1"/>
  <c r="N50" i="99"/>
  <c r="H36" i="10"/>
  <c r="N36" i="10" s="1"/>
  <c r="N31" i="10"/>
  <c r="D65" i="67"/>
  <c r="L62" i="67"/>
  <c r="Z31" i="23"/>
  <c r="T36" i="23"/>
  <c r="Z36" i="23" s="1"/>
  <c r="N31" i="52"/>
  <c r="H36" i="52"/>
  <c r="N36" i="52" s="1"/>
  <c r="P165" i="30"/>
  <c r="X161" i="30"/>
  <c r="Z161" i="30" s="1"/>
  <c r="R161" i="30"/>
  <c r="P90" i="107"/>
  <c r="N31" i="19"/>
  <c r="H36" i="19"/>
  <c r="N36" i="19" s="1"/>
  <c r="T70" i="109"/>
  <c r="V67" i="109"/>
  <c r="L31" i="16"/>
  <c r="D36" i="16"/>
  <c r="D114" i="51"/>
  <c r="F111" i="51"/>
  <c r="Z77" i="101"/>
  <c r="T81" i="101"/>
  <c r="V77" i="101"/>
  <c r="D108" i="63"/>
  <c r="L108" i="63" s="1"/>
  <c r="L105" i="63"/>
  <c r="N105" i="63" s="1"/>
  <c r="T73" i="93"/>
  <c r="V70" i="93"/>
  <c r="N50" i="102"/>
  <c r="H53" i="102"/>
  <c r="N67" i="109"/>
  <c r="H70" i="109"/>
  <c r="J67" i="109"/>
  <c r="T122" i="27"/>
  <c r="Z118" i="27"/>
  <c r="V118" i="27"/>
  <c r="D53" i="102"/>
  <c r="L53" i="102" s="1"/>
  <c r="L50" i="102"/>
  <c r="H36" i="17"/>
  <c r="N36" i="17" s="1"/>
  <c r="N31" i="17"/>
  <c r="D116" i="68"/>
  <c r="L112" i="68"/>
  <c r="Z31" i="10"/>
  <c r="T36" i="10"/>
  <c r="Z36" i="10" s="1"/>
  <c r="X31" i="13"/>
  <c r="P36" i="13"/>
  <c r="N62" i="67"/>
  <c r="H65" i="67"/>
  <c r="Z47" i="99"/>
  <c r="T50" i="99"/>
  <c r="H36" i="28"/>
  <c r="N36" i="28" s="1"/>
  <c r="N31" i="28"/>
  <c r="N31" i="50"/>
  <c r="H36" i="50"/>
  <c r="N36" i="50" s="1"/>
  <c r="T37" i="85"/>
  <c r="V34" i="85"/>
  <c r="H100" i="33"/>
  <c r="J96" i="33"/>
  <c r="H31" i="54"/>
  <c r="N26" i="54"/>
  <c r="Z31" i="22"/>
  <c r="T36" i="22"/>
  <c r="Z36" i="22" s="1"/>
  <c r="L31" i="110"/>
  <c r="D36" i="110"/>
  <c r="Z31" i="26"/>
  <c r="T36" i="26"/>
  <c r="Z36" i="26" s="1"/>
  <c r="N161" i="30"/>
  <c r="H165" i="30"/>
  <c r="J161" i="30"/>
  <c r="X75" i="88"/>
  <c r="P78" i="88"/>
  <c r="H84" i="83"/>
  <c r="L80" i="83"/>
  <c r="N80" i="83" s="1"/>
  <c r="J80" i="83"/>
  <c r="X31" i="8"/>
  <c r="P36" i="8"/>
  <c r="D36" i="112"/>
  <c r="L31" i="112"/>
  <c r="H36" i="23"/>
  <c r="N36" i="23" s="1"/>
  <c r="N31" i="23"/>
  <c r="X63" i="109"/>
  <c r="Z63" i="109" s="1"/>
  <c r="P67" i="109"/>
  <c r="R63" i="109"/>
  <c r="N31" i="34"/>
  <c r="H36" i="34"/>
  <c r="N36" i="34" s="1"/>
  <c r="H98" i="9"/>
  <c r="N95" i="9"/>
  <c r="T34" i="82"/>
  <c r="V31" i="82"/>
  <c r="N49" i="104"/>
  <c r="H53" i="104"/>
  <c r="J49" i="104"/>
  <c r="D131" i="24"/>
  <c r="L127" i="24"/>
  <c r="N31" i="46"/>
  <c r="H36" i="46"/>
  <c r="N36" i="46" s="1"/>
  <c r="X269" i="12"/>
  <c r="Z269" i="12" s="1"/>
  <c r="P273" i="12"/>
  <c r="R269" i="12"/>
  <c r="L26" i="81"/>
  <c r="D29" i="81"/>
  <c r="L51" i="98"/>
  <c r="N51" i="98" s="1"/>
  <c r="D54" i="98"/>
  <c r="F51" i="98"/>
  <c r="D98" i="45"/>
  <c r="L94" i="45"/>
  <c r="N94" i="45" s="1"/>
  <c r="F94" i="45"/>
  <c r="Z132" i="74"/>
  <c r="T136" i="74"/>
  <c r="V132" i="74"/>
  <c r="D36" i="19"/>
  <c r="L31" i="19"/>
  <c r="N26" i="6"/>
  <c r="H31" i="6"/>
  <c r="L31" i="38"/>
  <c r="D36" i="38"/>
  <c r="R54" i="98"/>
  <c r="H76" i="80"/>
  <c r="N73" i="80"/>
  <c r="J73" i="80"/>
  <c r="P53" i="104"/>
  <c r="X49" i="104"/>
  <c r="Z49" i="104" s="1"/>
  <c r="T114" i="76"/>
  <c r="V111" i="76"/>
  <c r="Z31" i="112"/>
  <c r="T36" i="112"/>
  <c r="Z36" i="112" s="1"/>
  <c r="P122" i="27"/>
  <c r="X118" i="27"/>
  <c r="R118" i="27"/>
  <c r="N31" i="110"/>
  <c r="H36" i="110"/>
  <c r="N36" i="110" s="1"/>
  <c r="H36" i="41"/>
  <c r="N36" i="41" s="1"/>
  <c r="N31" i="41"/>
  <c r="Z31" i="46"/>
  <c r="T36" i="46"/>
  <c r="Z36" i="46" s="1"/>
  <c r="X31" i="37"/>
  <c r="P36" i="37"/>
  <c r="D36" i="14"/>
  <c r="L31" i="14"/>
  <c r="P107" i="21"/>
  <c r="R104" i="21"/>
  <c r="L31" i="29"/>
  <c r="D36" i="29"/>
  <c r="T79" i="72"/>
  <c r="V76" i="72"/>
  <c r="N31" i="112"/>
  <c r="H36" i="112"/>
  <c r="N36" i="112" s="1"/>
  <c r="T135" i="39"/>
  <c r="V132" i="39"/>
  <c r="P36" i="29"/>
  <c r="X31" i="29"/>
  <c r="H131" i="24"/>
  <c r="N127" i="24"/>
  <c r="J127" i="24"/>
  <c r="L31" i="53"/>
  <c r="D36" i="53"/>
  <c r="T123" i="42"/>
  <c r="V119" i="42"/>
  <c r="X84" i="83"/>
  <c r="P87" i="83"/>
  <c r="D90" i="107"/>
  <c r="H122" i="27"/>
  <c r="J118" i="27"/>
  <c r="N98" i="91"/>
  <c r="N31" i="31"/>
  <c r="H36" i="31"/>
  <c r="N36" i="31" s="1"/>
  <c r="L315" i="3"/>
  <c r="D320" i="3"/>
  <c r="F315" i="3"/>
  <c r="D36" i="31"/>
  <c r="L31" i="31"/>
  <c r="H116" i="68"/>
  <c r="N112" i="68"/>
  <c r="J112" i="68"/>
  <c r="X31" i="20"/>
  <c r="P36" i="20"/>
  <c r="L65" i="59"/>
  <c r="N65" i="59" s="1"/>
  <c r="D68" i="59"/>
  <c r="L68" i="59" s="1"/>
  <c r="N68" i="59" s="1"/>
  <c r="X76" i="72"/>
  <c r="Z76" i="72" s="1"/>
  <c r="P79" i="72"/>
  <c r="X79" i="72" s="1"/>
  <c r="P36" i="35"/>
  <c r="X31" i="35"/>
  <c r="H89" i="103"/>
  <c r="N85" i="103"/>
  <c r="L85" i="103"/>
  <c r="J85" i="103"/>
  <c r="T90" i="87"/>
  <c r="V87" i="87"/>
  <c r="X98" i="45"/>
  <c r="P101" i="45"/>
  <c r="R98" i="45"/>
  <c r="H36" i="13"/>
  <c r="N36" i="13" s="1"/>
  <c r="N31" i="13"/>
  <c r="X72" i="69"/>
  <c r="P75" i="69"/>
  <c r="X75" i="69" s="1"/>
  <c r="P121" i="84"/>
  <c r="X117" i="84"/>
  <c r="Z117" i="84" s="1"/>
  <c r="R117" i="84"/>
  <c r="Z31" i="52"/>
  <c r="T36" i="52"/>
  <c r="Z36" i="52" s="1"/>
  <c r="D36" i="41"/>
  <c r="L31" i="41"/>
  <c r="X31" i="19"/>
  <c r="P36" i="19"/>
  <c r="H90" i="87"/>
  <c r="J87" i="87"/>
  <c r="T36" i="43"/>
  <c r="Z36" i="43" s="1"/>
  <c r="Z31" i="43"/>
  <c r="L34" i="85"/>
  <c r="D37" i="85"/>
  <c r="X72" i="79"/>
  <c r="P75" i="79"/>
  <c r="R72" i="79"/>
  <c r="Z31" i="14"/>
  <c r="T36" i="14"/>
  <c r="Z36" i="14" s="1"/>
  <c r="L31" i="47"/>
  <c r="D36" i="47"/>
  <c r="N31" i="8"/>
  <c r="H36" i="8"/>
  <c r="N36" i="8" s="1"/>
  <c r="X67" i="48"/>
  <c r="Z67" i="48" s="1"/>
  <c r="H121" i="70"/>
  <c r="J117" i="70"/>
  <c r="P293" i="18"/>
  <c r="X289" i="18"/>
  <c r="R289" i="18"/>
  <c r="H73" i="93"/>
  <c r="J70" i="93"/>
  <c r="L76" i="92"/>
  <c r="D79" i="92"/>
  <c r="T36" i="49"/>
  <c r="Z36" i="49" s="1"/>
  <c r="Z31" i="49"/>
  <c r="Z31" i="13"/>
  <c r="T36" i="13"/>
  <c r="Z36" i="13" s="1"/>
  <c r="T78" i="88"/>
  <c r="Z75" i="88"/>
  <c r="V75" i="88"/>
  <c r="H36" i="40"/>
  <c r="N36" i="40" s="1"/>
  <c r="N31" i="40"/>
  <c r="N31" i="44"/>
  <c r="H36" i="44"/>
  <c r="N36" i="44" s="1"/>
  <c r="T87" i="107"/>
  <c r="Z83" i="107"/>
  <c r="V83" i="107"/>
  <c r="T36" i="5"/>
  <c r="Z36" i="5" s="1"/>
  <c r="Z31" i="5"/>
  <c r="L71" i="88"/>
  <c r="N71" i="88" s="1"/>
  <c r="D75" i="88"/>
  <c r="L119" i="42"/>
  <c r="N119" i="42" s="1"/>
  <c r="D123" i="42"/>
  <c r="F119" i="42"/>
  <c r="D70" i="78"/>
  <c r="Z31" i="110"/>
  <c r="T36" i="110"/>
  <c r="Z36" i="110" s="1"/>
  <c r="T36" i="34"/>
  <c r="Z36" i="34" s="1"/>
  <c r="Z31" i="34"/>
  <c r="Z31" i="8"/>
  <c r="T36" i="8"/>
  <c r="Z36" i="8" s="1"/>
  <c r="N128" i="39"/>
  <c r="H132" i="39"/>
  <c r="L132" i="39" s="1"/>
  <c r="J128" i="39"/>
  <c r="L82" i="73"/>
  <c r="N82" i="73" s="1"/>
  <c r="D86" i="73"/>
  <c r="L31" i="44"/>
  <c r="D36" i="44"/>
  <c r="N117" i="84"/>
  <c r="H121" i="84"/>
  <c r="J117" i="84"/>
  <c r="X65" i="67"/>
  <c r="H36" i="35"/>
  <c r="N36" i="35" s="1"/>
  <c r="N31" i="35"/>
  <c r="T124" i="84"/>
  <c r="V121" i="84"/>
  <c r="D81" i="101"/>
  <c r="L77" i="101"/>
  <c r="T36" i="29"/>
  <c r="Z36" i="29" s="1"/>
  <c r="Z31" i="29"/>
  <c r="T36" i="40"/>
  <c r="Z36" i="40" s="1"/>
  <c r="Z31" i="40"/>
  <c r="L31" i="23"/>
  <c r="D36" i="23"/>
  <c r="P36" i="41"/>
  <c r="X31" i="41"/>
  <c r="D36" i="26"/>
  <c r="L31" i="26"/>
  <c r="T36" i="41"/>
  <c r="Z36" i="41" s="1"/>
  <c r="Z31" i="41"/>
  <c r="R70" i="48"/>
  <c r="H72" i="57"/>
  <c r="N69" i="57"/>
  <c r="L31" i="4"/>
  <c r="D36" i="4"/>
  <c r="L122" i="36"/>
  <c r="N122" i="36" s="1"/>
  <c r="D126" i="36"/>
  <c r="F122" i="36"/>
  <c r="T36" i="44"/>
  <c r="Z36" i="44" s="1"/>
  <c r="Z31" i="44"/>
  <c r="T29" i="81"/>
  <c r="Z29" i="81" s="1"/>
  <c r="Z26" i="81"/>
  <c r="X73" i="80"/>
  <c r="P76" i="80"/>
  <c r="X31" i="14"/>
  <c r="P36" i="14"/>
  <c r="L31" i="50"/>
  <c r="D36" i="50"/>
  <c r="J81" i="94"/>
  <c r="D36" i="25"/>
  <c r="L31" i="25"/>
  <c r="H87" i="75"/>
  <c r="J84" i="75"/>
  <c r="X54" i="60"/>
  <c r="Z54" i="60" s="1"/>
  <c r="P57" i="60"/>
  <c r="N104" i="21"/>
  <c r="H107" i="21"/>
  <c r="J104" i="21"/>
  <c r="X65" i="59"/>
  <c r="P68" i="59"/>
  <c r="X68" i="59" s="1"/>
  <c r="Z26" i="6"/>
  <c r="T31" i="6"/>
  <c r="X26" i="6"/>
  <c r="X105" i="63"/>
  <c r="Z105" i="63" s="1"/>
  <c r="P108" i="63"/>
  <c r="X108" i="63" s="1"/>
  <c r="Z108" i="63" s="1"/>
  <c r="X31" i="23"/>
  <c r="P36" i="23"/>
  <c r="T268" i="15"/>
  <c r="V265" i="15"/>
  <c r="H72" i="69"/>
  <c r="N68" i="69"/>
  <c r="J68" i="69"/>
  <c r="L68" i="69"/>
  <c r="P123" i="42"/>
  <c r="X119" i="42"/>
  <c r="Z119" i="42" s="1"/>
  <c r="R119" i="42"/>
  <c r="H36" i="7"/>
  <c r="N36" i="7" s="1"/>
  <c r="N31" i="7"/>
  <c r="N31" i="4"/>
  <c r="H36" i="4"/>
  <c r="N36" i="4" s="1"/>
  <c r="D136" i="74"/>
  <c r="L132" i="74"/>
  <c r="N132" i="74" s="1"/>
  <c r="F132" i="74"/>
  <c r="P36" i="4"/>
  <c r="X31" i="4"/>
  <c r="T31" i="54"/>
  <c r="Z26" i="54"/>
  <c r="X31" i="110"/>
  <c r="P36" i="110"/>
  <c r="T84" i="83"/>
  <c r="Z80" i="83"/>
  <c r="V80" i="83"/>
  <c r="H293" i="18"/>
  <c r="J289" i="18"/>
  <c r="H42" i="108"/>
  <c r="T89" i="73"/>
  <c r="V86" i="73"/>
  <c r="Z72" i="69"/>
  <c r="T75" i="69"/>
  <c r="V72" i="69"/>
  <c r="P93" i="105"/>
  <c r="X89" i="105"/>
  <c r="Z89" i="105" s="1"/>
  <c r="R89" i="105"/>
  <c r="Z31" i="47"/>
  <c r="T36" i="47"/>
  <c r="Z36" i="47" s="1"/>
  <c r="N63" i="78"/>
  <c r="H67" i="78"/>
  <c r="J63" i="78"/>
  <c r="T87" i="75"/>
  <c r="V84" i="75"/>
  <c r="X78" i="94"/>
  <c r="Z78" i="94" s="1"/>
  <c r="P81" i="94"/>
  <c r="R78" i="94"/>
  <c r="P90" i="97"/>
  <c r="N26" i="81"/>
  <c r="H29" i="81"/>
  <c r="N29" i="81" s="1"/>
  <c r="H111" i="51"/>
  <c r="N107" i="51"/>
  <c r="J107" i="51"/>
  <c r="P67" i="100"/>
  <c r="H36" i="20"/>
  <c r="N36" i="20" s="1"/>
  <c r="N31" i="20"/>
  <c r="H36" i="26"/>
  <c r="N36" i="26" s="1"/>
  <c r="N31" i="26"/>
  <c r="L83" i="87"/>
  <c r="N83" i="87" s="1"/>
  <c r="D87" i="87"/>
  <c r="T78" i="58"/>
  <c r="Z75" i="58"/>
  <c r="P73" i="93"/>
  <c r="X70" i="93"/>
  <c r="Z70" i="93" s="1"/>
  <c r="Z31" i="20"/>
  <c r="T36" i="20"/>
  <c r="Z36" i="20" s="1"/>
  <c r="L40" i="55"/>
  <c r="P36" i="53"/>
  <c r="X31" i="53"/>
  <c r="H123" i="42"/>
  <c r="J119" i="42"/>
  <c r="H265" i="15"/>
  <c r="N261" i="15"/>
  <c r="J261" i="15"/>
  <c r="H75" i="79"/>
  <c r="J72" i="79"/>
  <c r="L31" i="52"/>
  <c r="D36" i="52"/>
  <c r="L31" i="34"/>
  <c r="D36" i="34"/>
  <c r="T273" i="12"/>
  <c r="V269" i="12"/>
  <c r="T36" i="17"/>
  <c r="Z36" i="17" s="1"/>
  <c r="Z31" i="17"/>
  <c r="P31" i="82"/>
  <c r="X27" i="82"/>
  <c r="Z27" i="82" s="1"/>
  <c r="R27" i="82"/>
  <c r="D81" i="94"/>
  <c r="L81" i="94" s="1"/>
  <c r="N81" i="94" s="1"/>
  <c r="L78" i="94"/>
  <c r="N78" i="94" s="1"/>
  <c r="L117" i="70"/>
  <c r="N117" i="70" s="1"/>
  <c r="D121" i="70"/>
  <c r="F117" i="70"/>
  <c r="Z65" i="59"/>
  <c r="T68" i="59"/>
  <c r="N31" i="37"/>
  <c r="H36" i="37"/>
  <c r="N36" i="37" s="1"/>
  <c r="T293" i="18"/>
  <c r="Z289" i="18"/>
  <c r="V289" i="18"/>
  <c r="X89" i="103"/>
  <c r="Z89" i="103" s="1"/>
  <c r="P92" i="103"/>
  <c r="R89" i="103"/>
  <c r="X31" i="40"/>
  <c r="P36" i="40"/>
  <c r="T131" i="24"/>
  <c r="V127" i="24"/>
  <c r="L64" i="100"/>
  <c r="D67" i="100"/>
  <c r="Z31" i="25"/>
  <c r="T36" i="25"/>
  <c r="Z36" i="25" s="1"/>
  <c r="D265" i="15"/>
  <c r="L261" i="15"/>
  <c r="F261" i="15"/>
  <c r="N31" i="47"/>
  <c r="H36" i="47"/>
  <c r="N36" i="47" s="1"/>
  <c r="H136" i="74"/>
  <c r="J132" i="74"/>
  <c r="Z31" i="111"/>
  <c r="T36" i="111"/>
  <c r="Z36" i="111" s="1"/>
  <c r="N31" i="29"/>
  <c r="H36" i="29"/>
  <c r="N36" i="29" s="1"/>
  <c r="Z31" i="50"/>
  <c r="T36" i="50"/>
  <c r="Z36" i="50" s="1"/>
  <c r="L53" i="104"/>
  <c r="D56" i="104"/>
  <c r="Z83" i="97"/>
  <c r="T87" i="97"/>
  <c r="V83" i="97"/>
  <c r="D36" i="20"/>
  <c r="L31" i="20"/>
  <c r="L31" i="17"/>
  <c r="D36" i="17"/>
  <c r="Z37" i="55"/>
  <c r="T40" i="55"/>
  <c r="H36" i="16"/>
  <c r="N36" i="16" s="1"/>
  <c r="N31" i="16"/>
  <c r="Z31" i="28"/>
  <c r="T36" i="28"/>
  <c r="Z36" i="28" s="1"/>
  <c r="H55" i="61"/>
  <c r="N52" i="61"/>
  <c r="T57" i="60"/>
  <c r="X83" i="97"/>
  <c r="Z31" i="7"/>
  <c r="T36" i="7"/>
  <c r="Z36" i="7" s="1"/>
  <c r="L74" i="56"/>
  <c r="N74" i="56" s="1"/>
  <c r="D77" i="56"/>
  <c r="L77" i="56" s="1"/>
  <c r="T121" i="70"/>
  <c r="Z117" i="70"/>
  <c r="V117" i="70"/>
  <c r="L31" i="5"/>
  <c r="D36" i="5"/>
  <c r="P29" i="81"/>
  <c r="X26" i="81"/>
  <c r="L31" i="40"/>
  <c r="D36" i="40"/>
  <c r="P320" i="3"/>
  <c r="X315" i="3"/>
  <c r="Z315" i="3" s="1"/>
  <c r="R315" i="3"/>
  <c r="X50" i="102"/>
  <c r="Z50" i="102" s="1"/>
  <c r="P53" i="102"/>
  <c r="X53" i="102" s="1"/>
  <c r="X31" i="112"/>
  <c r="P36" i="112"/>
  <c r="L75" i="58"/>
  <c r="N75" i="58" s="1"/>
  <c r="D78" i="58"/>
  <c r="L78" i="58" s="1"/>
  <c r="N78" i="58" s="1"/>
  <c r="H36" i="14"/>
  <c r="N36" i="14" s="1"/>
  <c r="N31" i="14"/>
  <c r="L76" i="72"/>
  <c r="N76" i="72" s="1"/>
  <c r="D79" i="72"/>
  <c r="L79" i="72" s="1"/>
  <c r="N79" i="72" s="1"/>
  <c r="L42" i="108"/>
  <c r="X31" i="26"/>
  <c r="P36" i="26"/>
  <c r="H36" i="111"/>
  <c r="N36" i="111" s="1"/>
  <c r="N31" i="111"/>
  <c r="L31" i="43"/>
  <c r="D36" i="43"/>
  <c r="D31" i="6"/>
  <c r="L31" i="6" s="1"/>
  <c r="L26" i="6"/>
  <c r="Z31" i="19"/>
  <c r="T36" i="19"/>
  <c r="Z36" i="19" s="1"/>
  <c r="L107" i="76"/>
  <c r="N107" i="76" s="1"/>
  <c r="D111" i="76"/>
  <c r="F107" i="76"/>
  <c r="X127" i="24"/>
  <c r="Z127" i="24" s="1"/>
  <c r="P131" i="24"/>
  <c r="R127" i="24"/>
  <c r="F70" i="48"/>
  <c r="Z31" i="37"/>
  <c r="T36" i="37"/>
  <c r="Z36" i="37" s="1"/>
  <c r="H89" i="73"/>
  <c r="J86" i="73"/>
  <c r="P111" i="76"/>
  <c r="X107" i="76"/>
  <c r="Z107" i="76" s="1"/>
  <c r="R107" i="76"/>
  <c r="Z51" i="98"/>
  <c r="T54" i="98"/>
  <c r="V51" i="98"/>
  <c r="N64" i="100"/>
  <c r="H67" i="100"/>
  <c r="T56" i="104"/>
  <c r="V53" i="104"/>
  <c r="P36" i="52"/>
  <c r="X31" i="52"/>
  <c r="Z73" i="80"/>
  <c r="T76" i="80"/>
  <c r="V73" i="80"/>
  <c r="P36" i="49"/>
  <c r="X31" i="49"/>
  <c r="P265" i="15"/>
  <c r="X261" i="15"/>
  <c r="Z261" i="15" s="1"/>
  <c r="R261" i="15"/>
  <c r="N31" i="49"/>
  <c r="H36" i="49"/>
  <c r="N36" i="49" s="1"/>
  <c r="X31" i="11"/>
  <c r="P36" i="11"/>
  <c r="P78" i="58"/>
  <c r="X78" i="58" s="1"/>
  <c r="X75" i="58"/>
  <c r="H37" i="85"/>
  <c r="N34" i="85"/>
  <c r="J34" i="85"/>
  <c r="L31" i="13"/>
  <c r="D36" i="13"/>
  <c r="L70" i="109"/>
  <c r="F70" i="109"/>
  <c r="L72" i="57"/>
  <c r="Z98" i="9"/>
  <c r="X112" i="68"/>
  <c r="Z112" i="68" s="1"/>
  <c r="P116" i="68"/>
  <c r="R112" i="68"/>
  <c r="L31" i="22"/>
  <c r="D36" i="22"/>
  <c r="X96" i="33"/>
  <c r="Z96" i="33" s="1"/>
  <c r="X72" i="57"/>
  <c r="Z72" i="57" s="1"/>
  <c r="Z94" i="45"/>
  <c r="T98" i="45"/>
  <c r="V94" i="45"/>
  <c r="X31" i="34"/>
  <c r="P36" i="34"/>
  <c r="N83" i="107"/>
  <c r="H87" i="107"/>
  <c r="L87" i="107" s="1"/>
  <c r="J83" i="107"/>
  <c r="T114" i="51"/>
  <c r="V111" i="51"/>
  <c r="H36" i="32"/>
  <c r="N36" i="32" s="1"/>
  <c r="N31" i="32"/>
  <c r="Z72" i="79"/>
  <c r="T75" i="79"/>
  <c r="V72" i="79"/>
  <c r="H36" i="25"/>
  <c r="N36" i="25" s="1"/>
  <c r="N31" i="25"/>
  <c r="T36" i="35"/>
  <c r="Z36" i="35" s="1"/>
  <c r="Z31" i="35"/>
  <c r="N54" i="60"/>
  <c r="H57" i="60"/>
  <c r="D84" i="75"/>
  <c r="L80" i="75"/>
  <c r="N80" i="75" s="1"/>
  <c r="F80" i="75"/>
  <c r="T96" i="105"/>
  <c r="V93" i="105"/>
  <c r="L72" i="79"/>
  <c r="N72" i="79" s="1"/>
  <c r="D75" i="79"/>
  <c r="L75" i="79" s="1"/>
  <c r="L39" i="108"/>
  <c r="N39" i="108" s="1"/>
  <c r="T116" i="68"/>
  <c r="V112" i="68"/>
  <c r="T42" i="108"/>
  <c r="Z39" i="108"/>
  <c r="L31" i="46"/>
  <c r="D36" i="46"/>
  <c r="X31" i="17"/>
  <c r="P36" i="17"/>
  <c r="Z60" i="100"/>
  <c r="T64" i="100"/>
  <c r="X64" i="100" s="1"/>
  <c r="V60" i="100"/>
  <c r="H77" i="56"/>
  <c r="N31" i="38"/>
  <c r="H36" i="38"/>
  <c r="N36" i="38" s="1"/>
  <c r="H81" i="101"/>
  <c r="N77" i="101"/>
  <c r="J77" i="101"/>
  <c r="X128" i="39"/>
  <c r="Z128" i="39" s="1"/>
  <c r="P132" i="39"/>
  <c r="R128" i="39"/>
  <c r="X31" i="38"/>
  <c r="P36" i="38"/>
  <c r="X31" i="46"/>
  <c r="P36" i="46"/>
  <c r="Z98" i="91"/>
  <c r="P67" i="78"/>
  <c r="X63" i="78"/>
  <c r="Z63" i="78" s="1"/>
  <c r="Z53" i="102"/>
  <c r="N31" i="53"/>
  <c r="H36" i="53"/>
  <c r="N36" i="53" s="1"/>
  <c r="N37" i="55"/>
  <c r="H40" i="55"/>
  <c r="N31" i="5"/>
  <c r="H36" i="5"/>
  <c r="N36" i="5" s="1"/>
  <c r="P36" i="5"/>
  <c r="X31" i="5"/>
  <c r="L118" i="27"/>
  <c r="N118" i="27" s="1"/>
  <c r="D122" i="27"/>
  <c r="F118" i="27"/>
  <c r="D36" i="111"/>
  <c r="L31" i="111"/>
  <c r="P90" i="87"/>
  <c r="X90" i="87" s="1"/>
  <c r="X87" i="87"/>
  <c r="Z87" i="87" s="1"/>
  <c r="L96" i="33"/>
  <c r="N96" i="33" s="1"/>
  <c r="D100" i="33"/>
  <c r="F96" i="33"/>
  <c r="P103" i="33"/>
  <c r="X100" i="33"/>
  <c r="R100" i="33"/>
  <c r="X80" i="75"/>
  <c r="Z80" i="75" s="1"/>
  <c r="P84" i="75"/>
  <c r="R80" i="75"/>
  <c r="Z31" i="31"/>
  <c r="T36" i="31"/>
  <c r="Z36" i="31" s="1"/>
  <c r="H36" i="11"/>
  <c r="N36" i="11" s="1"/>
  <c r="N31" i="11"/>
  <c r="D273" i="12"/>
  <c r="L269" i="12"/>
  <c r="N269" i="12" s="1"/>
  <c r="F269" i="12"/>
  <c r="L31" i="35"/>
  <c r="D36" i="35"/>
  <c r="D36" i="32"/>
  <c r="L31" i="32"/>
  <c r="X30" i="85"/>
  <c r="Z30" i="85" s="1"/>
  <c r="P34" i="85"/>
  <c r="R30" i="85"/>
  <c r="R96" i="95"/>
  <c r="X31" i="54"/>
  <c r="H114" i="76"/>
  <c r="J111" i="76"/>
  <c r="D36" i="11"/>
  <c r="L31" i="11"/>
  <c r="L31" i="28"/>
  <c r="D36" i="28"/>
  <c r="P36" i="44"/>
  <c r="X31" i="44"/>
  <c r="P89" i="73"/>
  <c r="X89" i="73" s="1"/>
  <c r="X86" i="73"/>
  <c r="Z86" i="73" s="1"/>
  <c r="X36" i="4" l="1"/>
  <c r="L36" i="22"/>
  <c r="X36" i="112"/>
  <c r="X36" i="14"/>
  <c r="X36" i="110"/>
  <c r="L36" i="52"/>
  <c r="X36" i="53"/>
  <c r="L36" i="46"/>
  <c r="L36" i="44"/>
  <c r="X36" i="17"/>
  <c r="L36" i="13"/>
  <c r="L36" i="28"/>
  <c r="L36" i="23"/>
  <c r="X36" i="5"/>
  <c r="X36" i="44"/>
  <c r="L36" i="111"/>
  <c r="L36" i="41"/>
  <c r="L36" i="34"/>
  <c r="X36" i="38"/>
  <c r="L36" i="4"/>
  <c r="L36" i="32"/>
  <c r="X36" i="11"/>
  <c r="X36" i="16"/>
  <c r="L36" i="14"/>
  <c r="X36" i="32"/>
  <c r="X36" i="111"/>
  <c r="X36" i="52"/>
  <c r="X36" i="13"/>
  <c r="L36" i="26"/>
  <c r="L36" i="35"/>
  <c r="X36" i="49"/>
  <c r="L36" i="43"/>
  <c r="L36" i="40"/>
  <c r="L36" i="50"/>
  <c r="L36" i="19"/>
  <c r="X36" i="46"/>
  <c r="X36" i="34"/>
  <c r="T90" i="97"/>
  <c r="V87" i="97"/>
  <c r="X81" i="94"/>
  <c r="R81" i="94"/>
  <c r="X273" i="12"/>
  <c r="P276" i="12"/>
  <c r="R273" i="12"/>
  <c r="L67" i="100"/>
  <c r="N67" i="100" s="1"/>
  <c r="X75" i="79"/>
  <c r="Z75" i="79" s="1"/>
  <c r="R75" i="79"/>
  <c r="Z136" i="74"/>
  <c r="T139" i="74"/>
  <c r="V136" i="74"/>
  <c r="X36" i="31"/>
  <c r="V70" i="48"/>
  <c r="X34" i="85"/>
  <c r="Z34" i="85" s="1"/>
  <c r="P37" i="85"/>
  <c r="R34" i="85"/>
  <c r="X132" i="39"/>
  <c r="Z132" i="39" s="1"/>
  <c r="P135" i="39"/>
  <c r="R132" i="39"/>
  <c r="P96" i="105"/>
  <c r="X93" i="105"/>
  <c r="Z93" i="105" s="1"/>
  <c r="R93" i="105"/>
  <c r="H75" i="69"/>
  <c r="J72" i="69"/>
  <c r="L72" i="69"/>
  <c r="N72" i="69" s="1"/>
  <c r="L36" i="25"/>
  <c r="N121" i="84"/>
  <c r="H124" i="84"/>
  <c r="J121" i="84"/>
  <c r="X36" i="37"/>
  <c r="L36" i="110"/>
  <c r="V70" i="109"/>
  <c r="J54" i="98"/>
  <c r="H90" i="97"/>
  <c r="N87" i="97"/>
  <c r="J87" i="97"/>
  <c r="X116" i="68"/>
  <c r="Z116" i="68" s="1"/>
  <c r="P119" i="68"/>
  <c r="R116" i="68"/>
  <c r="H296" i="18"/>
  <c r="J293" i="18"/>
  <c r="L75" i="88"/>
  <c r="N75" i="88" s="1"/>
  <c r="D78" i="88"/>
  <c r="L78" i="88" s="1"/>
  <c r="Z65" i="67"/>
  <c r="V78" i="88"/>
  <c r="N98" i="9"/>
  <c r="D296" i="18"/>
  <c r="L293" i="18"/>
  <c r="N293" i="18" s="1"/>
  <c r="F293" i="18"/>
  <c r="V96" i="105"/>
  <c r="V75" i="79"/>
  <c r="V76" i="80"/>
  <c r="V54" i="98"/>
  <c r="V87" i="75"/>
  <c r="L37" i="85"/>
  <c r="X36" i="20"/>
  <c r="T126" i="42"/>
  <c r="V123" i="42"/>
  <c r="J76" i="80"/>
  <c r="H87" i="83"/>
  <c r="J84" i="83"/>
  <c r="L84" i="83"/>
  <c r="N84" i="83" s="1"/>
  <c r="L36" i="8"/>
  <c r="T129" i="36"/>
  <c r="Z126" i="36"/>
  <c r="V126" i="36"/>
  <c r="X126" i="36"/>
  <c r="N93" i="105"/>
  <c r="H96" i="105"/>
  <c r="J93" i="105"/>
  <c r="J101" i="45"/>
  <c r="L121" i="84"/>
  <c r="D124" i="84"/>
  <c r="F121" i="84"/>
  <c r="X36" i="10"/>
  <c r="T70" i="78"/>
  <c r="V67" i="78"/>
  <c r="N75" i="79"/>
  <c r="J75" i="79"/>
  <c r="P56" i="104"/>
  <c r="X56" i="104" s="1"/>
  <c r="X53" i="104"/>
  <c r="Z53" i="104" s="1"/>
  <c r="T107" i="21"/>
  <c r="V104" i="21"/>
  <c r="X67" i="100"/>
  <c r="X293" i="18"/>
  <c r="P296" i="18"/>
  <c r="R293" i="18"/>
  <c r="V73" i="93"/>
  <c r="X36" i="7"/>
  <c r="L93" i="95"/>
  <c r="N93" i="95" s="1"/>
  <c r="D96" i="95"/>
  <c r="F93" i="95"/>
  <c r="L36" i="11"/>
  <c r="X84" i="75"/>
  <c r="Z84" i="75" s="1"/>
  <c r="P87" i="75"/>
  <c r="R84" i="75"/>
  <c r="Z98" i="45"/>
  <c r="T101" i="45"/>
  <c r="V98" i="45"/>
  <c r="X131" i="24"/>
  <c r="P134" i="24"/>
  <c r="R131" i="24"/>
  <c r="Z68" i="59"/>
  <c r="X73" i="93"/>
  <c r="Z73" i="93" s="1"/>
  <c r="Z75" i="69"/>
  <c r="V75" i="69"/>
  <c r="Z84" i="83"/>
  <c r="T87" i="83"/>
  <c r="V84" i="83"/>
  <c r="V268" i="15"/>
  <c r="N107" i="21"/>
  <c r="J107" i="21"/>
  <c r="L126" i="36"/>
  <c r="N126" i="36" s="1"/>
  <c r="D129" i="36"/>
  <c r="F126" i="36"/>
  <c r="D84" i="101"/>
  <c r="L81" i="101"/>
  <c r="N81" i="101" s="1"/>
  <c r="H124" i="70"/>
  <c r="J121" i="70"/>
  <c r="Z90" i="87"/>
  <c r="V90" i="87"/>
  <c r="L36" i="53"/>
  <c r="L65" i="67"/>
  <c r="L90" i="97"/>
  <c r="T79" i="92"/>
  <c r="Z76" i="92"/>
  <c r="V76" i="92"/>
  <c r="X76" i="92"/>
  <c r="X40" i="55"/>
  <c r="Z40" i="55" s="1"/>
  <c r="J129" i="36"/>
  <c r="Z320" i="3"/>
  <c r="V320" i="3"/>
  <c r="Z273" i="12"/>
  <c r="T276" i="12"/>
  <c r="V273" i="12"/>
  <c r="P125" i="27"/>
  <c r="X122" i="27"/>
  <c r="R122" i="27"/>
  <c r="X54" i="98"/>
  <c r="Z54" i="98" s="1"/>
  <c r="L98" i="45"/>
  <c r="N98" i="45" s="1"/>
  <c r="D101" i="45"/>
  <c r="F98" i="45"/>
  <c r="D134" i="24"/>
  <c r="L131" i="24"/>
  <c r="X67" i="109"/>
  <c r="Z67" i="109" s="1"/>
  <c r="P70" i="109"/>
  <c r="R67" i="109"/>
  <c r="X78" i="88"/>
  <c r="Z78" i="88" s="1"/>
  <c r="T103" i="33"/>
  <c r="X103" i="33" s="1"/>
  <c r="Z100" i="33"/>
  <c r="V100" i="33"/>
  <c r="X36" i="28"/>
  <c r="Z131" i="24"/>
  <c r="T134" i="24"/>
  <c r="V131" i="24"/>
  <c r="X36" i="40"/>
  <c r="H268" i="15"/>
  <c r="J265" i="15"/>
  <c r="Z78" i="58"/>
  <c r="N111" i="51"/>
  <c r="H114" i="51"/>
  <c r="L114" i="51" s="1"/>
  <c r="J111" i="51"/>
  <c r="H70" i="78"/>
  <c r="L70" i="78" s="1"/>
  <c r="J67" i="78"/>
  <c r="X36" i="23"/>
  <c r="X57" i="60"/>
  <c r="T90" i="107"/>
  <c r="Z87" i="107"/>
  <c r="V87" i="107"/>
  <c r="X121" i="84"/>
  <c r="Z121" i="84" s="1"/>
  <c r="P124" i="84"/>
  <c r="R121" i="84"/>
  <c r="N122" i="27"/>
  <c r="H125" i="27"/>
  <c r="J122" i="27"/>
  <c r="Z79" i="72"/>
  <c r="V79" i="72"/>
  <c r="L36" i="38"/>
  <c r="D119" i="68"/>
  <c r="L116" i="68"/>
  <c r="T125" i="27"/>
  <c r="Z122" i="27"/>
  <c r="V122" i="27"/>
  <c r="Z81" i="101"/>
  <c r="T84" i="101"/>
  <c r="V81" i="101"/>
  <c r="X87" i="107"/>
  <c r="N67" i="48"/>
  <c r="H70" i="48"/>
  <c r="J67" i="48"/>
  <c r="L67" i="48"/>
  <c r="V92" i="103"/>
  <c r="V168" i="30"/>
  <c r="L165" i="30"/>
  <c r="D168" i="30"/>
  <c r="F165" i="30"/>
  <c r="L55" i="61"/>
  <c r="V37" i="85"/>
  <c r="Z81" i="94"/>
  <c r="V81" i="94"/>
  <c r="N40" i="55"/>
  <c r="X111" i="76"/>
  <c r="Z111" i="76" s="1"/>
  <c r="P114" i="76"/>
  <c r="R111" i="76"/>
  <c r="L36" i="17"/>
  <c r="L121" i="70"/>
  <c r="N121" i="70" s="1"/>
  <c r="D124" i="70"/>
  <c r="F121" i="70"/>
  <c r="L87" i="87"/>
  <c r="N87" i="87" s="1"/>
  <c r="D90" i="87"/>
  <c r="L90" i="87" s="1"/>
  <c r="V124" i="84"/>
  <c r="H119" i="68"/>
  <c r="N116" i="68"/>
  <c r="J116" i="68"/>
  <c r="L36" i="29"/>
  <c r="L54" i="98"/>
  <c r="N54" i="98" s="1"/>
  <c r="F54" i="98"/>
  <c r="N53" i="104"/>
  <c r="H56" i="104"/>
  <c r="J53" i="104"/>
  <c r="N31" i="54"/>
  <c r="X90" i="107"/>
  <c r="L31" i="54"/>
  <c r="X36" i="25"/>
  <c r="H34" i="82"/>
  <c r="J31" i="82"/>
  <c r="L100" i="33"/>
  <c r="D103" i="33"/>
  <c r="F100" i="33"/>
  <c r="V135" i="39"/>
  <c r="X29" i="81"/>
  <c r="L36" i="5"/>
  <c r="Z42" i="108"/>
  <c r="L111" i="76"/>
  <c r="N111" i="76" s="1"/>
  <c r="D114" i="76"/>
  <c r="F111" i="76"/>
  <c r="X36" i="26"/>
  <c r="Z89" i="73"/>
  <c r="V89" i="73"/>
  <c r="Z31" i="54"/>
  <c r="P126" i="42"/>
  <c r="X123" i="42"/>
  <c r="Z123" i="42" s="1"/>
  <c r="R123" i="42"/>
  <c r="X36" i="41"/>
  <c r="L86" i="73"/>
  <c r="N86" i="73" s="1"/>
  <c r="D89" i="73"/>
  <c r="L89" i="73" s="1"/>
  <c r="N89" i="73" s="1"/>
  <c r="L67" i="78"/>
  <c r="N67" i="78" s="1"/>
  <c r="L36" i="47"/>
  <c r="N90" i="87"/>
  <c r="J90" i="87"/>
  <c r="H92" i="103"/>
  <c r="L89" i="103"/>
  <c r="N89" i="103" s="1"/>
  <c r="J89" i="103"/>
  <c r="H134" i="24"/>
  <c r="N131" i="24"/>
  <c r="J131" i="24"/>
  <c r="N31" i="6"/>
  <c r="Z50" i="99"/>
  <c r="N70" i="109"/>
  <c r="J70" i="109"/>
  <c r="F34" i="82"/>
  <c r="X136" i="74"/>
  <c r="P139" i="74"/>
  <c r="R136" i="74"/>
  <c r="H139" i="74"/>
  <c r="J136" i="74"/>
  <c r="X101" i="45"/>
  <c r="R101" i="45"/>
  <c r="D125" i="27"/>
  <c r="L122" i="27"/>
  <c r="F122" i="27"/>
  <c r="L84" i="75"/>
  <c r="N84" i="75" s="1"/>
  <c r="D87" i="75"/>
  <c r="F84" i="75"/>
  <c r="R103" i="33"/>
  <c r="N77" i="56"/>
  <c r="V114" i="51"/>
  <c r="X265" i="15"/>
  <c r="Z265" i="15" s="1"/>
  <c r="P268" i="15"/>
  <c r="R265" i="15"/>
  <c r="J89" i="73"/>
  <c r="N55" i="61"/>
  <c r="L265" i="15"/>
  <c r="N265" i="15" s="1"/>
  <c r="D268" i="15"/>
  <c r="F265" i="15"/>
  <c r="X92" i="103"/>
  <c r="Z92" i="103" s="1"/>
  <c r="R92" i="103"/>
  <c r="N123" i="42"/>
  <c r="H126" i="42"/>
  <c r="J123" i="42"/>
  <c r="X90" i="97"/>
  <c r="N42" i="108"/>
  <c r="J87" i="75"/>
  <c r="X76" i="80"/>
  <c r="Z76" i="80" s="1"/>
  <c r="N72" i="57"/>
  <c r="N73" i="93"/>
  <c r="J73" i="93"/>
  <c r="L36" i="31"/>
  <c r="L29" i="81"/>
  <c r="H103" i="33"/>
  <c r="N100" i="33"/>
  <c r="J100" i="33"/>
  <c r="F114" i="51"/>
  <c r="X77" i="56"/>
  <c r="Z77" i="56" s="1"/>
  <c r="L31" i="82"/>
  <c r="N31" i="82" s="1"/>
  <c r="L70" i="93"/>
  <c r="N70" i="93" s="1"/>
  <c r="D73" i="93"/>
  <c r="L73" i="93" s="1"/>
  <c r="X36" i="22"/>
  <c r="T96" i="95"/>
  <c r="V93" i="95"/>
  <c r="X93" i="95"/>
  <c r="Z93" i="95" s="1"/>
  <c r="L76" i="80"/>
  <c r="N76" i="80" s="1"/>
  <c r="L96" i="105"/>
  <c r="F96" i="105"/>
  <c r="L36" i="10"/>
  <c r="J276" i="12"/>
  <c r="N78" i="88"/>
  <c r="J78" i="88"/>
  <c r="T67" i="100"/>
  <c r="Z64" i="100"/>
  <c r="V64" i="100"/>
  <c r="P114" i="51"/>
  <c r="X111" i="51"/>
  <c r="Z111" i="51" s="1"/>
  <c r="R111" i="51"/>
  <c r="X320" i="3"/>
  <c r="R320" i="3"/>
  <c r="Z293" i="18"/>
  <c r="T296" i="18"/>
  <c r="V293" i="18"/>
  <c r="D139" i="74"/>
  <c r="L136" i="74"/>
  <c r="N136" i="74" s="1"/>
  <c r="F136" i="74"/>
  <c r="Z57" i="60"/>
  <c r="J114" i="76"/>
  <c r="H84" i="101"/>
  <c r="J81" i="101"/>
  <c r="X67" i="78"/>
  <c r="Z67" i="78" s="1"/>
  <c r="P70" i="78"/>
  <c r="X70" i="78" s="1"/>
  <c r="D276" i="12"/>
  <c r="L273" i="12"/>
  <c r="N273" i="12" s="1"/>
  <c r="F273" i="12"/>
  <c r="T119" i="68"/>
  <c r="V116" i="68"/>
  <c r="N37" i="85"/>
  <c r="J37" i="85"/>
  <c r="T124" i="70"/>
  <c r="V121" i="70"/>
  <c r="L36" i="20"/>
  <c r="X87" i="97"/>
  <c r="Z87" i="97" s="1"/>
  <c r="L123" i="42"/>
  <c r="D126" i="42"/>
  <c r="F123" i="42"/>
  <c r="X36" i="19"/>
  <c r="X36" i="35"/>
  <c r="X36" i="29"/>
  <c r="X104" i="21"/>
  <c r="Z104" i="21" s="1"/>
  <c r="V114" i="76"/>
  <c r="V34" i="82"/>
  <c r="L36" i="112"/>
  <c r="N165" i="30"/>
  <c r="H168" i="30"/>
  <c r="J165" i="30"/>
  <c r="L98" i="9"/>
  <c r="N53" i="102"/>
  <c r="L111" i="51"/>
  <c r="X165" i="30"/>
  <c r="Z165" i="30" s="1"/>
  <c r="P168" i="30"/>
  <c r="R165" i="30"/>
  <c r="X36" i="43"/>
  <c r="L36" i="49"/>
  <c r="X36" i="47"/>
  <c r="L57" i="60"/>
  <c r="N57" i="60" s="1"/>
  <c r="N76" i="92"/>
  <c r="H79" i="92"/>
  <c r="L79" i="92" s="1"/>
  <c r="J76" i="92"/>
  <c r="L93" i="105"/>
  <c r="L36" i="37"/>
  <c r="L135" i="39"/>
  <c r="F135" i="39"/>
  <c r="P124" i="70"/>
  <c r="X121" i="70"/>
  <c r="Z121" i="70" s="1"/>
  <c r="R121" i="70"/>
  <c r="L320" i="3"/>
  <c r="F320" i="3"/>
  <c r="P34" i="82"/>
  <c r="X31" i="82"/>
  <c r="Z31" i="82" s="1"/>
  <c r="R31" i="82"/>
  <c r="N87" i="107"/>
  <c r="H90" i="107"/>
  <c r="L90" i="107" s="1"/>
  <c r="J87" i="107"/>
  <c r="Z56" i="104"/>
  <c r="V56" i="104"/>
  <c r="Z31" i="6"/>
  <c r="X31" i="6"/>
  <c r="X70" i="48"/>
  <c r="Z70" i="48" s="1"/>
  <c r="H135" i="39"/>
  <c r="N132" i="39"/>
  <c r="J132" i="39"/>
  <c r="X87" i="83"/>
  <c r="X107" i="21"/>
  <c r="R107" i="21"/>
  <c r="X36" i="8"/>
  <c r="N65" i="67"/>
  <c r="L36" i="16"/>
  <c r="J96" i="95"/>
  <c r="X42" i="108"/>
  <c r="N320" i="3"/>
  <c r="J320" i="3"/>
  <c r="X36" i="50"/>
  <c r="L36" i="7"/>
  <c r="L168" i="30" l="1"/>
  <c r="F168" i="30"/>
  <c r="V84" i="101"/>
  <c r="J124" i="70"/>
  <c r="X296" i="18"/>
  <c r="R296" i="18"/>
  <c r="X124" i="70"/>
  <c r="R124" i="70"/>
  <c r="L276" i="12"/>
  <c r="N276" i="12" s="1"/>
  <c r="F276" i="12"/>
  <c r="L114" i="76"/>
  <c r="N114" i="76" s="1"/>
  <c r="F114" i="76"/>
  <c r="Z87" i="83"/>
  <c r="V87" i="83"/>
  <c r="Z129" i="36"/>
  <c r="V129" i="36"/>
  <c r="X129" i="36"/>
  <c r="X119" i="68"/>
  <c r="Z119" i="68" s="1"/>
  <c r="R119" i="68"/>
  <c r="N124" i="84"/>
  <c r="J124" i="84"/>
  <c r="J119" i="68"/>
  <c r="V125" i="27"/>
  <c r="X125" i="27"/>
  <c r="Z125" i="27" s="1"/>
  <c r="R125" i="27"/>
  <c r="V79" i="92"/>
  <c r="X79" i="92"/>
  <c r="Z79" i="92" s="1"/>
  <c r="L84" i="101"/>
  <c r="N84" i="101" s="1"/>
  <c r="L139" i="74"/>
  <c r="F139" i="74"/>
  <c r="N134" i="24"/>
  <c r="J134" i="24"/>
  <c r="Z103" i="33"/>
  <c r="V103" i="33"/>
  <c r="N90" i="107"/>
  <c r="J90" i="107"/>
  <c r="L268" i="15"/>
  <c r="F268" i="15"/>
  <c r="Z124" i="70"/>
  <c r="V124" i="70"/>
  <c r="X139" i="74"/>
  <c r="Z139" i="74" s="1"/>
  <c r="R139" i="74"/>
  <c r="Z107" i="21"/>
  <c r="V107" i="21"/>
  <c r="J87" i="83"/>
  <c r="L87" i="83"/>
  <c r="N87" i="83" s="1"/>
  <c r="N90" i="97"/>
  <c r="J90" i="97"/>
  <c r="X37" i="85"/>
  <c r="Z37" i="85" s="1"/>
  <c r="R37" i="85"/>
  <c r="X276" i="12"/>
  <c r="R276" i="12"/>
  <c r="X114" i="76"/>
  <c r="Z114" i="76" s="1"/>
  <c r="R114" i="76"/>
  <c r="L124" i="84"/>
  <c r="F124" i="84"/>
  <c r="J84" i="101"/>
  <c r="L87" i="75"/>
  <c r="N87" i="75" s="1"/>
  <c r="F87" i="75"/>
  <c r="X126" i="42"/>
  <c r="R126" i="42"/>
  <c r="L119" i="68"/>
  <c r="N119" i="68" s="1"/>
  <c r="X70" i="109"/>
  <c r="Z70" i="109" s="1"/>
  <c r="R70" i="109"/>
  <c r="Z276" i="12"/>
  <c r="V276" i="12"/>
  <c r="X84" i="101"/>
  <c r="Z84" i="101" s="1"/>
  <c r="L129" i="36"/>
  <c r="N129" i="36" s="1"/>
  <c r="F129" i="36"/>
  <c r="L96" i="95"/>
  <c r="N96" i="95" s="1"/>
  <c r="F96" i="95"/>
  <c r="J75" i="69"/>
  <c r="L75" i="69"/>
  <c r="N75" i="69" s="1"/>
  <c r="X87" i="75"/>
  <c r="Z87" i="75" s="1"/>
  <c r="R87" i="75"/>
  <c r="L296" i="18"/>
  <c r="F296" i="18"/>
  <c r="N79" i="92"/>
  <c r="J79" i="92"/>
  <c r="Z90" i="107"/>
  <c r="V90" i="107"/>
  <c r="N268" i="15"/>
  <c r="J268" i="15"/>
  <c r="Z296" i="18"/>
  <c r="V296" i="18"/>
  <c r="N139" i="74"/>
  <c r="J139" i="74"/>
  <c r="N34" i="82"/>
  <c r="J34" i="82"/>
  <c r="X34" i="82"/>
  <c r="Z34" i="82" s="1"/>
  <c r="R34" i="82"/>
  <c r="X114" i="51"/>
  <c r="Z114" i="51" s="1"/>
  <c r="R114" i="51"/>
  <c r="L34" i="82"/>
  <c r="J92" i="103"/>
  <c r="L92" i="103"/>
  <c r="N92" i="103" s="1"/>
  <c r="N70" i="48"/>
  <c r="J70" i="48"/>
  <c r="L70" i="48"/>
  <c r="X134" i="24"/>
  <c r="R134" i="24"/>
  <c r="N96" i="105"/>
  <c r="J96" i="105"/>
  <c r="X124" i="84"/>
  <c r="Z124" i="84" s="1"/>
  <c r="R124" i="84"/>
  <c r="V119" i="68"/>
  <c r="N114" i="51"/>
  <c r="J114" i="51"/>
  <c r="X135" i="39"/>
  <c r="Z135" i="39" s="1"/>
  <c r="R135" i="39"/>
  <c r="N135" i="39"/>
  <c r="J135" i="39"/>
  <c r="J56" i="104"/>
  <c r="L134" i="24"/>
  <c r="N168" i="30"/>
  <c r="J168" i="30"/>
  <c r="L126" i="42"/>
  <c r="N126" i="42" s="1"/>
  <c r="F126" i="42"/>
  <c r="N103" i="33"/>
  <c r="J103" i="33"/>
  <c r="X268" i="15"/>
  <c r="Z268" i="15" s="1"/>
  <c r="R268" i="15"/>
  <c r="L125" i="27"/>
  <c r="F125" i="27"/>
  <c r="L103" i="33"/>
  <c r="F103" i="33"/>
  <c r="Z134" i="24"/>
  <c r="V134" i="24"/>
  <c r="X96" i="105"/>
  <c r="Z96" i="105" s="1"/>
  <c r="R96" i="105"/>
  <c r="Z90" i="97"/>
  <c r="V90" i="97"/>
  <c r="X168" i="30"/>
  <c r="Z168" i="30" s="1"/>
  <c r="R168" i="30"/>
  <c r="Z67" i="100"/>
  <c r="V67" i="100"/>
  <c r="V96" i="95"/>
  <c r="X96" i="95"/>
  <c r="Z96" i="95" s="1"/>
  <c r="J126" i="42"/>
  <c r="L124" i="70"/>
  <c r="N124" i="70" s="1"/>
  <c r="F124" i="70"/>
  <c r="N125" i="27"/>
  <c r="J125" i="27"/>
  <c r="N70" i="78"/>
  <c r="J70" i="78"/>
  <c r="L101" i="45"/>
  <c r="N101" i="45" s="1"/>
  <c r="F101" i="45"/>
  <c r="Z101" i="45"/>
  <c r="V101" i="45"/>
  <c r="Z70" i="78"/>
  <c r="V70" i="78"/>
  <c r="Z126" i="42"/>
  <c r="V126" i="42"/>
  <c r="N296" i="18"/>
  <c r="J296" i="18"/>
  <c r="L56" i="104"/>
  <c r="N56" i="104" s="1"/>
  <c r="V139" i="74"/>
</calcChain>
</file>

<file path=xl/sharedStrings.xml><?xml version="1.0" encoding="utf-8"?>
<sst xmlns="http://schemas.openxmlformats.org/spreadsheetml/2006/main" count="2948" uniqueCount="314">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</sst>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68" fontId="2" fillId="2" borderId="3" xfId="2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167" fontId="2" fillId="0" borderId="0" xfId="3" applyNumberFormat="1" applyFont="1" applyFill="1" applyBorder="1"/>
    <xf numFmtId="0" fontId="0" fillId="0" borderId="0" xfId="0" applyFill="1" applyBorder="1"/>
    <xf numFmtId="167" fontId="0" fillId="0" borderId="0" xfId="0" applyNumberFormat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167" fontId="0" fillId="0" borderId="0" xfId="0" applyNumberFormat="1" applyFill="1"/>
    <xf numFmtId="0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167" fontId="2" fillId="2" borderId="1" xfId="0" applyNumberFormat="1" applyFont="1" applyFill="1" applyBorder="1" applyAlignment="1">
      <alignment horizontal="centerContinuous"/>
    </xf>
    <xf numFmtId="49" fontId="2" fillId="0" borderId="0" xfId="0" applyNumberFormat="1" applyFont="1" applyFill="1"/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Fill="1"/>
    <xf numFmtId="0" fontId="0" fillId="0" borderId="0" xfId="0" applyBorder="1"/>
    <xf numFmtId="0" fontId="2" fillId="0" borderId="0" xfId="0" applyFont="1" applyFill="1" applyBorder="1"/>
    <xf numFmtId="0" fontId="4" fillId="0" borderId="0" xfId="0" applyFont="1"/>
    <xf numFmtId="166" fontId="5" fillId="0" borderId="0" xfId="0" applyNumberFormat="1" applyFont="1" applyAlignment="1">
      <alignment horizontal="left"/>
    </xf>
    <xf numFmtId="0" fontId="0" fillId="0" borderId="0" xfId="0" applyFill="1" applyAlignment="1">
      <alignment horizontal="centerContinuous"/>
    </xf>
    <xf numFmtId="165" fontId="0" fillId="0" borderId="0" xfId="0" applyNumberFormat="1"/>
    <xf numFmtId="0" fontId="5" fillId="0" borderId="0" xfId="0" applyFont="1" applyAlignment="1">
      <alignment horizontal="left"/>
    </xf>
    <xf numFmtId="164" fontId="2" fillId="0" borderId="0" xfId="1" applyNumberFormat="1" applyFont="1" applyFill="1" applyAlignment="1">
      <alignment horizontal="centerContinuous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298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307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307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308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308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311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311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305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305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304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5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304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301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301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302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302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303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303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309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309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312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25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295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483547.2900000001</v>
      </c>
      <c r="E12" s="4"/>
      <c r="F12" s="12"/>
      <c r="G12" s="4"/>
      <c r="H12" s="4">
        <f>SUM(OSRRefH13x_0)</f>
        <v>1983421.1100000006</v>
      </c>
      <c r="I12" s="4"/>
      <c r="J12" s="12"/>
      <c r="K12" s="4"/>
      <c r="L12" s="4">
        <f t="shared" ref="L12:L133" si="0">+D12-H12</f>
        <v>-1499873.8200000005</v>
      </c>
      <c r="M12" s="4"/>
      <c r="N12" s="12">
        <f t="shared" ref="N12:N133" si="1">IF(H12=0,0,L12/H12)</f>
        <v>-0.75620543334844315</v>
      </c>
      <c r="O12" s="10"/>
      <c r="P12" s="4">
        <f>SUM(OSRRefP13x_0)</f>
        <v>5142931.5100000026</v>
      </c>
      <c r="Q12" s="4"/>
      <c r="R12" s="12"/>
      <c r="S12" s="4"/>
      <c r="T12" s="4">
        <f>SUM(OSRRefT13x_0)</f>
        <v>18077831.070000008</v>
      </c>
      <c r="U12" s="4"/>
      <c r="V12" s="12"/>
      <c r="W12" s="4"/>
      <c r="X12" s="4">
        <f t="shared" ref="X12:X133" si="2">+P12-T12</f>
        <v>-12934899.560000006</v>
      </c>
      <c r="Y12" s="4"/>
      <c r="Z12" s="12">
        <f t="shared" ref="Z12:Z133" si="3">IF(T12=0,0,X12/T12)</f>
        <v>-0.71551169550783955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-32095.1</f>
        <v>-32095.1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-32095.1</v>
      </c>
      <c r="M13" s="2"/>
      <c r="N13" s="19">
        <f t="shared" si="1"/>
        <v>0</v>
      </c>
      <c r="O13" s="11"/>
      <c r="P13" s="2">
        <f>-91137.86</f>
        <v>-91137.86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-91137.86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--11522</f>
        <v>11522</v>
      </c>
      <c r="E14" s="2"/>
      <c r="F14" s="19"/>
      <c r="G14" s="2"/>
      <c r="H14" s="2">
        <f>--36689.95</f>
        <v>36689.949999999997</v>
      </c>
      <c r="I14" s="2"/>
      <c r="J14" s="19"/>
      <c r="K14" s="2"/>
      <c r="L14" s="2">
        <f t="shared" si="0"/>
        <v>-25167.949999999997</v>
      </c>
      <c r="M14" s="2"/>
      <c r="N14" s="19">
        <f t="shared" si="1"/>
        <v>-0.68596304982699619</v>
      </c>
      <c r="O14" s="11"/>
      <c r="P14" s="2">
        <f>--730666.02</f>
        <v>730666.02</v>
      </c>
      <c r="Q14" s="2"/>
      <c r="R14" s="19"/>
      <c r="S14" s="2"/>
      <c r="T14" s="2">
        <f>--1540034.38</f>
        <v>1540034.38</v>
      </c>
      <c r="U14" s="2"/>
      <c r="V14" s="19"/>
      <c r="W14" s="2"/>
      <c r="X14" s="2">
        <f t="shared" si="2"/>
        <v>-809368.35999999987</v>
      </c>
      <c r="Y14" s="2"/>
      <c r="Z14" s="19">
        <f t="shared" si="3"/>
        <v>-0.52555213734903761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--2822.44</f>
        <v>2822.44</v>
      </c>
      <c r="E15" s="2"/>
      <c r="F15" s="19"/>
      <c r="G15" s="2"/>
      <c r="H15" s="2">
        <f>--10615.68</f>
        <v>10615.68</v>
      </c>
      <c r="I15" s="2"/>
      <c r="J15" s="19"/>
      <c r="K15" s="2"/>
      <c r="L15" s="2">
        <f t="shared" si="0"/>
        <v>-7793.24</v>
      </c>
      <c r="M15" s="2"/>
      <c r="N15" s="19">
        <f t="shared" si="1"/>
        <v>-0.73412536926508709</v>
      </c>
      <c r="O15" s="11"/>
      <c r="P15" s="2">
        <f>--323454.06</f>
        <v>323454.06</v>
      </c>
      <c r="Q15" s="2"/>
      <c r="R15" s="19"/>
      <c r="S15" s="2"/>
      <c r="T15" s="2">
        <f>--681094.97</f>
        <v>681094.97</v>
      </c>
      <c r="U15" s="2"/>
      <c r="V15" s="19"/>
      <c r="W15" s="2"/>
      <c r="X15" s="2">
        <f t="shared" si="2"/>
        <v>-357640.91</v>
      </c>
      <c r="Y15" s="2"/>
      <c r="Z15" s="19">
        <f t="shared" si="3"/>
        <v>-0.52509697729818794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>
        <f>--586.01</f>
        <v>586.01</v>
      </c>
      <c r="I16" s="2"/>
      <c r="J16" s="19"/>
      <c r="K16" s="2"/>
      <c r="L16" s="2">
        <f t="shared" si="0"/>
        <v>-586.01</v>
      </c>
      <c r="M16" s="2"/>
      <c r="N16" s="19">
        <f t="shared" si="1"/>
        <v>-1</v>
      </c>
      <c r="O16" s="11"/>
      <c r="P16" s="2">
        <f>--10665.63</f>
        <v>10665.63</v>
      </c>
      <c r="Q16" s="2"/>
      <c r="R16" s="19"/>
      <c r="S16" s="2"/>
      <c r="T16" s="2">
        <f>--16430.67</f>
        <v>16430.669999999998</v>
      </c>
      <c r="U16" s="2"/>
      <c r="V16" s="19"/>
      <c r="W16" s="2"/>
      <c r="X16" s="2">
        <f t="shared" si="2"/>
        <v>-5765.0399999999991</v>
      </c>
      <c r="Y16" s="2"/>
      <c r="Z16" s="19">
        <f t="shared" si="3"/>
        <v>-0.35087065834807707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--2459.56</f>
        <v>2459.56</v>
      </c>
      <c r="Q17" s="2"/>
      <c r="R17" s="19"/>
      <c r="S17" s="2"/>
      <c r="T17" s="2">
        <f>--30279.88</f>
        <v>30279.88</v>
      </c>
      <c r="U17" s="2"/>
      <c r="V17" s="19"/>
      <c r="W17" s="2"/>
      <c r="X17" s="2">
        <f t="shared" si="2"/>
        <v>-27820.32</v>
      </c>
      <c r="Y17" s="2"/>
      <c r="Z17" s="19">
        <f t="shared" si="3"/>
        <v>-0.91877246541267665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--3.62</f>
        <v>3.62</v>
      </c>
      <c r="I18" s="2"/>
      <c r="J18" s="19"/>
      <c r="K18" s="2"/>
      <c r="L18" s="2">
        <f t="shared" si="0"/>
        <v>-3.62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--13.22</f>
        <v>13.22</v>
      </c>
      <c r="U18" s="2"/>
      <c r="V18" s="19"/>
      <c r="W18" s="2"/>
      <c r="X18" s="2">
        <f t="shared" si="2"/>
        <v>-13.22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--78.85</f>
        <v>78.849999999999994</v>
      </c>
      <c r="E19" s="2"/>
      <c r="F19" s="19"/>
      <c r="G19" s="2"/>
      <c r="H19" s="2">
        <f>--167.6</f>
        <v>167.6</v>
      </c>
      <c r="I19" s="2"/>
      <c r="J19" s="19"/>
      <c r="K19" s="2"/>
      <c r="L19" s="2">
        <f t="shared" si="0"/>
        <v>-88.75</v>
      </c>
      <c r="M19" s="2"/>
      <c r="N19" s="19">
        <f t="shared" si="1"/>
        <v>-0.52953460620525061</v>
      </c>
      <c r="O19" s="11"/>
      <c r="P19" s="2">
        <f>--583.97</f>
        <v>583.97</v>
      </c>
      <c r="Q19" s="2"/>
      <c r="R19" s="19"/>
      <c r="S19" s="2"/>
      <c r="T19" s="2">
        <f>--1280.32</f>
        <v>1280.32</v>
      </c>
      <c r="U19" s="2"/>
      <c r="V19" s="19"/>
      <c r="W19" s="2"/>
      <c r="X19" s="2">
        <f t="shared" si="2"/>
        <v>-696.34999999999991</v>
      </c>
      <c r="Y19" s="2"/>
      <c r="Z19" s="19">
        <f t="shared" si="3"/>
        <v>-0.54388746563359158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--35.82</f>
        <v>35.82</v>
      </c>
      <c r="E20" s="2"/>
      <c r="F20" s="19"/>
      <c r="G20" s="2"/>
      <c r="H20" s="2">
        <f>--109.34</f>
        <v>109.34</v>
      </c>
      <c r="I20" s="2"/>
      <c r="J20" s="19"/>
      <c r="K20" s="2"/>
      <c r="L20" s="2">
        <f t="shared" si="0"/>
        <v>-73.52000000000001</v>
      </c>
      <c r="M20" s="2"/>
      <c r="N20" s="19">
        <f t="shared" si="1"/>
        <v>-0.67239802451070063</v>
      </c>
      <c r="O20" s="11"/>
      <c r="P20" s="2">
        <f>--376.06</f>
        <v>376.06</v>
      </c>
      <c r="Q20" s="2"/>
      <c r="R20" s="19"/>
      <c r="S20" s="2"/>
      <c r="T20" s="2">
        <f>--992.69</f>
        <v>992.69</v>
      </c>
      <c r="U20" s="2"/>
      <c r="V20" s="19"/>
      <c r="W20" s="2"/>
      <c r="X20" s="2">
        <f t="shared" si="2"/>
        <v>-616.63000000000011</v>
      </c>
      <c r="Y20" s="2"/>
      <c r="Z20" s="19">
        <f t="shared" si="3"/>
        <v>-0.62117075824275458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--10.98</f>
        <v>10.98</v>
      </c>
      <c r="I21" s="2"/>
      <c r="J21" s="19"/>
      <c r="K21" s="2"/>
      <c r="L21" s="2">
        <f t="shared" si="0"/>
        <v>-10.98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--242.14</f>
        <v>242.14</v>
      </c>
      <c r="U21" s="2"/>
      <c r="V21" s="19"/>
      <c r="W21" s="2"/>
      <c r="X21" s="2">
        <f t="shared" si="2"/>
        <v>-242.14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--6.95</f>
        <v>6.95</v>
      </c>
      <c r="E22" s="2"/>
      <c r="F22" s="19"/>
      <c r="G22" s="2"/>
      <c r="H22" s="2">
        <f>--157.74</f>
        <v>157.74</v>
      </c>
      <c r="I22" s="2"/>
      <c r="J22" s="19"/>
      <c r="K22" s="2"/>
      <c r="L22" s="2">
        <f t="shared" si="0"/>
        <v>-150.79000000000002</v>
      </c>
      <c r="M22" s="2"/>
      <c r="N22" s="19">
        <f t="shared" si="1"/>
        <v>-0.95594015468492466</v>
      </c>
      <c r="O22" s="11"/>
      <c r="P22" s="2">
        <f>--190.84</f>
        <v>190.84</v>
      </c>
      <c r="Q22" s="2"/>
      <c r="R22" s="19"/>
      <c r="S22" s="2"/>
      <c r="T22" s="2">
        <f>--2890.39</f>
        <v>2890.39</v>
      </c>
      <c r="U22" s="2"/>
      <c r="V22" s="19"/>
      <c r="W22" s="2"/>
      <c r="X22" s="2">
        <f t="shared" si="2"/>
        <v>-2699.5499999999997</v>
      </c>
      <c r="Y22" s="2"/>
      <c r="Z22" s="19">
        <f t="shared" si="3"/>
        <v>-0.93397430796536107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ref="D23:D24" si="5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6">0</f>
        <v>0</v>
      </c>
      <c r="Q23" s="2"/>
      <c r="R23" s="19"/>
      <c r="S23" s="2"/>
      <c r="T23" s="2">
        <f>--33.88</f>
        <v>33.880000000000003</v>
      </c>
      <c r="U23" s="2"/>
      <c r="V23" s="19"/>
      <c r="W23" s="2"/>
      <c r="X23" s="2">
        <f t="shared" si="2"/>
        <v>-33.880000000000003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>
        <f>--5588.38</f>
        <v>5588.38</v>
      </c>
      <c r="I24" s="2"/>
      <c r="J24" s="19"/>
      <c r="K24" s="2"/>
      <c r="L24" s="2">
        <f t="shared" si="0"/>
        <v>-5588.38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--35133.1</f>
        <v>35133.1</v>
      </c>
      <c r="U24" s="2"/>
      <c r="V24" s="19"/>
      <c r="W24" s="2"/>
      <c r="X24" s="2">
        <f t="shared" si="2"/>
        <v>-35133.1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--75.18</f>
        <v>75.180000000000007</v>
      </c>
      <c r="E25" s="2"/>
      <c r="F25" s="19"/>
      <c r="G25" s="2"/>
      <c r="H25" s="2">
        <f>--6254.22</f>
        <v>6254.22</v>
      </c>
      <c r="I25" s="2"/>
      <c r="J25" s="19"/>
      <c r="K25" s="2"/>
      <c r="L25" s="2">
        <f t="shared" si="0"/>
        <v>-6179.04</v>
      </c>
      <c r="M25" s="2"/>
      <c r="N25" s="19">
        <f t="shared" si="1"/>
        <v>-0.98797931636558989</v>
      </c>
      <c r="O25" s="11"/>
      <c r="P25" s="2">
        <f>--372.38</f>
        <v>372.38</v>
      </c>
      <c r="Q25" s="2"/>
      <c r="R25" s="19"/>
      <c r="S25" s="2"/>
      <c r="T25" s="2">
        <f>--49928.17</f>
        <v>49928.17</v>
      </c>
      <c r="U25" s="2"/>
      <c r="V25" s="19"/>
      <c r="W25" s="2"/>
      <c r="X25" s="2">
        <f t="shared" si="2"/>
        <v>-49555.79</v>
      </c>
      <c r="Y25" s="2"/>
      <c r="Z25" s="19">
        <f t="shared" si="3"/>
        <v>-0.99254168538522447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--3253.96</f>
        <v>3253.96</v>
      </c>
      <c r="E26" s="2"/>
      <c r="F26" s="19"/>
      <c r="G26" s="2"/>
      <c r="H26" s="2">
        <f>--10568.39</f>
        <v>10568.39</v>
      </c>
      <c r="I26" s="2"/>
      <c r="J26" s="19"/>
      <c r="K26" s="2"/>
      <c r="L26" s="2">
        <f t="shared" si="0"/>
        <v>-7314.4299999999994</v>
      </c>
      <c r="M26" s="2"/>
      <c r="N26" s="19">
        <f t="shared" si="1"/>
        <v>-0.69210447381294593</v>
      </c>
      <c r="O26" s="11"/>
      <c r="P26" s="2">
        <f>--39974.43</f>
        <v>39974.43</v>
      </c>
      <c r="Q26" s="2"/>
      <c r="R26" s="19"/>
      <c r="S26" s="2"/>
      <c r="T26" s="2">
        <f>--165357.47</f>
        <v>165357.47</v>
      </c>
      <c r="U26" s="2"/>
      <c r="V26" s="19"/>
      <c r="W26" s="2"/>
      <c r="X26" s="2">
        <f t="shared" si="2"/>
        <v>-125383.04000000001</v>
      </c>
      <c r="Y26" s="2"/>
      <c r="Z26" s="19">
        <f t="shared" si="3"/>
        <v>-0.7582544653108203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--1179.23</f>
        <v>1179.23</v>
      </c>
      <c r="E27" s="2"/>
      <c r="F27" s="19"/>
      <c r="G27" s="2"/>
      <c r="H27" s="2">
        <f>--13684.86</f>
        <v>13684.86</v>
      </c>
      <c r="I27" s="2"/>
      <c r="J27" s="19"/>
      <c r="K27" s="2"/>
      <c r="L27" s="2">
        <f t="shared" si="0"/>
        <v>-12505.630000000001</v>
      </c>
      <c r="M27" s="2"/>
      <c r="N27" s="19">
        <f t="shared" si="1"/>
        <v>-0.91382958978023898</v>
      </c>
      <c r="O27" s="11"/>
      <c r="P27" s="2">
        <f>--17178.81</f>
        <v>17178.810000000001</v>
      </c>
      <c r="Q27" s="2"/>
      <c r="R27" s="19"/>
      <c r="S27" s="2"/>
      <c r="T27" s="2">
        <f>--189637.57</f>
        <v>189637.57</v>
      </c>
      <c r="U27" s="2"/>
      <c r="V27" s="19"/>
      <c r="W27" s="2"/>
      <c r="X27" s="2">
        <f t="shared" si="2"/>
        <v>-172458.76</v>
      </c>
      <c r="Y27" s="2"/>
      <c r="Z27" s="19">
        <f t="shared" si="3"/>
        <v>-0.90941241231893033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--247.04</f>
        <v>247.04</v>
      </c>
      <c r="E28" s="2"/>
      <c r="F28" s="19"/>
      <c r="G28" s="2"/>
      <c r="H28" s="2">
        <f>--26.89</f>
        <v>26.89</v>
      </c>
      <c r="I28" s="2"/>
      <c r="J28" s="19"/>
      <c r="K28" s="2"/>
      <c r="L28" s="2">
        <f t="shared" si="0"/>
        <v>220.14999999999998</v>
      </c>
      <c r="M28" s="2"/>
      <c r="N28" s="19">
        <f t="shared" si="1"/>
        <v>8.1870583860171049</v>
      </c>
      <c r="O28" s="11"/>
      <c r="P28" s="2">
        <f>--2109.65</f>
        <v>2109.65</v>
      </c>
      <c r="Q28" s="2"/>
      <c r="R28" s="19"/>
      <c r="S28" s="2"/>
      <c r="T28" s="2">
        <f>--306.94</f>
        <v>306.94</v>
      </c>
      <c r="U28" s="2"/>
      <c r="V28" s="19"/>
      <c r="W28" s="2"/>
      <c r="X28" s="2">
        <f t="shared" si="2"/>
        <v>1802.71</v>
      </c>
      <c r="Y28" s="2"/>
      <c r="Z28" s="19">
        <f t="shared" si="3"/>
        <v>5.8731673942790126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7">0</f>
        <v>0</v>
      </c>
      <c r="E29" s="2"/>
      <c r="F29" s="19"/>
      <c r="G29" s="2"/>
      <c r="H29" s="2">
        <f>--28638.41</f>
        <v>28638.41</v>
      </c>
      <c r="I29" s="2"/>
      <c r="J29" s="19"/>
      <c r="K29" s="2"/>
      <c r="L29" s="2">
        <f t="shared" si="0"/>
        <v>-28638.41</v>
      </c>
      <c r="M29" s="2"/>
      <c r="N29" s="19">
        <f t="shared" si="1"/>
        <v>-1</v>
      </c>
      <c r="O29" s="11"/>
      <c r="P29" s="2">
        <f>--444.59</f>
        <v>444.59</v>
      </c>
      <c r="Q29" s="2"/>
      <c r="R29" s="19"/>
      <c r="S29" s="2"/>
      <c r="T29" s="2">
        <f>--190815.22</f>
        <v>190815.22</v>
      </c>
      <c r="U29" s="2"/>
      <c r="V29" s="19"/>
      <c r="W29" s="2"/>
      <c r="X29" s="2">
        <f t="shared" si="2"/>
        <v>-190370.63</v>
      </c>
      <c r="Y29" s="2"/>
      <c r="Z29" s="19">
        <f t="shared" si="3"/>
        <v>-0.99767004959038386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7"/>
        <v>0</v>
      </c>
      <c r="E30" s="2"/>
      <c r="F30" s="19"/>
      <c r="G30" s="2"/>
      <c r="H30" s="2">
        <f>--22.41</f>
        <v>22.41</v>
      </c>
      <c r="I30" s="2"/>
      <c r="J30" s="19"/>
      <c r="K30" s="2"/>
      <c r="L30" s="2">
        <f t="shared" si="0"/>
        <v>-22.41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f>--131.02</f>
        <v>131.02000000000001</v>
      </c>
      <c r="U30" s="2"/>
      <c r="V30" s="19"/>
      <c r="W30" s="2"/>
      <c r="X30" s="2">
        <f t="shared" si="2"/>
        <v>-131.02000000000001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--830.01</f>
        <v>830.01</v>
      </c>
      <c r="I31" s="2"/>
      <c r="J31" s="19"/>
      <c r="K31" s="2"/>
      <c r="L31" s="2">
        <f t="shared" si="0"/>
        <v>-830.01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--7473.43</f>
        <v>7473.43</v>
      </c>
      <c r="U31" s="2"/>
      <c r="V31" s="19"/>
      <c r="W31" s="2"/>
      <c r="X31" s="2">
        <f t="shared" si="2"/>
        <v>-7466.6500000000005</v>
      </c>
      <c r="Y31" s="2"/>
      <c r="Z31" s="19">
        <f t="shared" si="3"/>
        <v>-0.99909278604335627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--133.49</f>
        <v>133.49</v>
      </c>
      <c r="I32" s="2"/>
      <c r="J32" s="19"/>
      <c r="K32" s="2"/>
      <c r="L32" s="2">
        <f t="shared" si="0"/>
        <v>-133.49</v>
      </c>
      <c r="M32" s="2"/>
      <c r="N32" s="19">
        <f t="shared" si="1"/>
        <v>-1</v>
      </c>
      <c r="O32" s="11"/>
      <c r="P32" s="2">
        <f t="shared" ref="P32:P33" si="8">0</f>
        <v>0</v>
      </c>
      <c r="Q32" s="2"/>
      <c r="R32" s="19"/>
      <c r="S32" s="2"/>
      <c r="T32" s="2">
        <f>--1267.09</f>
        <v>1267.0899999999999</v>
      </c>
      <c r="U32" s="2"/>
      <c r="V32" s="19"/>
      <c r="W32" s="2"/>
      <c r="X32" s="2">
        <f t="shared" si="2"/>
        <v>-1267.0899999999999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--19.09</f>
        <v>19.09</v>
      </c>
      <c r="I33" s="2"/>
      <c r="J33" s="19"/>
      <c r="K33" s="2"/>
      <c r="L33" s="2">
        <f t="shared" si="0"/>
        <v>-19.09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--396.26</f>
        <v>396.26</v>
      </c>
      <c r="U33" s="2"/>
      <c r="V33" s="19"/>
      <c r="W33" s="2"/>
      <c r="X33" s="2">
        <f t="shared" si="2"/>
        <v>-396.26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--84378.29</f>
        <v>84378.29</v>
      </c>
      <c r="E34" s="2"/>
      <c r="F34" s="19"/>
      <c r="G34" s="2"/>
      <c r="H34" s="2">
        <f>--193654.24</f>
        <v>193654.24</v>
      </c>
      <c r="I34" s="2"/>
      <c r="J34" s="19"/>
      <c r="K34" s="2"/>
      <c r="L34" s="2">
        <f t="shared" si="0"/>
        <v>-109275.95</v>
      </c>
      <c r="M34" s="2"/>
      <c r="N34" s="19">
        <f t="shared" si="1"/>
        <v>-0.56428379776244508</v>
      </c>
      <c r="O34" s="11"/>
      <c r="P34" s="2">
        <f>--508110.99</f>
        <v>508110.99</v>
      </c>
      <c r="Q34" s="2"/>
      <c r="R34" s="19"/>
      <c r="S34" s="2"/>
      <c r="T34" s="2">
        <f>--1291791.18</f>
        <v>1291791.18</v>
      </c>
      <c r="U34" s="2"/>
      <c r="V34" s="19"/>
      <c r="W34" s="2"/>
      <c r="X34" s="2">
        <f t="shared" si="2"/>
        <v>-783680.19</v>
      </c>
      <c r="Y34" s="2"/>
      <c r="Z34" s="19">
        <f t="shared" si="3"/>
        <v>-0.60666166647770425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--32217.83</f>
        <v>32217.83</v>
      </c>
      <c r="E35" s="2"/>
      <c r="F35" s="19"/>
      <c r="G35" s="2"/>
      <c r="H35" s="2">
        <f>--37979.16</f>
        <v>37979.160000000003</v>
      </c>
      <c r="I35" s="2"/>
      <c r="J35" s="19"/>
      <c r="K35" s="2"/>
      <c r="L35" s="2">
        <f t="shared" si="0"/>
        <v>-5761.3300000000017</v>
      </c>
      <c r="M35" s="2"/>
      <c r="N35" s="19">
        <f t="shared" si="1"/>
        <v>-0.15169714127431994</v>
      </c>
      <c r="O35" s="11"/>
      <c r="P35" s="2">
        <f>--197618.32</f>
        <v>197618.32</v>
      </c>
      <c r="Q35" s="2"/>
      <c r="R35" s="19"/>
      <c r="S35" s="2"/>
      <c r="T35" s="2">
        <f>--296126.81</f>
        <v>296126.81</v>
      </c>
      <c r="U35" s="2"/>
      <c r="V35" s="19"/>
      <c r="W35" s="2"/>
      <c r="X35" s="2">
        <f t="shared" si="2"/>
        <v>-98508.489999999991</v>
      </c>
      <c r="Y35" s="2"/>
      <c r="Z35" s="19">
        <f t="shared" si="3"/>
        <v>-0.33265643863856836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--8018.58</f>
        <v>8018.58</v>
      </c>
      <c r="E36" s="2"/>
      <c r="F36" s="19"/>
      <c r="G36" s="2"/>
      <c r="H36" s="2">
        <f>--44973.91</f>
        <v>44973.91</v>
      </c>
      <c r="I36" s="2"/>
      <c r="J36" s="19"/>
      <c r="K36" s="2"/>
      <c r="L36" s="2">
        <f t="shared" si="0"/>
        <v>-36955.33</v>
      </c>
      <c r="M36" s="2"/>
      <c r="N36" s="19">
        <f t="shared" si="1"/>
        <v>-0.82170596241242977</v>
      </c>
      <c r="O36" s="11"/>
      <c r="P36" s="2">
        <f>--64897.7</f>
        <v>64897.7</v>
      </c>
      <c r="Q36" s="2"/>
      <c r="R36" s="19"/>
      <c r="S36" s="2"/>
      <c r="T36" s="2">
        <f>--199952.1</f>
        <v>199952.1</v>
      </c>
      <c r="U36" s="2"/>
      <c r="V36" s="19"/>
      <c r="W36" s="2"/>
      <c r="X36" s="2">
        <f t="shared" si="2"/>
        <v>-135054.40000000002</v>
      </c>
      <c r="Y36" s="2"/>
      <c r="Z36" s="19">
        <f t="shared" si="3"/>
        <v>-0.67543376638704977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--35930.93</f>
        <v>35930.93</v>
      </c>
      <c r="E37" s="2"/>
      <c r="F37" s="19"/>
      <c r="G37" s="2"/>
      <c r="H37" s="2">
        <f>--9497.44</f>
        <v>9497.44</v>
      </c>
      <c r="I37" s="2"/>
      <c r="J37" s="19"/>
      <c r="K37" s="2"/>
      <c r="L37" s="2">
        <f t="shared" si="0"/>
        <v>26433.489999999998</v>
      </c>
      <c r="M37" s="2"/>
      <c r="N37" s="19">
        <f t="shared" si="1"/>
        <v>2.7832226368368738</v>
      </c>
      <c r="O37" s="11"/>
      <c r="P37" s="2">
        <f>--93109.15</f>
        <v>93109.15</v>
      </c>
      <c r="Q37" s="2"/>
      <c r="R37" s="19"/>
      <c r="S37" s="2"/>
      <c r="T37" s="2">
        <f>--14320.46</f>
        <v>14320.46</v>
      </c>
      <c r="U37" s="2"/>
      <c r="V37" s="19"/>
      <c r="W37" s="2"/>
      <c r="X37" s="2">
        <f t="shared" si="2"/>
        <v>78788.69</v>
      </c>
      <c r="Y37" s="2"/>
      <c r="Z37" s="19">
        <f t="shared" si="3"/>
        <v>5.5018267569617185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--11267.16</f>
        <v>11267.16</v>
      </c>
      <c r="E38" s="2"/>
      <c r="F38" s="19"/>
      <c r="G38" s="2"/>
      <c r="H38" s="2">
        <f>--5438.42</f>
        <v>5438.42</v>
      </c>
      <c r="I38" s="2"/>
      <c r="J38" s="19"/>
      <c r="K38" s="2"/>
      <c r="L38" s="2">
        <f t="shared" si="0"/>
        <v>5828.74</v>
      </c>
      <c r="M38" s="2"/>
      <c r="N38" s="19">
        <f t="shared" si="1"/>
        <v>1.0717708452087187</v>
      </c>
      <c r="O38" s="11"/>
      <c r="P38" s="2">
        <f>--26273.67</f>
        <v>26273.67</v>
      </c>
      <c r="Q38" s="2"/>
      <c r="R38" s="19"/>
      <c r="S38" s="2"/>
      <c r="T38" s="2">
        <f>--46736.2</f>
        <v>46736.2</v>
      </c>
      <c r="U38" s="2"/>
      <c r="V38" s="19"/>
      <c r="W38" s="2"/>
      <c r="X38" s="2">
        <f t="shared" si="2"/>
        <v>-20462.53</v>
      </c>
      <c r="Y38" s="2"/>
      <c r="Z38" s="19">
        <f t="shared" si="3"/>
        <v>-0.43783041839088332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--13848.98</f>
        <v>13848.98</v>
      </c>
      <c r="E39" s="2"/>
      <c r="F39" s="19"/>
      <c r="G39" s="2"/>
      <c r="H39" s="2">
        <f>--6487.38</f>
        <v>6487.38</v>
      </c>
      <c r="I39" s="2"/>
      <c r="J39" s="19"/>
      <c r="K39" s="2"/>
      <c r="L39" s="2">
        <f t="shared" si="0"/>
        <v>7361.5999999999995</v>
      </c>
      <c r="M39" s="2"/>
      <c r="N39" s="19">
        <f t="shared" si="1"/>
        <v>1.134757020553752</v>
      </c>
      <c r="O39" s="11"/>
      <c r="P39" s="2">
        <f>--122061.15</f>
        <v>122061.15</v>
      </c>
      <c r="Q39" s="2"/>
      <c r="R39" s="19"/>
      <c r="S39" s="2"/>
      <c r="T39" s="2">
        <f>--61005.82</f>
        <v>61005.82</v>
      </c>
      <c r="U39" s="2"/>
      <c r="V39" s="19"/>
      <c r="W39" s="2"/>
      <c r="X39" s="2">
        <f t="shared" si="2"/>
        <v>61055.329999999994</v>
      </c>
      <c r="Y39" s="2"/>
      <c r="Z39" s="19">
        <f t="shared" si="3"/>
        <v>1.0008115619132731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>
        <f>--115.39</f>
        <v>115.39</v>
      </c>
      <c r="I40" s="2"/>
      <c r="J40" s="19"/>
      <c r="K40" s="2"/>
      <c r="L40" s="2">
        <f t="shared" si="0"/>
        <v>-115.39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--1793.94</f>
        <v>1793.94</v>
      </c>
      <c r="U40" s="2"/>
      <c r="V40" s="19"/>
      <c r="W40" s="2"/>
      <c r="X40" s="2">
        <f t="shared" si="2"/>
        <v>-1793.94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--5713.27</f>
        <v>5713.27</v>
      </c>
      <c r="E41" s="2"/>
      <c r="F41" s="19"/>
      <c r="G41" s="2"/>
      <c r="H41" s="2">
        <f>--57092.23</f>
        <v>57092.23</v>
      </c>
      <c r="I41" s="2"/>
      <c r="J41" s="19"/>
      <c r="K41" s="2"/>
      <c r="L41" s="2">
        <f t="shared" si="0"/>
        <v>-51378.960000000006</v>
      </c>
      <c r="M41" s="2"/>
      <c r="N41" s="19">
        <f t="shared" si="1"/>
        <v>-0.89992911469739412</v>
      </c>
      <c r="O41" s="11"/>
      <c r="P41" s="2">
        <f>--22964.48</f>
        <v>22964.48</v>
      </c>
      <c r="Q41" s="2"/>
      <c r="R41" s="19"/>
      <c r="S41" s="2"/>
      <c r="T41" s="2">
        <f>--432096.75</f>
        <v>432096.75</v>
      </c>
      <c r="U41" s="2"/>
      <c r="V41" s="19"/>
      <c r="W41" s="2"/>
      <c r="X41" s="2">
        <f t="shared" si="2"/>
        <v>-409132.27</v>
      </c>
      <c r="Y41" s="2"/>
      <c r="Z41" s="19">
        <f t="shared" si="3"/>
        <v>-0.94685338410899877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>--62378.23</f>
        <v>62378.23</v>
      </c>
      <c r="E42" s="2"/>
      <c r="F42" s="19"/>
      <c r="G42" s="2"/>
      <c r="H42" s="2">
        <f>--82451.12</f>
        <v>82451.12</v>
      </c>
      <c r="I42" s="2"/>
      <c r="J42" s="19"/>
      <c r="K42" s="2"/>
      <c r="L42" s="2">
        <f t="shared" si="0"/>
        <v>-20072.889999999992</v>
      </c>
      <c r="M42" s="2"/>
      <c r="N42" s="19">
        <f t="shared" si="1"/>
        <v>-0.24345199919661484</v>
      </c>
      <c r="O42" s="11"/>
      <c r="P42" s="2">
        <f>--148103.39</f>
        <v>148103.39000000001</v>
      </c>
      <c r="Q42" s="2"/>
      <c r="R42" s="19"/>
      <c r="S42" s="2"/>
      <c r="T42" s="2">
        <f>--536296.65</f>
        <v>536296.65</v>
      </c>
      <c r="U42" s="2"/>
      <c r="V42" s="19"/>
      <c r="W42" s="2"/>
      <c r="X42" s="2">
        <f t="shared" si="2"/>
        <v>-388193.26</v>
      </c>
      <c r="Y42" s="2"/>
      <c r="Z42" s="19">
        <f t="shared" si="3"/>
        <v>-0.72384054608582771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--38.05</f>
        <v>38.049999999999997</v>
      </c>
      <c r="E43" s="2"/>
      <c r="F43" s="19"/>
      <c r="G43" s="2"/>
      <c r="H43" s="2">
        <f>--16599.9</f>
        <v>16599.900000000001</v>
      </c>
      <c r="I43" s="2"/>
      <c r="J43" s="19"/>
      <c r="K43" s="2"/>
      <c r="L43" s="2">
        <f t="shared" si="0"/>
        <v>-16561.850000000002</v>
      </c>
      <c r="M43" s="2"/>
      <c r="N43" s="19">
        <f t="shared" si="1"/>
        <v>-0.99770781751697302</v>
      </c>
      <c r="O43" s="11"/>
      <c r="P43" s="2">
        <f>--533.08</f>
        <v>533.08000000000004</v>
      </c>
      <c r="Q43" s="2"/>
      <c r="R43" s="19"/>
      <c r="S43" s="2"/>
      <c r="T43" s="2">
        <f>--106770.83</f>
        <v>106770.83</v>
      </c>
      <c r="U43" s="2"/>
      <c r="V43" s="19"/>
      <c r="W43" s="2"/>
      <c r="X43" s="2">
        <f t="shared" si="2"/>
        <v>-106237.75</v>
      </c>
      <c r="Y43" s="2"/>
      <c r="Z43" s="19">
        <f t="shared" si="3"/>
        <v>-0.99500725057583606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 t="shared" ref="D44:D45" si="9">0</f>
        <v>0</v>
      </c>
      <c r="E44" s="2"/>
      <c r="F44" s="19"/>
      <c r="G44" s="2"/>
      <c r="H44" s="2">
        <f>--36915.55</f>
        <v>36915.550000000003</v>
      </c>
      <c r="I44" s="2"/>
      <c r="J44" s="19"/>
      <c r="K44" s="2"/>
      <c r="L44" s="2">
        <f t="shared" si="0"/>
        <v>-36915.550000000003</v>
      </c>
      <c r="M44" s="2"/>
      <c r="N44" s="19">
        <f t="shared" si="1"/>
        <v>-1</v>
      </c>
      <c r="O44" s="11"/>
      <c r="P44" s="2">
        <f>0</f>
        <v>0</v>
      </c>
      <c r="Q44" s="2"/>
      <c r="R44" s="19"/>
      <c r="S44" s="2"/>
      <c r="T44" s="2">
        <f>--272827.44</f>
        <v>272827.44</v>
      </c>
      <c r="U44" s="2"/>
      <c r="V44" s="19"/>
      <c r="W44" s="2"/>
      <c r="X44" s="2">
        <f t="shared" si="2"/>
        <v>-272827.44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 t="shared" si="9"/>
        <v>0</v>
      </c>
      <c r="E45" s="2"/>
      <c r="F45" s="19"/>
      <c r="G45" s="2"/>
      <c r="H45" s="2">
        <f>--9096.8</f>
        <v>9096.7999999999993</v>
      </c>
      <c r="I45" s="2"/>
      <c r="J45" s="19"/>
      <c r="K45" s="2"/>
      <c r="L45" s="2">
        <f t="shared" si="0"/>
        <v>-9096.7999999999993</v>
      </c>
      <c r="M45" s="2"/>
      <c r="N45" s="19">
        <f t="shared" si="1"/>
        <v>-1</v>
      </c>
      <c r="O45" s="11"/>
      <c r="P45" s="2">
        <f>--974.91</f>
        <v>974.91</v>
      </c>
      <c r="Q45" s="2"/>
      <c r="R45" s="19"/>
      <c r="S45" s="2"/>
      <c r="T45" s="2">
        <f>--87899.21</f>
        <v>87899.21</v>
      </c>
      <c r="U45" s="2"/>
      <c r="V45" s="19"/>
      <c r="W45" s="2"/>
      <c r="X45" s="2">
        <f t="shared" si="2"/>
        <v>-86924.3</v>
      </c>
      <c r="Y45" s="2"/>
      <c r="Z45" s="19">
        <f t="shared" si="3"/>
        <v>-0.9889087740379009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--860.25</f>
        <v>860.25</v>
      </c>
      <c r="E46" s="2"/>
      <c r="F46" s="19"/>
      <c r="G46" s="2"/>
      <c r="H46" s="2">
        <f>--14865.23</f>
        <v>14865.23</v>
      </c>
      <c r="I46" s="2"/>
      <c r="J46" s="19"/>
      <c r="K46" s="2"/>
      <c r="L46" s="2">
        <f t="shared" si="0"/>
        <v>-14004.98</v>
      </c>
      <c r="M46" s="2"/>
      <c r="N46" s="19">
        <f t="shared" si="1"/>
        <v>-0.94213005785985149</v>
      </c>
      <c r="O46" s="11"/>
      <c r="P46" s="2">
        <f>--56951.47</f>
        <v>56951.47</v>
      </c>
      <c r="Q46" s="2"/>
      <c r="R46" s="19"/>
      <c r="S46" s="2"/>
      <c r="T46" s="2">
        <f>--246669.48</f>
        <v>246669.48</v>
      </c>
      <c r="U46" s="2"/>
      <c r="V46" s="19"/>
      <c r="W46" s="2"/>
      <c r="X46" s="2">
        <f t="shared" si="2"/>
        <v>-189718.01</v>
      </c>
      <c r="Y46" s="2"/>
      <c r="Z46" s="19">
        <f t="shared" si="3"/>
        <v>-0.76911829546160315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--43662</f>
        <v>43662</v>
      </c>
      <c r="E47" s="2"/>
      <c r="F47" s="19"/>
      <c r="G47" s="2"/>
      <c r="H47" s="2">
        <f>--59585.42</f>
        <v>59585.42</v>
      </c>
      <c r="I47" s="2"/>
      <c r="J47" s="19"/>
      <c r="K47" s="2"/>
      <c r="L47" s="2">
        <f t="shared" si="0"/>
        <v>-15923.419999999998</v>
      </c>
      <c r="M47" s="2"/>
      <c r="N47" s="19">
        <f t="shared" si="1"/>
        <v>-0.26723685089406096</v>
      </c>
      <c r="O47" s="11"/>
      <c r="P47" s="2">
        <f>--993256.89</f>
        <v>993256.89</v>
      </c>
      <c r="Q47" s="2"/>
      <c r="R47" s="19"/>
      <c r="S47" s="2"/>
      <c r="T47" s="2">
        <f>--1342516.26</f>
        <v>1342516.26</v>
      </c>
      <c r="U47" s="2"/>
      <c r="V47" s="19"/>
      <c r="W47" s="2"/>
      <c r="X47" s="2">
        <f t="shared" si="2"/>
        <v>-349259.37</v>
      </c>
      <c r="Y47" s="2"/>
      <c r="Z47" s="19">
        <f t="shared" si="3"/>
        <v>-0.26015280440625727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--7787.03</f>
        <v>7787.03</v>
      </c>
      <c r="E48" s="2"/>
      <c r="F48" s="19"/>
      <c r="G48" s="2"/>
      <c r="H48" s="2">
        <f>--7057.06</f>
        <v>7057.06</v>
      </c>
      <c r="I48" s="2"/>
      <c r="J48" s="19"/>
      <c r="K48" s="2"/>
      <c r="L48" s="2">
        <f t="shared" si="0"/>
        <v>729.96999999999935</v>
      </c>
      <c r="M48" s="2"/>
      <c r="N48" s="19">
        <f t="shared" si="1"/>
        <v>0.10343825899170467</v>
      </c>
      <c r="O48" s="11"/>
      <c r="P48" s="2">
        <f>--84647.97</f>
        <v>84647.97</v>
      </c>
      <c r="Q48" s="2"/>
      <c r="R48" s="19"/>
      <c r="S48" s="2"/>
      <c r="T48" s="2">
        <f>--71130.68</f>
        <v>71130.679999999993</v>
      </c>
      <c r="U48" s="2"/>
      <c r="V48" s="19"/>
      <c r="W48" s="2"/>
      <c r="X48" s="2">
        <f t="shared" si="2"/>
        <v>13517.290000000008</v>
      </c>
      <c r="Y48" s="2"/>
      <c r="Z48" s="19">
        <f t="shared" si="3"/>
        <v>0.19003459547975654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>0</f>
        <v>0</v>
      </c>
      <c r="E49" s="2"/>
      <c r="F49" s="19"/>
      <c r="G49" s="2"/>
      <c r="H49" s="2">
        <f t="shared" ref="H49:H50" si="10"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0</f>
        <v>0</v>
      </c>
      <c r="Q49" s="2"/>
      <c r="R49" s="19"/>
      <c r="S49" s="2"/>
      <c r="T49" s="2">
        <f>--129</f>
        <v>129</v>
      </c>
      <c r="U49" s="2"/>
      <c r="V49" s="19"/>
      <c r="W49" s="2"/>
      <c r="X49" s="2">
        <f t="shared" si="2"/>
        <v>-129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>--1228.99</f>
        <v>1228.99</v>
      </c>
      <c r="E50" s="2"/>
      <c r="F50" s="19"/>
      <c r="G50" s="2"/>
      <c r="H50" s="2">
        <f t="shared" si="10"/>
        <v>0</v>
      </c>
      <c r="I50" s="2"/>
      <c r="J50" s="19"/>
      <c r="K50" s="2"/>
      <c r="L50" s="2">
        <f t="shared" si="0"/>
        <v>1228.99</v>
      </c>
      <c r="M50" s="2"/>
      <c r="N50" s="19">
        <f t="shared" si="1"/>
        <v>0</v>
      </c>
      <c r="O50" s="11"/>
      <c r="P50" s="2">
        <f>--2728.94</f>
        <v>2728.94</v>
      </c>
      <c r="Q50" s="2"/>
      <c r="R50" s="19"/>
      <c r="S50" s="2"/>
      <c r="T50" s="2">
        <f>--4407.94</f>
        <v>4407.9399999999996</v>
      </c>
      <c r="U50" s="2"/>
      <c r="V50" s="19"/>
      <c r="W50" s="2"/>
      <c r="X50" s="2">
        <f t="shared" si="2"/>
        <v>-1678.9999999999995</v>
      </c>
      <c r="Y50" s="2"/>
      <c r="Z50" s="19">
        <f t="shared" si="3"/>
        <v>-0.38090355131875653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--27507.98</f>
        <v>27507.98</v>
      </c>
      <c r="E51" s="2"/>
      <c r="F51" s="19"/>
      <c r="G51" s="2"/>
      <c r="H51" s="2">
        <f>--2769.54</f>
        <v>2769.54</v>
      </c>
      <c r="I51" s="2"/>
      <c r="J51" s="19"/>
      <c r="K51" s="2"/>
      <c r="L51" s="2">
        <f t="shared" si="0"/>
        <v>24738.44</v>
      </c>
      <c r="M51" s="2"/>
      <c r="N51" s="19">
        <f t="shared" si="1"/>
        <v>8.9323281122496869</v>
      </c>
      <c r="O51" s="11"/>
      <c r="P51" s="2">
        <f>--57135.58</f>
        <v>57135.58</v>
      </c>
      <c r="Q51" s="2"/>
      <c r="R51" s="19"/>
      <c r="S51" s="2"/>
      <c r="T51" s="2">
        <f>--33777.24</f>
        <v>33777.24</v>
      </c>
      <c r="U51" s="2"/>
      <c r="V51" s="19"/>
      <c r="W51" s="2"/>
      <c r="X51" s="2">
        <f t="shared" si="2"/>
        <v>23358.340000000004</v>
      </c>
      <c r="Y51" s="2"/>
      <c r="Z51" s="19">
        <f t="shared" si="3"/>
        <v>0.69154081268925482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 t="shared" ref="D52:D54" si="11">0</f>
        <v>0</v>
      </c>
      <c r="E52" s="2"/>
      <c r="F52" s="19"/>
      <c r="G52" s="2"/>
      <c r="H52" s="2">
        <f>0</f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 t="shared" ref="P52:P54" si="12">0</f>
        <v>0</v>
      </c>
      <c r="Q52" s="2"/>
      <c r="R52" s="19"/>
      <c r="S52" s="2"/>
      <c r="T52" s="2">
        <f>--936.91</f>
        <v>936.91</v>
      </c>
      <c r="U52" s="2"/>
      <c r="V52" s="19"/>
      <c r="W52" s="2"/>
      <c r="X52" s="2">
        <f t="shared" si="2"/>
        <v>-936.91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 t="shared" si="11"/>
        <v>0</v>
      </c>
      <c r="E53" s="2"/>
      <c r="F53" s="19"/>
      <c r="G53" s="2"/>
      <c r="H53" s="2">
        <f>--218.75</f>
        <v>218.75</v>
      </c>
      <c r="I53" s="2"/>
      <c r="J53" s="19"/>
      <c r="K53" s="2"/>
      <c r="L53" s="2">
        <f t="shared" si="0"/>
        <v>-218.75</v>
      </c>
      <c r="M53" s="2"/>
      <c r="N53" s="19">
        <f t="shared" si="1"/>
        <v>-1</v>
      </c>
      <c r="O53" s="11"/>
      <c r="P53" s="2">
        <f t="shared" si="12"/>
        <v>0</v>
      </c>
      <c r="Q53" s="2"/>
      <c r="R53" s="19"/>
      <c r="S53" s="2"/>
      <c r="T53" s="2">
        <f>--7659.37</f>
        <v>7659.37</v>
      </c>
      <c r="U53" s="2"/>
      <c r="V53" s="19"/>
      <c r="W53" s="2"/>
      <c r="X53" s="2">
        <f t="shared" si="2"/>
        <v>-7659.37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 t="shared" si="11"/>
        <v>0</v>
      </c>
      <c r="E54" s="2"/>
      <c r="F54" s="19"/>
      <c r="G54" s="2"/>
      <c r="H54" s="2">
        <f>--20.89</f>
        <v>20.89</v>
      </c>
      <c r="I54" s="2"/>
      <c r="J54" s="19"/>
      <c r="K54" s="2"/>
      <c r="L54" s="2">
        <f t="shared" si="0"/>
        <v>-20.89</v>
      </c>
      <c r="M54" s="2"/>
      <c r="N54" s="19">
        <f t="shared" si="1"/>
        <v>-1</v>
      </c>
      <c r="O54" s="11"/>
      <c r="P54" s="2">
        <f t="shared" si="12"/>
        <v>0</v>
      </c>
      <c r="Q54" s="2"/>
      <c r="R54" s="19"/>
      <c r="S54" s="2"/>
      <c r="T54" s="2">
        <f>--297.33</f>
        <v>297.33</v>
      </c>
      <c r="U54" s="2"/>
      <c r="V54" s="19"/>
      <c r="W54" s="2"/>
      <c r="X54" s="2">
        <f t="shared" si="2"/>
        <v>-297.33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--12999.25</f>
        <v>12999.25</v>
      </c>
      <c r="E55" s="2"/>
      <c r="F55" s="19"/>
      <c r="G55" s="2"/>
      <c r="H55" s="2">
        <f>--21437.99</f>
        <v>21437.99</v>
      </c>
      <c r="I55" s="2"/>
      <c r="J55" s="19"/>
      <c r="K55" s="2"/>
      <c r="L55" s="2">
        <f t="shared" si="0"/>
        <v>-8438.7400000000016</v>
      </c>
      <c r="M55" s="2"/>
      <c r="N55" s="19">
        <f t="shared" si="1"/>
        <v>-0.39363485102847801</v>
      </c>
      <c r="O55" s="11"/>
      <c r="P55" s="2">
        <f>--501259.67</f>
        <v>501259.67</v>
      </c>
      <c r="Q55" s="2"/>
      <c r="R55" s="19"/>
      <c r="S55" s="2"/>
      <c r="T55" s="2">
        <f>--502729.55</f>
        <v>502729.55</v>
      </c>
      <c r="U55" s="2"/>
      <c r="V55" s="19"/>
      <c r="W55" s="2"/>
      <c r="X55" s="2">
        <f t="shared" si="2"/>
        <v>-1469.8800000000047</v>
      </c>
      <c r="Y55" s="2"/>
      <c r="Z55" s="19">
        <f t="shared" si="3"/>
        <v>-2.9237986905683278E-3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--3205.21</f>
        <v>3205.21</v>
      </c>
      <c r="E56" s="2"/>
      <c r="F56" s="19"/>
      <c r="G56" s="2"/>
      <c r="H56" s="2">
        <f>--2606.82</f>
        <v>2606.8200000000002</v>
      </c>
      <c r="I56" s="2"/>
      <c r="J56" s="19"/>
      <c r="K56" s="2"/>
      <c r="L56" s="2">
        <f t="shared" si="0"/>
        <v>598.38999999999987</v>
      </c>
      <c r="M56" s="2"/>
      <c r="N56" s="19">
        <f t="shared" si="1"/>
        <v>0.22954787825780062</v>
      </c>
      <c r="O56" s="11"/>
      <c r="P56" s="2">
        <f>--82140.93</f>
        <v>82140.929999999993</v>
      </c>
      <c r="Q56" s="2"/>
      <c r="R56" s="19"/>
      <c r="S56" s="2"/>
      <c r="T56" s="2">
        <f>--95287.57</f>
        <v>95287.57</v>
      </c>
      <c r="U56" s="2"/>
      <c r="V56" s="19"/>
      <c r="W56" s="2"/>
      <c r="X56" s="2">
        <f t="shared" si="2"/>
        <v>-13146.640000000014</v>
      </c>
      <c r="Y56" s="2"/>
      <c r="Z56" s="19">
        <f t="shared" si="3"/>
        <v>-0.13796804766875692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--598.12</f>
        <v>598.12</v>
      </c>
      <c r="E57" s="2"/>
      <c r="F57" s="19"/>
      <c r="G57" s="2"/>
      <c r="H57" s="2">
        <f>--595.75</f>
        <v>595.75</v>
      </c>
      <c r="I57" s="2"/>
      <c r="J57" s="19"/>
      <c r="K57" s="2"/>
      <c r="L57" s="2">
        <f t="shared" si="0"/>
        <v>2.3700000000000045</v>
      </c>
      <c r="M57" s="2"/>
      <c r="N57" s="19">
        <f t="shared" si="1"/>
        <v>3.9781787662610231E-3</v>
      </c>
      <c r="O57" s="11"/>
      <c r="P57" s="2">
        <f>--33631.31</f>
        <v>33631.31</v>
      </c>
      <c r="Q57" s="2"/>
      <c r="R57" s="19"/>
      <c r="S57" s="2"/>
      <c r="T57" s="2">
        <f>--38202.59</f>
        <v>38202.589999999997</v>
      </c>
      <c r="U57" s="2"/>
      <c r="V57" s="19"/>
      <c r="W57" s="2"/>
      <c r="X57" s="2">
        <f t="shared" si="2"/>
        <v>-4571.2799999999988</v>
      </c>
      <c r="Y57" s="2"/>
      <c r="Z57" s="19">
        <f t="shared" si="3"/>
        <v>-0.11965890270790538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0</f>
        <v>0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--284.97</f>
        <v>284.97000000000003</v>
      </c>
      <c r="Q58" s="2"/>
      <c r="R58" s="19"/>
      <c r="S58" s="2"/>
      <c r="T58" s="2">
        <f>--329.98</f>
        <v>329.98</v>
      </c>
      <c r="U58" s="2"/>
      <c r="V58" s="19"/>
      <c r="W58" s="2"/>
      <c r="X58" s="2">
        <f t="shared" si="2"/>
        <v>-45.009999999999991</v>
      </c>
      <c r="Y58" s="2"/>
      <c r="Z58" s="19">
        <f t="shared" si="3"/>
        <v>-0.13640220619431478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--1301.3</f>
        <v>1301.3</v>
      </c>
      <c r="E59" s="2"/>
      <c r="F59" s="19"/>
      <c r="G59" s="2"/>
      <c r="H59" s="2">
        <f>--12189.74</f>
        <v>12189.74</v>
      </c>
      <c r="I59" s="2"/>
      <c r="J59" s="19"/>
      <c r="K59" s="2"/>
      <c r="L59" s="2">
        <f t="shared" si="0"/>
        <v>-10888.44</v>
      </c>
      <c r="M59" s="2"/>
      <c r="N59" s="19">
        <f t="shared" si="1"/>
        <v>-0.89324628745157819</v>
      </c>
      <c r="O59" s="11"/>
      <c r="P59" s="2">
        <f>--296191.01</f>
        <v>296191.01</v>
      </c>
      <c r="Q59" s="2"/>
      <c r="R59" s="19"/>
      <c r="S59" s="2"/>
      <c r="T59" s="2">
        <f>--332888.83</f>
        <v>332888.83</v>
      </c>
      <c r="U59" s="2"/>
      <c r="V59" s="19"/>
      <c r="W59" s="2"/>
      <c r="X59" s="2">
        <f t="shared" si="2"/>
        <v>-36697.820000000007</v>
      </c>
      <c r="Y59" s="2"/>
      <c r="Z59" s="19">
        <f t="shared" si="3"/>
        <v>-0.11024046676483559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0</f>
        <v>0</v>
      </c>
      <c r="E60" s="2"/>
      <c r="F60" s="19"/>
      <c r="G60" s="2"/>
      <c r="H60" s="2">
        <f>--431.78</f>
        <v>431.78</v>
      </c>
      <c r="I60" s="2"/>
      <c r="J60" s="19"/>
      <c r="K60" s="2"/>
      <c r="L60" s="2">
        <f t="shared" si="0"/>
        <v>-431.78</v>
      </c>
      <c r="M60" s="2"/>
      <c r="N60" s="19">
        <f t="shared" si="1"/>
        <v>-1</v>
      </c>
      <c r="O60" s="11"/>
      <c r="P60" s="2">
        <f>0</f>
        <v>0</v>
      </c>
      <c r="Q60" s="2"/>
      <c r="R60" s="19"/>
      <c r="S60" s="2"/>
      <c r="T60" s="2">
        <f>--8023.97</f>
        <v>8023.97</v>
      </c>
      <c r="U60" s="2"/>
      <c r="V60" s="19"/>
      <c r="W60" s="2"/>
      <c r="X60" s="2">
        <f t="shared" si="2"/>
        <v>-8023.97</v>
      </c>
      <c r="Y60" s="2"/>
      <c r="Z60" s="19">
        <f t="shared" si="3"/>
        <v>-1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>--41.55</f>
        <v>41.55</v>
      </c>
      <c r="E61" s="2"/>
      <c r="F61" s="19"/>
      <c r="G61" s="2"/>
      <c r="H61" s="2">
        <f>0</f>
        <v>0</v>
      </c>
      <c r="I61" s="2"/>
      <c r="J61" s="19"/>
      <c r="K61" s="2"/>
      <c r="L61" s="2">
        <f t="shared" si="0"/>
        <v>41.55</v>
      </c>
      <c r="M61" s="2"/>
      <c r="N61" s="19">
        <f t="shared" si="1"/>
        <v>0</v>
      </c>
      <c r="O61" s="11"/>
      <c r="P61" s="2">
        <f>--2327.5</f>
        <v>2327.5</v>
      </c>
      <c r="Q61" s="2"/>
      <c r="R61" s="19"/>
      <c r="S61" s="2"/>
      <c r="T61" s="2">
        <f>--1146.72</f>
        <v>1146.72</v>
      </c>
      <c r="U61" s="2"/>
      <c r="V61" s="19"/>
      <c r="W61" s="2"/>
      <c r="X61" s="2">
        <f t="shared" si="2"/>
        <v>1180.78</v>
      </c>
      <c r="Y61" s="2"/>
      <c r="Z61" s="19">
        <f t="shared" si="3"/>
        <v>1.0297021068787497</v>
      </c>
    </row>
    <row r="62" spans="1:26" s="24" customFormat="1" hidden="1" outlineLevel="1" x14ac:dyDescent="0.25">
      <c r="A62" s="44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 t="shared" ref="D62:D64" si="13">0</f>
        <v>0</v>
      </c>
      <c r="E62" s="2"/>
      <c r="F62" s="19"/>
      <c r="G62" s="2"/>
      <c r="H62" s="2">
        <f>--6.95</f>
        <v>6.95</v>
      </c>
      <c r="I62" s="2"/>
      <c r="J62" s="19"/>
      <c r="K62" s="2"/>
      <c r="L62" s="2">
        <f t="shared" si="0"/>
        <v>-6.95</v>
      </c>
      <c r="M62" s="2"/>
      <c r="N62" s="19">
        <f t="shared" si="1"/>
        <v>-1</v>
      </c>
      <c r="O62" s="11"/>
      <c r="P62" s="2">
        <f>--233.43</f>
        <v>233.43</v>
      </c>
      <c r="Q62" s="2"/>
      <c r="R62" s="19"/>
      <c r="S62" s="2"/>
      <c r="T62" s="2">
        <f>--41.91</f>
        <v>41.91</v>
      </c>
      <c r="U62" s="2"/>
      <c r="V62" s="19"/>
      <c r="W62" s="2"/>
      <c r="X62" s="2">
        <f t="shared" si="2"/>
        <v>191.52</v>
      </c>
      <c r="Y62" s="2"/>
      <c r="Z62" s="19">
        <f t="shared" si="3"/>
        <v>4.5697924123120979</v>
      </c>
    </row>
    <row r="63" spans="1:26" s="24" customFormat="1" hidden="1" outlineLevel="1" x14ac:dyDescent="0.25">
      <c r="A63" s="44"/>
      <c r="B63" s="11" t="str">
        <f>CONCATENATE("          ", "4125", " - ", "NON-TAXABLE SALES-TEST FORMS")</f>
        <v xml:space="preserve">          4125 - NON-TAXABLE SALES-TEST FORMS</v>
      </c>
      <c r="C63" s="11"/>
      <c r="D63" s="2">
        <f t="shared" si="13"/>
        <v>0</v>
      </c>
      <c r="E63" s="2"/>
      <c r="F63" s="19"/>
      <c r="G63" s="2"/>
      <c r="H63" s="2">
        <f>0</f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0</f>
        <v>0</v>
      </c>
      <c r="Q63" s="2"/>
      <c r="R63" s="19"/>
      <c r="S63" s="2"/>
      <c r="T63" s="2">
        <f>--124.18</f>
        <v>124.18</v>
      </c>
      <c r="U63" s="2"/>
      <c r="V63" s="19"/>
      <c r="W63" s="2"/>
      <c r="X63" s="2">
        <f t="shared" si="2"/>
        <v>-124.18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 t="shared" si="13"/>
        <v>0</v>
      </c>
      <c r="E64" s="2"/>
      <c r="F64" s="19"/>
      <c r="G64" s="2"/>
      <c r="H64" s="2">
        <f>--38.73</f>
        <v>38.729999999999997</v>
      </c>
      <c r="I64" s="2"/>
      <c r="J64" s="19"/>
      <c r="K64" s="2"/>
      <c r="L64" s="2">
        <f t="shared" si="0"/>
        <v>-38.729999999999997</v>
      </c>
      <c r="M64" s="2"/>
      <c r="N64" s="19">
        <f t="shared" si="1"/>
        <v>-1</v>
      </c>
      <c r="O64" s="11"/>
      <c r="P64" s="2">
        <f>--52.68</f>
        <v>52.68</v>
      </c>
      <c r="Q64" s="2"/>
      <c r="R64" s="19"/>
      <c r="S64" s="2"/>
      <c r="T64" s="2">
        <f>--1509.11</f>
        <v>1509.11</v>
      </c>
      <c r="U64" s="2"/>
      <c r="V64" s="19"/>
      <c r="W64" s="2"/>
      <c r="X64" s="2">
        <f t="shared" si="2"/>
        <v>-1456.4299999999998</v>
      </c>
      <c r="Y64" s="2"/>
      <c r="Z64" s="19">
        <f t="shared" si="3"/>
        <v>-0.96509200787218952</v>
      </c>
    </row>
    <row r="65" spans="1:26" s="24" customFormat="1" hidden="1" outlineLevel="1" x14ac:dyDescent="0.25">
      <c r="A65" s="44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>--259.53</f>
        <v>259.52999999999997</v>
      </c>
      <c r="E65" s="2"/>
      <c r="F65" s="19"/>
      <c r="G65" s="2"/>
      <c r="H65" s="2">
        <f t="shared" ref="H65:H66" si="14">0</f>
        <v>0</v>
      </c>
      <c r="I65" s="2"/>
      <c r="J65" s="19"/>
      <c r="K65" s="2"/>
      <c r="L65" s="2">
        <f t="shared" si="0"/>
        <v>259.52999999999997</v>
      </c>
      <c r="M65" s="2"/>
      <c r="N65" s="19">
        <f t="shared" si="1"/>
        <v>0</v>
      </c>
      <c r="O65" s="11"/>
      <c r="P65" s="2">
        <f>--3206.11</f>
        <v>3206.11</v>
      </c>
      <c r="Q65" s="2"/>
      <c r="R65" s="19"/>
      <c r="S65" s="2"/>
      <c r="T65" s="2">
        <f>--2603.4</f>
        <v>2603.4</v>
      </c>
      <c r="U65" s="2"/>
      <c r="V65" s="19"/>
      <c r="W65" s="2"/>
      <c r="X65" s="2">
        <f t="shared" si="2"/>
        <v>602.71</v>
      </c>
      <c r="Y65" s="2"/>
      <c r="Z65" s="19">
        <f t="shared" si="3"/>
        <v>0.23150879618959821</v>
      </c>
    </row>
    <row r="66" spans="1:26" s="24" customFormat="1" hidden="1" outlineLevel="1" x14ac:dyDescent="0.25">
      <c r="A66" s="44"/>
      <c r="B66" s="11" t="str">
        <f>CONCATENATE("          ", "4128", " - ", "NON-TAXABLE SALES-ART/TECH")</f>
        <v xml:space="preserve">          4128 - NON-TAXABLE SALES-ART/TECH</v>
      </c>
      <c r="C66" s="11"/>
      <c r="D66" s="2">
        <f>0</f>
        <v>0</v>
      </c>
      <c r="E66" s="2"/>
      <c r="F66" s="19"/>
      <c r="G66" s="2"/>
      <c r="H66" s="2">
        <f t="shared" si="14"/>
        <v>0</v>
      </c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1"/>
      <c r="P66" s="2">
        <f>--24.78</f>
        <v>24.78</v>
      </c>
      <c r="Q66" s="2"/>
      <c r="R66" s="19"/>
      <c r="S66" s="2"/>
      <c r="T66" s="2">
        <f>--348.72</f>
        <v>348.72</v>
      </c>
      <c r="U66" s="2"/>
      <c r="V66" s="19"/>
      <c r="W66" s="2"/>
      <c r="X66" s="2">
        <f t="shared" si="2"/>
        <v>-323.94000000000005</v>
      </c>
      <c r="Y66" s="2"/>
      <c r="Z66" s="19">
        <f t="shared" si="3"/>
        <v>-0.92894012388162428</v>
      </c>
    </row>
    <row r="67" spans="1:26" s="24" customFormat="1" hidden="1" outlineLevel="1" x14ac:dyDescent="0.25">
      <c r="A67" s="44"/>
      <c r="B67" s="11" t="str">
        <f>CONCATENATE("          ", "4131", " - ", "NON-TAXABLE SALES-FOOD")</f>
        <v xml:space="preserve">          4131 - NON-TAXABLE SALES-FOOD</v>
      </c>
      <c r="C67" s="11"/>
      <c r="D67" s="2">
        <f>--1032.82</f>
        <v>1032.82</v>
      </c>
      <c r="E67" s="2"/>
      <c r="F67" s="19"/>
      <c r="G67" s="2"/>
      <c r="H67" s="2">
        <f>--4058.22</f>
        <v>4058.22</v>
      </c>
      <c r="I67" s="2"/>
      <c r="J67" s="19"/>
      <c r="K67" s="2"/>
      <c r="L67" s="2">
        <f t="shared" si="0"/>
        <v>-3025.3999999999996</v>
      </c>
      <c r="M67" s="2"/>
      <c r="N67" s="19">
        <f t="shared" si="1"/>
        <v>-0.74549925829550878</v>
      </c>
      <c r="O67" s="11"/>
      <c r="P67" s="2">
        <f>--7542.15</f>
        <v>7542.15</v>
      </c>
      <c r="Q67" s="2"/>
      <c r="R67" s="19"/>
      <c r="S67" s="2"/>
      <c r="T67" s="2">
        <f>--39085.73</f>
        <v>39085.730000000003</v>
      </c>
      <c r="U67" s="2"/>
      <c r="V67" s="19"/>
      <c r="W67" s="2"/>
      <c r="X67" s="2">
        <f t="shared" si="2"/>
        <v>-31543.58</v>
      </c>
      <c r="Y67" s="2"/>
      <c r="Z67" s="19">
        <f t="shared" si="3"/>
        <v>-0.80703571354558301</v>
      </c>
    </row>
    <row r="68" spans="1:26" s="24" customFormat="1" hidden="1" outlineLevel="1" x14ac:dyDescent="0.25">
      <c r="A68" s="44"/>
      <c r="B68" s="11" t="str">
        <f>CONCATENATE("          ", "4132", " - ", "NON-TAXABLE SALES-JUICE")</f>
        <v xml:space="preserve">          4132 - NON-TAXABLE SALES-JUICE</v>
      </c>
      <c r="C68" s="11"/>
      <c r="D68" s="2">
        <f t="shared" ref="D68:D72" si="15">0</f>
        <v>0</v>
      </c>
      <c r="E68" s="2"/>
      <c r="F68" s="19"/>
      <c r="G68" s="2"/>
      <c r="H68" s="2">
        <f>--85222.13</f>
        <v>85222.13</v>
      </c>
      <c r="I68" s="2"/>
      <c r="J68" s="19"/>
      <c r="K68" s="2"/>
      <c r="L68" s="2">
        <f t="shared" si="0"/>
        <v>-85222.13</v>
      </c>
      <c r="M68" s="2"/>
      <c r="N68" s="19">
        <f t="shared" si="1"/>
        <v>-1</v>
      </c>
      <c r="O68" s="11"/>
      <c r="P68" s="2">
        <f>--2054.37</f>
        <v>2054.37</v>
      </c>
      <c r="Q68" s="2"/>
      <c r="R68" s="19"/>
      <c r="S68" s="2"/>
      <c r="T68" s="2">
        <f>--750566.92</f>
        <v>750566.92</v>
      </c>
      <c r="U68" s="2"/>
      <c r="V68" s="19"/>
      <c r="W68" s="2"/>
      <c r="X68" s="2">
        <f t="shared" si="2"/>
        <v>-748512.55</v>
      </c>
      <c r="Y68" s="2"/>
      <c r="Z68" s="19">
        <f t="shared" si="3"/>
        <v>-0.99726290894887826</v>
      </c>
    </row>
    <row r="69" spans="1:26" s="24" customFormat="1" hidden="1" outlineLevel="1" x14ac:dyDescent="0.25">
      <c r="A69" s="44"/>
      <c r="B69" s="11" t="str">
        <f>CONCATENATE("          ", "4133", " - ", "NON-TAXABLE SALES-CANDY")</f>
        <v xml:space="preserve">          4133 - NON-TAXABLE SALES-CANDY</v>
      </c>
      <c r="C69" s="11"/>
      <c r="D69" s="2">
        <f t="shared" si="15"/>
        <v>0</v>
      </c>
      <c r="E69" s="2"/>
      <c r="F69" s="19"/>
      <c r="G69" s="2"/>
      <c r="H69" s="2">
        <f>--1305.22</f>
        <v>1305.22</v>
      </c>
      <c r="I69" s="2"/>
      <c r="J69" s="19"/>
      <c r="K69" s="2"/>
      <c r="L69" s="2">
        <f t="shared" si="0"/>
        <v>-1305.22</v>
      </c>
      <c r="M69" s="2"/>
      <c r="N69" s="19">
        <f t="shared" si="1"/>
        <v>-1</v>
      </c>
      <c r="O69" s="11"/>
      <c r="P69" s="2">
        <f>--80.71</f>
        <v>80.709999999999994</v>
      </c>
      <c r="Q69" s="2"/>
      <c r="R69" s="19"/>
      <c r="S69" s="2"/>
      <c r="T69" s="2">
        <f>--12121.78</f>
        <v>12121.78</v>
      </c>
      <c r="U69" s="2"/>
      <c r="V69" s="19"/>
      <c r="W69" s="2"/>
      <c r="X69" s="2">
        <f t="shared" si="2"/>
        <v>-12041.070000000002</v>
      </c>
      <c r="Y69" s="2"/>
      <c r="Z69" s="19">
        <f t="shared" si="3"/>
        <v>-0.99334173693962446</v>
      </c>
    </row>
    <row r="70" spans="1:26" s="24" customFormat="1" hidden="1" outlineLevel="1" x14ac:dyDescent="0.25">
      <c r="A70" s="44"/>
      <c r="B70" s="11" t="str">
        <f>CONCATENATE("          ", "4134", " - ", "NON-TAXABLE SALES-SODA")</f>
        <v xml:space="preserve">          4134 - NON-TAXABLE SALES-SODA</v>
      </c>
      <c r="C70" s="11"/>
      <c r="D70" s="2">
        <f t="shared" si="15"/>
        <v>0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--45.53</f>
        <v>45.53</v>
      </c>
      <c r="Q70" s="2"/>
      <c r="R70" s="19"/>
      <c r="S70" s="2"/>
      <c r="T70" s="2">
        <f>--0.39</f>
        <v>0.39</v>
      </c>
      <c r="U70" s="2"/>
      <c r="V70" s="19"/>
      <c r="W70" s="2"/>
      <c r="X70" s="2">
        <f t="shared" si="2"/>
        <v>45.14</v>
      </c>
      <c r="Y70" s="2"/>
      <c r="Z70" s="19">
        <f t="shared" si="3"/>
        <v>115.74358974358974</v>
      </c>
    </row>
    <row r="71" spans="1:26" s="24" customFormat="1" hidden="1" outlineLevel="1" x14ac:dyDescent="0.25">
      <c r="A71" s="44"/>
      <c r="B71" s="11" t="str">
        <f>CONCATENATE("          ", "4135", " - ", "NON-TAXABLE SALES")</f>
        <v xml:space="preserve">          4135 - NON-TAXABLE SALES</v>
      </c>
      <c r="C71" s="11"/>
      <c r="D71" s="2">
        <f t="shared" si="15"/>
        <v>0</v>
      </c>
      <c r="E71" s="2"/>
      <c r="F71" s="19"/>
      <c r="G71" s="2"/>
      <c r="H71" s="2">
        <f>--3.59</f>
        <v>3.59</v>
      </c>
      <c r="I71" s="2"/>
      <c r="J71" s="19"/>
      <c r="K71" s="2"/>
      <c r="L71" s="2">
        <f t="shared" si="0"/>
        <v>-3.59</v>
      </c>
      <c r="M71" s="2"/>
      <c r="N71" s="19">
        <f t="shared" si="1"/>
        <v>-1</v>
      </c>
      <c r="O71" s="11"/>
      <c r="P71" s="2">
        <f>0</f>
        <v>0</v>
      </c>
      <c r="Q71" s="2"/>
      <c r="R71" s="19"/>
      <c r="S71" s="2"/>
      <c r="T71" s="2">
        <f>--118.32</f>
        <v>118.32</v>
      </c>
      <c r="U71" s="2"/>
      <c r="V71" s="19"/>
      <c r="W71" s="2"/>
      <c r="X71" s="2">
        <f t="shared" si="2"/>
        <v>-118.32</v>
      </c>
      <c r="Y71" s="2"/>
      <c r="Z71" s="19">
        <f t="shared" si="3"/>
        <v>-1</v>
      </c>
    </row>
    <row r="72" spans="1:26" s="24" customFormat="1" hidden="1" outlineLevel="1" x14ac:dyDescent="0.25">
      <c r="A72" s="44"/>
      <c r="B72" s="11" t="str">
        <f>CONCATENATE("          ", "4137", " - ", "NON-TAXABLE SALES-WATER")</f>
        <v xml:space="preserve">          4137 - NON-TAXABLE SALES-WATER</v>
      </c>
      <c r="C72" s="11"/>
      <c r="D72" s="2">
        <f t="shared" si="15"/>
        <v>0</v>
      </c>
      <c r="E72" s="2"/>
      <c r="F72" s="19"/>
      <c r="G72" s="2"/>
      <c r="H72" s="2">
        <f>--749.29</f>
        <v>749.29</v>
      </c>
      <c r="I72" s="2"/>
      <c r="J72" s="19"/>
      <c r="K72" s="2"/>
      <c r="L72" s="2">
        <f t="shared" si="0"/>
        <v>-749.29</v>
      </c>
      <c r="M72" s="2"/>
      <c r="N72" s="19">
        <f t="shared" si="1"/>
        <v>-1</v>
      </c>
      <c r="O72" s="11"/>
      <c r="P72" s="2">
        <f>--68.25</f>
        <v>68.25</v>
      </c>
      <c r="Q72" s="2"/>
      <c r="R72" s="19"/>
      <c r="S72" s="2"/>
      <c r="T72" s="2">
        <f>--7063.17</f>
        <v>7063.17</v>
      </c>
      <c r="U72" s="2"/>
      <c r="V72" s="19"/>
      <c r="W72" s="2"/>
      <c r="X72" s="2">
        <f t="shared" si="2"/>
        <v>-6994.92</v>
      </c>
      <c r="Y72" s="2"/>
      <c r="Z72" s="19">
        <f t="shared" si="3"/>
        <v>-0.99033719986918056</v>
      </c>
    </row>
    <row r="73" spans="1:26" s="24" customFormat="1" hidden="1" outlineLevel="1" x14ac:dyDescent="0.25">
      <c r="A73" s="44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--53650.7</f>
        <v>53650.7</v>
      </c>
      <c r="E73" s="2"/>
      <c r="F73" s="19"/>
      <c r="G73" s="2"/>
      <c r="H73" s="2">
        <f>--18815.05</f>
        <v>18815.05</v>
      </c>
      <c r="I73" s="2"/>
      <c r="J73" s="19"/>
      <c r="K73" s="2"/>
      <c r="L73" s="2">
        <f t="shared" si="0"/>
        <v>34835.649999999994</v>
      </c>
      <c r="M73" s="2"/>
      <c r="N73" s="19">
        <f t="shared" si="1"/>
        <v>1.851477939202925</v>
      </c>
      <c r="O73" s="11"/>
      <c r="P73" s="2">
        <f>--103970.97</f>
        <v>103970.97</v>
      </c>
      <c r="Q73" s="2"/>
      <c r="R73" s="19"/>
      <c r="S73" s="2"/>
      <c r="T73" s="2">
        <f>--38823.84</f>
        <v>38823.839999999997</v>
      </c>
      <c r="U73" s="2"/>
      <c r="V73" s="19"/>
      <c r="W73" s="2"/>
      <c r="X73" s="2">
        <f t="shared" si="2"/>
        <v>65147.130000000005</v>
      </c>
      <c r="Y73" s="2"/>
      <c r="Z73" s="19">
        <f t="shared" si="3"/>
        <v>1.6780187122139389</v>
      </c>
    </row>
    <row r="74" spans="1:26" s="24" customFormat="1" hidden="1" outlineLevel="1" x14ac:dyDescent="0.25">
      <c r="A74" s="44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--1780.23</f>
        <v>1780.23</v>
      </c>
      <c r="E74" s="2"/>
      <c r="F74" s="19"/>
      <c r="G74" s="2"/>
      <c r="H74" s="2">
        <f>--699.6</f>
        <v>699.6</v>
      </c>
      <c r="I74" s="2"/>
      <c r="J74" s="19"/>
      <c r="K74" s="2"/>
      <c r="L74" s="2">
        <f t="shared" si="0"/>
        <v>1080.6300000000001</v>
      </c>
      <c r="M74" s="2"/>
      <c r="N74" s="19">
        <f t="shared" si="1"/>
        <v>1.5446397941680963</v>
      </c>
      <c r="O74" s="11"/>
      <c r="P74" s="2">
        <f>--5969.25</f>
        <v>5969.25</v>
      </c>
      <c r="Q74" s="2"/>
      <c r="R74" s="19"/>
      <c r="S74" s="2"/>
      <c r="T74" s="2">
        <f>--2529.88</f>
        <v>2529.88</v>
      </c>
      <c r="U74" s="2"/>
      <c r="V74" s="19"/>
      <c r="W74" s="2"/>
      <c r="X74" s="2">
        <f t="shared" si="2"/>
        <v>3439.37</v>
      </c>
      <c r="Y74" s="2"/>
      <c r="Z74" s="19">
        <f t="shared" si="3"/>
        <v>1.3594992647872626</v>
      </c>
    </row>
    <row r="75" spans="1:26" s="24" customFormat="1" hidden="1" outlineLevel="1" x14ac:dyDescent="0.25">
      <c r="A75" s="44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0</f>
        <v>0</v>
      </c>
      <c r="E75" s="2"/>
      <c r="F75" s="19"/>
      <c r="G75" s="2"/>
      <c r="H75" s="2">
        <f>--2554.55</f>
        <v>2554.5500000000002</v>
      </c>
      <c r="I75" s="2"/>
      <c r="J75" s="19"/>
      <c r="K75" s="2"/>
      <c r="L75" s="2">
        <f t="shared" si="0"/>
        <v>-2554.5500000000002</v>
      </c>
      <c r="M75" s="2"/>
      <c r="N75" s="19">
        <f t="shared" si="1"/>
        <v>-1</v>
      </c>
      <c r="O75" s="11"/>
      <c r="P75" s="2">
        <f>--2208.19</f>
        <v>2208.19</v>
      </c>
      <c r="Q75" s="2"/>
      <c r="R75" s="19"/>
      <c r="S75" s="2"/>
      <c r="T75" s="2">
        <f>--10487.38</f>
        <v>10487.38</v>
      </c>
      <c r="U75" s="2"/>
      <c r="V75" s="19"/>
      <c r="W75" s="2"/>
      <c r="X75" s="2">
        <f t="shared" si="2"/>
        <v>-8279.1899999999987</v>
      </c>
      <c r="Y75" s="2"/>
      <c r="Z75" s="19">
        <f t="shared" si="3"/>
        <v>-0.78944312116086179</v>
      </c>
    </row>
    <row r="76" spans="1:26" s="24" customFormat="1" hidden="1" outlineLevel="1" x14ac:dyDescent="0.25">
      <c r="A76" s="44"/>
      <c r="B76" s="11" t="str">
        <f>CONCATENATE("          ", "4143", " - ", "NON-TAXABLE SALES-CARDS")</f>
        <v xml:space="preserve">          4143 - NON-TAXABLE SALES-CARDS</v>
      </c>
      <c r="C76" s="11"/>
      <c r="D76" s="2">
        <f>--1697.07</f>
        <v>1697.07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1697.07</v>
      </c>
      <c r="M76" s="2"/>
      <c r="N76" s="19">
        <f t="shared" si="1"/>
        <v>0</v>
      </c>
      <c r="O76" s="11"/>
      <c r="P76" s="2">
        <f>--1737.03</f>
        <v>1737.03</v>
      </c>
      <c r="Q76" s="2"/>
      <c r="R76" s="19"/>
      <c r="S76" s="2"/>
      <c r="T76" s="2">
        <f>0</f>
        <v>0</v>
      </c>
      <c r="U76" s="2"/>
      <c r="V76" s="19"/>
      <c r="W76" s="2"/>
      <c r="X76" s="2">
        <f t="shared" si="2"/>
        <v>1737.03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"4144", " - ", "NON-TAXABLE SALES-ACCESSORIES")</f>
        <v xml:space="preserve">          4144 - NON-TAXABLE SALES-ACCESSORIES</v>
      </c>
      <c r="C77" s="11"/>
      <c r="D77" s="2">
        <f>--99.8</f>
        <v>99.8</v>
      </c>
      <c r="E77" s="2"/>
      <c r="F77" s="19"/>
      <c r="G77" s="2"/>
      <c r="H77" s="2">
        <f>--351.29</f>
        <v>351.29</v>
      </c>
      <c r="I77" s="2"/>
      <c r="J77" s="19"/>
      <c r="K77" s="2"/>
      <c r="L77" s="2">
        <f t="shared" si="0"/>
        <v>-251.49</v>
      </c>
      <c r="M77" s="2"/>
      <c r="N77" s="19">
        <f t="shared" si="1"/>
        <v>-0.71590423866321273</v>
      </c>
      <c r="O77" s="11"/>
      <c r="P77" s="2">
        <f>--489.5</f>
        <v>489.5</v>
      </c>
      <c r="Q77" s="2"/>
      <c r="R77" s="19"/>
      <c r="S77" s="2"/>
      <c r="T77" s="2">
        <f>--592.85</f>
        <v>592.85</v>
      </c>
      <c r="U77" s="2"/>
      <c r="V77" s="19"/>
      <c r="W77" s="2"/>
      <c r="X77" s="2">
        <f t="shared" si="2"/>
        <v>-103.35000000000002</v>
      </c>
      <c r="Y77" s="2"/>
      <c r="Z77" s="19">
        <f t="shared" si="3"/>
        <v>-0.17432740153495829</v>
      </c>
    </row>
    <row r="78" spans="1:26" s="24" customFormat="1" hidden="1" outlineLevel="1" x14ac:dyDescent="0.25">
      <c r="A78" s="44"/>
      <c r="B78" s="11" t="str">
        <f>CONCATENATE("          ", "4145", " - ", "NON-TAXABLE SALES-SPECIAL ORDE")</f>
        <v xml:space="preserve">          4145 - NON-TAXABLE SALES-SPECIAL ORDE</v>
      </c>
      <c r="C78" s="11"/>
      <c r="D78" s="2">
        <f>--16747.77</f>
        <v>16747.77</v>
      </c>
      <c r="E78" s="2"/>
      <c r="F78" s="19"/>
      <c r="G78" s="2"/>
      <c r="H78" s="2">
        <f>0</f>
        <v>0</v>
      </c>
      <c r="I78" s="2"/>
      <c r="J78" s="19"/>
      <c r="K78" s="2"/>
      <c r="L78" s="2">
        <f t="shared" si="0"/>
        <v>16747.77</v>
      </c>
      <c r="M78" s="2"/>
      <c r="N78" s="19">
        <f t="shared" si="1"/>
        <v>0</v>
      </c>
      <c r="O78" s="11"/>
      <c r="P78" s="2">
        <f>--55393.77</f>
        <v>55393.77</v>
      </c>
      <c r="Q78" s="2"/>
      <c r="R78" s="19"/>
      <c r="S78" s="2"/>
      <c r="T78" s="2">
        <f>--140</f>
        <v>140</v>
      </c>
      <c r="U78" s="2"/>
      <c r="V78" s="19"/>
      <c r="W78" s="2"/>
      <c r="X78" s="2">
        <f t="shared" si="2"/>
        <v>55253.77</v>
      </c>
      <c r="Y78" s="2"/>
      <c r="Z78" s="19">
        <f t="shared" si="3"/>
        <v>394.66978571428569</v>
      </c>
    </row>
    <row r="79" spans="1:26" s="24" customFormat="1" hidden="1" outlineLevel="1" x14ac:dyDescent="0.25">
      <c r="A79" s="44"/>
      <c r="B79" s="11" t="str">
        <f>CONCATENATE("          ", "4146", " - ", "NON-TAXABLE SALES-COIN OP MACH")</f>
        <v xml:space="preserve">          4146 - NON-TAXABLE SALES-COIN OP MACH</v>
      </c>
      <c r="C79" s="11"/>
      <c r="D79" s="2">
        <f>--19.9</f>
        <v>19.899999999999999</v>
      </c>
      <c r="E79" s="2"/>
      <c r="F79" s="19"/>
      <c r="G79" s="2"/>
      <c r="H79" s="2">
        <f>--27126.9</f>
        <v>27126.9</v>
      </c>
      <c r="I79" s="2"/>
      <c r="J79" s="19"/>
      <c r="K79" s="2"/>
      <c r="L79" s="2">
        <f t="shared" si="0"/>
        <v>-27107</v>
      </c>
      <c r="M79" s="2"/>
      <c r="N79" s="19">
        <f t="shared" si="1"/>
        <v>-0.99926641083205225</v>
      </c>
      <c r="O79" s="11"/>
      <c r="P79" s="2">
        <f>--127.9</f>
        <v>127.9</v>
      </c>
      <c r="Q79" s="2"/>
      <c r="R79" s="19"/>
      <c r="S79" s="2"/>
      <c r="T79" s="2">
        <f>--146467.95</f>
        <v>146467.95000000001</v>
      </c>
      <c r="U79" s="2"/>
      <c r="V79" s="19"/>
      <c r="W79" s="2"/>
      <c r="X79" s="2">
        <f t="shared" si="2"/>
        <v>-146340.05000000002</v>
      </c>
      <c r="Y79" s="2"/>
      <c r="Z79" s="19">
        <f t="shared" si="3"/>
        <v>-0.9991267714199592</v>
      </c>
    </row>
    <row r="80" spans="1:26" s="24" customFormat="1" hidden="1" outlineLevel="1" x14ac:dyDescent="0.25">
      <c r="A80" s="44"/>
      <c r="B80" s="11" t="str">
        <f>CONCATENATE("          ", "4147", " - ", "NON-TAXABLE SALES-MISC")</f>
        <v xml:space="preserve">          4147 - NON-TAXABLE SALES-MISC</v>
      </c>
      <c r="C80" s="11"/>
      <c r="D80" s="2">
        <f>--13</f>
        <v>13</v>
      </c>
      <c r="E80" s="2"/>
      <c r="F80" s="19"/>
      <c r="G80" s="2"/>
      <c r="H80" s="2">
        <f>--57.5</f>
        <v>57.5</v>
      </c>
      <c r="I80" s="2"/>
      <c r="J80" s="19"/>
      <c r="K80" s="2"/>
      <c r="L80" s="2">
        <f t="shared" si="0"/>
        <v>-44.5</v>
      </c>
      <c r="M80" s="2"/>
      <c r="N80" s="19">
        <f t="shared" si="1"/>
        <v>-0.77391304347826084</v>
      </c>
      <c r="O80" s="11"/>
      <c r="P80" s="2">
        <f>--104.5</f>
        <v>104.5</v>
      </c>
      <c r="Q80" s="2"/>
      <c r="R80" s="19"/>
      <c r="S80" s="2"/>
      <c r="T80" s="2">
        <f>--307.4</f>
        <v>307.39999999999998</v>
      </c>
      <c r="U80" s="2"/>
      <c r="V80" s="19"/>
      <c r="W80" s="2"/>
      <c r="X80" s="2">
        <f t="shared" si="2"/>
        <v>-202.89999999999998</v>
      </c>
      <c r="Y80" s="2"/>
      <c r="Z80" s="19">
        <f t="shared" si="3"/>
        <v>-0.6600520494469746</v>
      </c>
    </row>
    <row r="81" spans="1:26" s="24" customFormat="1" hidden="1" outlineLevel="1" x14ac:dyDescent="0.25">
      <c r="A81" s="44"/>
      <c r="B81" s="11" t="str">
        <f>CONCATENATE("          ", "4151", " - ", "NON-TAXABLE SALES-FOOD")</f>
        <v xml:space="preserve">          4151 - NON-TAXABLE SALES-FOOD</v>
      </c>
      <c r="C81" s="11"/>
      <c r="D81" s="2">
        <f>--85481.84</f>
        <v>85481.84</v>
      </c>
      <c r="E81" s="2"/>
      <c r="F81" s="19"/>
      <c r="G81" s="2"/>
      <c r="H81" s="2">
        <f>--991045.96</f>
        <v>991045.96</v>
      </c>
      <c r="I81" s="2"/>
      <c r="J81" s="19"/>
      <c r="K81" s="2"/>
      <c r="L81" s="2">
        <f t="shared" si="0"/>
        <v>-905564.12</v>
      </c>
      <c r="M81" s="2"/>
      <c r="N81" s="19">
        <f t="shared" si="1"/>
        <v>-0.9137458367722926</v>
      </c>
      <c r="O81" s="11"/>
      <c r="P81" s="2">
        <f>--628376.6</f>
        <v>628376.6</v>
      </c>
      <c r="Q81" s="2"/>
      <c r="R81" s="19"/>
      <c r="S81" s="2"/>
      <c r="T81" s="2">
        <f>--7370128.48</f>
        <v>7370128.4800000004</v>
      </c>
      <c r="U81" s="2"/>
      <c r="V81" s="19"/>
      <c r="W81" s="2"/>
      <c r="X81" s="2">
        <f t="shared" si="2"/>
        <v>-6741751.8800000008</v>
      </c>
      <c r="Y81" s="2"/>
      <c r="Z81" s="19">
        <f t="shared" si="3"/>
        <v>-0.91474007519608402</v>
      </c>
    </row>
    <row r="82" spans="1:26" s="24" customFormat="1" hidden="1" outlineLevel="1" x14ac:dyDescent="0.25">
      <c r="A82" s="44"/>
      <c r="B82" s="11" t="str">
        <f>CONCATENATE("          ", "4152", " - ", "NON-TAXABLE SALES-FOOD")</f>
        <v xml:space="preserve">          4152 - NON-TAXABLE SALES-FOOD</v>
      </c>
      <c r="C82" s="11"/>
      <c r="D82" s="2">
        <f>0</f>
        <v>0</v>
      </c>
      <c r="E82" s="2"/>
      <c r="F82" s="19"/>
      <c r="G82" s="2"/>
      <c r="H82" s="2">
        <f>--4293.35</f>
        <v>4293.3500000000004</v>
      </c>
      <c r="I82" s="2"/>
      <c r="J82" s="19"/>
      <c r="K82" s="2"/>
      <c r="L82" s="2">
        <f t="shared" si="0"/>
        <v>-4293.3500000000004</v>
      </c>
      <c r="M82" s="2"/>
      <c r="N82" s="19">
        <f t="shared" si="1"/>
        <v>-1</v>
      </c>
      <c r="O82" s="11"/>
      <c r="P82" s="2">
        <f>0</f>
        <v>0</v>
      </c>
      <c r="Q82" s="2"/>
      <c r="R82" s="19"/>
      <c r="S82" s="2"/>
      <c r="T82" s="2">
        <f>--34634.8</f>
        <v>34634.800000000003</v>
      </c>
      <c r="U82" s="2"/>
      <c r="V82" s="19"/>
      <c r="W82" s="2"/>
      <c r="X82" s="2">
        <f t="shared" si="2"/>
        <v>-34634.800000000003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"4153", " - ", "NON-TAXABLE SALES-FOOD")</f>
        <v xml:space="preserve">          4153 - NON-TAXABLE SALES-FOOD</v>
      </c>
      <c r="C83" s="11"/>
      <c r="D83" s="2">
        <f>--3637.54</f>
        <v>3637.54</v>
      </c>
      <c r="E83" s="2"/>
      <c r="F83" s="19"/>
      <c r="G83" s="2"/>
      <c r="H83" s="2">
        <f>--13493.38</f>
        <v>13493.38</v>
      </c>
      <c r="I83" s="2"/>
      <c r="J83" s="19"/>
      <c r="K83" s="2"/>
      <c r="L83" s="2">
        <f t="shared" si="0"/>
        <v>-9855.84</v>
      </c>
      <c r="M83" s="2"/>
      <c r="N83" s="19">
        <f t="shared" si="1"/>
        <v>-0.73042039874368025</v>
      </c>
      <c r="O83" s="11"/>
      <c r="P83" s="2">
        <f>--29871.4</f>
        <v>29871.4</v>
      </c>
      <c r="Q83" s="2"/>
      <c r="R83" s="19"/>
      <c r="S83" s="2"/>
      <c r="T83" s="2">
        <f>--232316.54</f>
        <v>232316.54</v>
      </c>
      <c r="U83" s="2"/>
      <c r="V83" s="19"/>
      <c r="W83" s="2"/>
      <c r="X83" s="2">
        <f t="shared" si="2"/>
        <v>-202445.14</v>
      </c>
      <c r="Y83" s="2"/>
      <c r="Z83" s="19">
        <f t="shared" si="3"/>
        <v>-0.87141940044389443</v>
      </c>
    </row>
    <row r="84" spans="1:26" s="24" customFormat="1" hidden="1" outlineLevel="1" x14ac:dyDescent="0.25">
      <c r="A84" s="44"/>
      <c r="B84" s="11" t="str">
        <f>CONCATENATE("          ", "4155", " - ", "NON-TAXABLE SALES-FOOD")</f>
        <v xml:space="preserve">          4155 - NON-TAXABLE SALES-FOOD</v>
      </c>
      <c r="C84" s="11"/>
      <c r="D84" s="2">
        <f t="shared" ref="D84:D86" si="16">0</f>
        <v>0</v>
      </c>
      <c r="E84" s="2"/>
      <c r="F84" s="19"/>
      <c r="G84" s="2"/>
      <c r="H84" s="2">
        <f>--63957.35</f>
        <v>63957.35</v>
      </c>
      <c r="I84" s="2"/>
      <c r="J84" s="19"/>
      <c r="K84" s="2"/>
      <c r="L84" s="2">
        <f t="shared" si="0"/>
        <v>-63957.35</v>
      </c>
      <c r="M84" s="2"/>
      <c r="N84" s="19">
        <f t="shared" si="1"/>
        <v>-1</v>
      </c>
      <c r="O84" s="11"/>
      <c r="P84" s="2">
        <f t="shared" ref="P84:P85" si="17">0</f>
        <v>0</v>
      </c>
      <c r="Q84" s="2"/>
      <c r="R84" s="19"/>
      <c r="S84" s="2"/>
      <c r="T84" s="2">
        <f>--488454.35</f>
        <v>488454.35</v>
      </c>
      <c r="U84" s="2"/>
      <c r="V84" s="19"/>
      <c r="W84" s="2"/>
      <c r="X84" s="2">
        <f t="shared" si="2"/>
        <v>-488454.35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"4158", " - ", "NON-TAXABLE SALES-FOOD")</f>
        <v xml:space="preserve">          4158 - NON-TAXABLE SALES-FOOD</v>
      </c>
      <c r="C85" s="11"/>
      <c r="D85" s="2">
        <f t="shared" si="16"/>
        <v>0</v>
      </c>
      <c r="E85" s="2"/>
      <c r="F85" s="19"/>
      <c r="G85" s="2"/>
      <c r="H85" s="2">
        <f>--45728.68</f>
        <v>45728.68</v>
      </c>
      <c r="I85" s="2"/>
      <c r="J85" s="19"/>
      <c r="K85" s="2"/>
      <c r="L85" s="2">
        <f t="shared" si="0"/>
        <v>-45728.68</v>
      </c>
      <c r="M85" s="2"/>
      <c r="N85" s="19">
        <f t="shared" si="1"/>
        <v>-1</v>
      </c>
      <c r="O85" s="11"/>
      <c r="P85" s="2">
        <f t="shared" si="17"/>
        <v>0</v>
      </c>
      <c r="Q85" s="2"/>
      <c r="R85" s="19"/>
      <c r="S85" s="2"/>
      <c r="T85" s="2">
        <f>--318615.94</f>
        <v>318615.94</v>
      </c>
      <c r="U85" s="2"/>
      <c r="V85" s="19"/>
      <c r="W85" s="2"/>
      <c r="X85" s="2">
        <f t="shared" si="2"/>
        <v>-318615.94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"4181", " - ", "NON-TAXABLE SALES-ELECTRONICS")</f>
        <v xml:space="preserve">          4181 - NON-TAXABLE SALES-ELECTRONICS</v>
      </c>
      <c r="C86" s="11"/>
      <c r="D86" s="2">
        <f t="shared" si="16"/>
        <v>0</v>
      </c>
      <c r="E86" s="2"/>
      <c r="F86" s="19"/>
      <c r="G86" s="2"/>
      <c r="H86" s="2">
        <f>0</f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--3534.12</f>
        <v>3534.12</v>
      </c>
      <c r="Q86" s="2"/>
      <c r="R86" s="19"/>
      <c r="S86" s="2"/>
      <c r="T86" s="2">
        <f>--1462.51</f>
        <v>1462.51</v>
      </c>
      <c r="U86" s="2"/>
      <c r="V86" s="19"/>
      <c r="W86" s="2"/>
      <c r="X86" s="2">
        <f t="shared" si="2"/>
        <v>2071.6099999999997</v>
      </c>
      <c r="Y86" s="2"/>
      <c r="Z86" s="19">
        <f t="shared" si="3"/>
        <v>1.4164757847809586</v>
      </c>
    </row>
    <row r="87" spans="1:26" s="24" customFormat="1" hidden="1" outlineLevel="1" x14ac:dyDescent="0.25">
      <c r="A87" s="44"/>
      <c r="B87" s="11" t="str">
        <f>CONCATENATE("          ", "4182", " - ", "NON-TAXABLE SALES-COMPUTER HAR")</f>
        <v xml:space="preserve">          4182 - NON-TAXABLE SALES-COMPUTER HAR</v>
      </c>
      <c r="C87" s="11"/>
      <c r="D87" s="2">
        <f>--9513.96</f>
        <v>9513.9599999999991</v>
      </c>
      <c r="E87" s="2"/>
      <c r="F87" s="19"/>
      <c r="G87" s="2"/>
      <c r="H87" s="2">
        <f>--8486</f>
        <v>8486</v>
      </c>
      <c r="I87" s="2"/>
      <c r="J87" s="19"/>
      <c r="K87" s="2"/>
      <c r="L87" s="2">
        <f t="shared" si="0"/>
        <v>1027.9599999999991</v>
      </c>
      <c r="M87" s="2"/>
      <c r="N87" s="19">
        <f t="shared" si="1"/>
        <v>0.12113598868724948</v>
      </c>
      <c r="O87" s="11"/>
      <c r="P87" s="2">
        <f>--164308.31</f>
        <v>164308.31</v>
      </c>
      <c r="Q87" s="2"/>
      <c r="R87" s="19"/>
      <c r="S87" s="2"/>
      <c r="T87" s="2">
        <f>--70795</f>
        <v>70795</v>
      </c>
      <c r="U87" s="2"/>
      <c r="V87" s="19"/>
      <c r="W87" s="2"/>
      <c r="X87" s="2">
        <f t="shared" si="2"/>
        <v>93513.31</v>
      </c>
      <c r="Y87" s="2"/>
      <c r="Z87" s="19">
        <f t="shared" si="3"/>
        <v>1.3209027473691644</v>
      </c>
    </row>
    <row r="88" spans="1:26" s="24" customFormat="1" hidden="1" outlineLevel="1" x14ac:dyDescent="0.25">
      <c r="A88" s="44"/>
      <c r="B88" s="11" t="str">
        <f>CONCATENATE("          ", "4183", " - ", "NON-TAXABLE SALES-COMPUTER EQU")</f>
        <v xml:space="preserve">          4183 - NON-TAXABLE SALES-COMPUTER EQU</v>
      </c>
      <c r="C88" s="11"/>
      <c r="D88" s="2">
        <f>--258.91</f>
        <v>258.91000000000003</v>
      </c>
      <c r="E88" s="2"/>
      <c r="F88" s="19"/>
      <c r="G88" s="2"/>
      <c r="H88" s="2">
        <f>--266.75</f>
        <v>266.75</v>
      </c>
      <c r="I88" s="2"/>
      <c r="J88" s="19"/>
      <c r="K88" s="2"/>
      <c r="L88" s="2">
        <f t="shared" si="0"/>
        <v>-7.839999999999975</v>
      </c>
      <c r="M88" s="2"/>
      <c r="N88" s="19">
        <f t="shared" si="1"/>
        <v>-2.9390815370196721E-2</v>
      </c>
      <c r="O88" s="11"/>
      <c r="P88" s="2">
        <f>--7629.19</f>
        <v>7629.19</v>
      </c>
      <c r="Q88" s="2"/>
      <c r="R88" s="19"/>
      <c r="S88" s="2"/>
      <c r="T88" s="2">
        <f>--3571.63</f>
        <v>3571.63</v>
      </c>
      <c r="U88" s="2"/>
      <c r="V88" s="19"/>
      <c r="W88" s="2"/>
      <c r="X88" s="2">
        <f t="shared" si="2"/>
        <v>4057.5599999999995</v>
      </c>
      <c r="Y88" s="2"/>
      <c r="Z88" s="19">
        <f t="shared" si="3"/>
        <v>1.1360527266262181</v>
      </c>
    </row>
    <row r="89" spans="1:26" s="24" customFormat="1" hidden="1" outlineLevel="1" x14ac:dyDescent="0.25">
      <c r="A89" s="44"/>
      <c r="B89" s="11" t="str">
        <f>CONCATENATE("          ", "4184", " - ", "NON-TAXABLE SALES-SOFTWARE LIC")</f>
        <v xml:space="preserve">          4184 - NON-TAXABLE SALES-SOFTWARE LIC</v>
      </c>
      <c r="C89" s="11"/>
      <c r="D89" s="2">
        <f>0</f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0</f>
        <v>0</v>
      </c>
      <c r="Q89" s="2"/>
      <c r="R89" s="19"/>
      <c r="S89" s="2"/>
      <c r="T89" s="2">
        <f>--2728</f>
        <v>2728</v>
      </c>
      <c r="U89" s="2"/>
      <c r="V89" s="19"/>
      <c r="W89" s="2"/>
      <c r="X89" s="2">
        <f t="shared" si="2"/>
        <v>-2728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"4185", " - ", "NON-TAXABLE SALES-SOFTWARE")</f>
        <v xml:space="preserve">          4185 - NON-TAXABLE SALES-SOFTWARE</v>
      </c>
      <c r="C90" s="11"/>
      <c r="D90" s="2">
        <f>--873.93</f>
        <v>873.93</v>
      </c>
      <c r="E90" s="2"/>
      <c r="F90" s="19"/>
      <c r="G90" s="2"/>
      <c r="H90" s="2">
        <f>--437.97</f>
        <v>437.97</v>
      </c>
      <c r="I90" s="2"/>
      <c r="J90" s="19"/>
      <c r="K90" s="2"/>
      <c r="L90" s="2">
        <f t="shared" si="0"/>
        <v>435.95999999999992</v>
      </c>
      <c r="M90" s="2"/>
      <c r="N90" s="19">
        <f t="shared" si="1"/>
        <v>0.99541064456469597</v>
      </c>
      <c r="O90" s="11"/>
      <c r="P90" s="2">
        <f>--26680.67</f>
        <v>26680.67</v>
      </c>
      <c r="Q90" s="2"/>
      <c r="R90" s="19"/>
      <c r="S90" s="2"/>
      <c r="T90" s="2">
        <f>--9401.84</f>
        <v>9401.84</v>
      </c>
      <c r="U90" s="2"/>
      <c r="V90" s="19"/>
      <c r="W90" s="2"/>
      <c r="X90" s="2">
        <f t="shared" si="2"/>
        <v>17278.829999999998</v>
      </c>
      <c r="Y90" s="2"/>
      <c r="Z90" s="19">
        <f t="shared" si="3"/>
        <v>1.8378136620065857</v>
      </c>
    </row>
    <row r="91" spans="1:26" s="24" customFormat="1" hidden="1" outlineLevel="1" x14ac:dyDescent="0.25">
      <c r="A91" s="44"/>
      <c r="B91" s="11" t="str">
        <f>CONCATENATE("          ", "4186", " - ", "NON-TAXABLE SALES-COMPUTER SUP")</f>
        <v xml:space="preserve">          4186 - NON-TAXABLE SALES-COMPUTER SUP</v>
      </c>
      <c r="C91" s="11"/>
      <c r="D91" s="2">
        <f>--176.22</f>
        <v>176.22</v>
      </c>
      <c r="E91" s="2"/>
      <c r="F91" s="19"/>
      <c r="G91" s="2"/>
      <c r="H91" s="2">
        <f>--49.99</f>
        <v>49.99</v>
      </c>
      <c r="I91" s="2"/>
      <c r="J91" s="19"/>
      <c r="K91" s="2"/>
      <c r="L91" s="2">
        <f t="shared" si="0"/>
        <v>126.22999999999999</v>
      </c>
      <c r="M91" s="2"/>
      <c r="N91" s="19">
        <f t="shared" si="1"/>
        <v>2.5251050210042005</v>
      </c>
      <c r="O91" s="11"/>
      <c r="P91" s="2">
        <f>--1949.99</f>
        <v>1949.99</v>
      </c>
      <c r="Q91" s="2"/>
      <c r="R91" s="19"/>
      <c r="S91" s="2"/>
      <c r="T91" s="2">
        <f>--1622.39</f>
        <v>1622.39</v>
      </c>
      <c r="U91" s="2"/>
      <c r="V91" s="19"/>
      <c r="W91" s="2"/>
      <c r="X91" s="2">
        <f t="shared" si="2"/>
        <v>327.59999999999991</v>
      </c>
      <c r="Y91" s="2"/>
      <c r="Z91" s="19">
        <f t="shared" si="3"/>
        <v>0.20192432152565037</v>
      </c>
    </row>
    <row r="92" spans="1:26" s="24" customFormat="1" hidden="1" outlineLevel="1" x14ac:dyDescent="0.25">
      <c r="A92" s="44"/>
      <c r="B92" s="11" t="str">
        <f>CONCATENATE("          ", "4188", " - ", "NON-TAXABLE SALES-MUSIC")</f>
        <v xml:space="preserve">          4188 - NON-TAXABLE SALES-MUSIC</v>
      </c>
      <c r="C92" s="11"/>
      <c r="D92" s="2">
        <f>0</f>
        <v>0</v>
      </c>
      <c r="E92" s="2"/>
      <c r="F92" s="19"/>
      <c r="G92" s="2"/>
      <c r="H92" s="2">
        <f>0</f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0</f>
        <v>0</v>
      </c>
      <c r="Q92" s="2"/>
      <c r="R92" s="19"/>
      <c r="S92" s="2"/>
      <c r="T92" s="2">
        <f>--219.96</f>
        <v>219.96</v>
      </c>
      <c r="U92" s="2"/>
      <c r="V92" s="19"/>
      <c r="W92" s="2"/>
      <c r="X92" s="2">
        <f t="shared" si="2"/>
        <v>-219.96</v>
      </c>
      <c r="Y92" s="2"/>
      <c r="Z92" s="19">
        <f t="shared" si="3"/>
        <v>-1</v>
      </c>
    </row>
    <row r="93" spans="1:26" s="24" customFormat="1" hidden="1" outlineLevel="1" x14ac:dyDescent="0.25">
      <c r="A93" s="44"/>
      <c r="B93" s="11" t="str">
        <f>CONCATENATE("          ", "4201", " - ", "SALES RETURN TAXABLE-NEW TEXT")</f>
        <v xml:space="preserve">          4201 - SALES RETURN TAXABLE-NEW TEXT</v>
      </c>
      <c r="C93" s="11"/>
      <c r="D93" s="2">
        <f>-681.18</f>
        <v>-681.18</v>
      </c>
      <c r="E93" s="2"/>
      <c r="F93" s="19"/>
      <c r="G93" s="2"/>
      <c r="H93" s="2">
        <f>-631.8</f>
        <v>-631.79999999999995</v>
      </c>
      <c r="I93" s="2"/>
      <c r="J93" s="19"/>
      <c r="K93" s="2"/>
      <c r="L93" s="2">
        <f t="shared" si="0"/>
        <v>-49.379999999999995</v>
      </c>
      <c r="M93" s="2"/>
      <c r="N93" s="19">
        <f t="shared" si="1"/>
        <v>7.8157644824311492E-2</v>
      </c>
      <c r="O93" s="11"/>
      <c r="P93" s="2">
        <f>-35775.84</f>
        <v>-35775.839999999997</v>
      </c>
      <c r="Q93" s="2"/>
      <c r="R93" s="19"/>
      <c r="S93" s="2"/>
      <c r="T93" s="2">
        <f>-78730.37</f>
        <v>-78730.37</v>
      </c>
      <c r="U93" s="2"/>
      <c r="V93" s="19"/>
      <c r="W93" s="2"/>
      <c r="X93" s="2">
        <f t="shared" si="2"/>
        <v>42954.53</v>
      </c>
      <c r="Y93" s="2"/>
      <c r="Z93" s="19">
        <f t="shared" si="3"/>
        <v>-0.54559034842589971</v>
      </c>
    </row>
    <row r="94" spans="1:26" s="24" customFormat="1" hidden="1" outlineLevel="1" x14ac:dyDescent="0.25">
      <c r="A94" s="44"/>
      <c r="B94" s="11" t="str">
        <f>CONCATENATE("          ", "4202", " - ", "SALES RETURN TAXABLE-USED TEXT")</f>
        <v xml:space="preserve">          4202 - SALES RETURN TAXABLE-USED TEXT</v>
      </c>
      <c r="C94" s="11"/>
      <c r="D94" s="2">
        <f>-62.65</f>
        <v>-62.65</v>
      </c>
      <c r="E94" s="2"/>
      <c r="F94" s="19"/>
      <c r="G94" s="2"/>
      <c r="H94" s="2">
        <f>-166.15</f>
        <v>-166.15</v>
      </c>
      <c r="I94" s="2"/>
      <c r="J94" s="19"/>
      <c r="K94" s="2"/>
      <c r="L94" s="2">
        <f t="shared" si="0"/>
        <v>103.5</v>
      </c>
      <c r="M94" s="2"/>
      <c r="N94" s="19">
        <f t="shared" si="1"/>
        <v>-0.62293108636773997</v>
      </c>
      <c r="O94" s="11"/>
      <c r="P94" s="2">
        <f>-13866</f>
        <v>-13866</v>
      </c>
      <c r="Q94" s="2"/>
      <c r="R94" s="19"/>
      <c r="S94" s="2"/>
      <c r="T94" s="2">
        <f>-27208.35</f>
        <v>-27208.35</v>
      </c>
      <c r="U94" s="2"/>
      <c r="V94" s="19"/>
      <c r="W94" s="2"/>
      <c r="X94" s="2">
        <f t="shared" si="2"/>
        <v>13342.349999999999</v>
      </c>
      <c r="Y94" s="2"/>
      <c r="Z94" s="19">
        <f t="shared" si="3"/>
        <v>-0.49037703499109647</v>
      </c>
    </row>
    <row r="95" spans="1:26" s="24" customFormat="1" hidden="1" outlineLevel="1" x14ac:dyDescent="0.25">
      <c r="A95" s="44"/>
      <c r="B95" s="11" t="str">
        <f>CONCATENATE("          ", "4203", " - ", "SALES RETURN TAXABLE-RENTAL TE")</f>
        <v xml:space="preserve">          4203 - SALES RETURN TAXABLE-RENTAL TE</v>
      </c>
      <c r="C95" s="11"/>
      <c r="D95" s="2">
        <f t="shared" ref="D95:D102" si="18">0</f>
        <v>0</v>
      </c>
      <c r="E95" s="2"/>
      <c r="F95" s="19"/>
      <c r="G95" s="2"/>
      <c r="H95" s="2">
        <f t="shared" ref="H95:H97" si="19"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0</f>
        <v>0</v>
      </c>
      <c r="Q95" s="2"/>
      <c r="R95" s="19"/>
      <c r="S95" s="2"/>
      <c r="T95" s="2">
        <f>-144.99</f>
        <v>-144.99</v>
      </c>
      <c r="U95" s="2"/>
      <c r="V95" s="19"/>
      <c r="W95" s="2"/>
      <c r="X95" s="2">
        <f t="shared" si="2"/>
        <v>144.99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"4204", " - ", "SALES RETURN TAXABLE-DIGITAL T")</f>
        <v xml:space="preserve">          4204 - SALES RETURN TAXABLE-DIGITAL T</v>
      </c>
      <c r="C96" s="11"/>
      <c r="D96" s="2">
        <f t="shared" si="18"/>
        <v>0</v>
      </c>
      <c r="E96" s="2"/>
      <c r="F96" s="19"/>
      <c r="G96" s="2"/>
      <c r="H96" s="2">
        <f t="shared" si="19"/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-1630.85</f>
        <v>-1630.85</v>
      </c>
      <c r="Q96" s="2"/>
      <c r="R96" s="19"/>
      <c r="S96" s="2"/>
      <c r="T96" s="2">
        <f>-11369.46</f>
        <v>-11369.46</v>
      </c>
      <c r="U96" s="2"/>
      <c r="V96" s="19"/>
      <c r="W96" s="2"/>
      <c r="X96" s="2">
        <f t="shared" si="2"/>
        <v>9738.6099999999988</v>
      </c>
      <c r="Y96" s="2"/>
      <c r="Z96" s="19">
        <f t="shared" si="3"/>
        <v>-0.85655871079189327</v>
      </c>
    </row>
    <row r="97" spans="1:26" s="24" customFormat="1" hidden="1" outlineLevel="1" x14ac:dyDescent="0.25">
      <c r="A97" s="44"/>
      <c r="B97" s="11" t="str">
        <f>CONCATENATE("          ", "4213", " - ", "NON-TAXABLE SALES-TRADE BOOKS")</f>
        <v xml:space="preserve">          4213 - NON-TAXABLE SALES-TRADE BOOKS</v>
      </c>
      <c r="C97" s="11"/>
      <c r="D97" s="2">
        <f t="shared" si="18"/>
        <v>0</v>
      </c>
      <c r="E97" s="2"/>
      <c r="F97" s="19"/>
      <c r="G97" s="2"/>
      <c r="H97" s="2">
        <f t="shared" si="19"/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 t="shared" ref="P97:P101" si="20">0</f>
        <v>0</v>
      </c>
      <c r="Q97" s="2"/>
      <c r="R97" s="19"/>
      <c r="S97" s="2"/>
      <c r="T97" s="2">
        <f>-102.71</f>
        <v>-102.71</v>
      </c>
      <c r="U97" s="2"/>
      <c r="V97" s="19"/>
      <c r="W97" s="2"/>
      <c r="X97" s="2">
        <f t="shared" si="2"/>
        <v>102.71</v>
      </c>
      <c r="Y97" s="2"/>
      <c r="Z97" s="19">
        <f t="shared" si="3"/>
        <v>-1</v>
      </c>
    </row>
    <row r="98" spans="1:26" s="24" customFormat="1" hidden="1" outlineLevel="1" x14ac:dyDescent="0.25">
      <c r="A98" s="44"/>
      <c r="B98" s="11" t="str">
        <f>CONCATENATE("          ", "4214", " - ", "SALES RETURN TAXABLE-REMAINDER")</f>
        <v xml:space="preserve">          4214 - SALES RETURN TAXABLE-REMAINDER</v>
      </c>
      <c r="C98" s="11"/>
      <c r="D98" s="2">
        <f t="shared" si="18"/>
        <v>0</v>
      </c>
      <c r="E98" s="2"/>
      <c r="F98" s="19"/>
      <c r="G98" s="2"/>
      <c r="H98" s="2">
        <f>-11.94</f>
        <v>-11.94</v>
      </c>
      <c r="I98" s="2"/>
      <c r="J98" s="19"/>
      <c r="K98" s="2"/>
      <c r="L98" s="2">
        <f t="shared" si="0"/>
        <v>11.94</v>
      </c>
      <c r="M98" s="2"/>
      <c r="N98" s="19">
        <f t="shared" si="1"/>
        <v>-1</v>
      </c>
      <c r="O98" s="11"/>
      <c r="P98" s="2">
        <f t="shared" si="20"/>
        <v>0</v>
      </c>
      <c r="Q98" s="2"/>
      <c r="R98" s="19"/>
      <c r="S98" s="2"/>
      <c r="T98" s="2">
        <f>-11.94</f>
        <v>-11.94</v>
      </c>
      <c r="U98" s="2"/>
      <c r="V98" s="19"/>
      <c r="W98" s="2"/>
      <c r="X98" s="2">
        <f t="shared" si="2"/>
        <v>11.94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"4217", " - ", "NON-TAXABLE SALES-DORM/HOUSEWA")</f>
        <v xml:space="preserve">          4217 - NON-TAXABLE SALES-DORM/HOUSEWA</v>
      </c>
      <c r="C99" s="11"/>
      <c r="D99" s="2">
        <f t="shared" si="18"/>
        <v>0</v>
      </c>
      <c r="E99" s="2"/>
      <c r="F99" s="19"/>
      <c r="G99" s="2"/>
      <c r="H99" s="2">
        <f t="shared" ref="H99:H100" si="21">0</f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 t="shared" si="20"/>
        <v>0</v>
      </c>
      <c r="Q99" s="2"/>
      <c r="R99" s="19"/>
      <c r="S99" s="2"/>
      <c r="T99" s="2">
        <f>-2.98</f>
        <v>-2.98</v>
      </c>
      <c r="U99" s="2"/>
      <c r="V99" s="19"/>
      <c r="W99" s="2"/>
      <c r="X99" s="2">
        <f t="shared" si="2"/>
        <v>2.98</v>
      </c>
      <c r="Y99" s="2"/>
      <c r="Z99" s="19">
        <f t="shared" si="3"/>
        <v>-1</v>
      </c>
    </row>
    <row r="100" spans="1:26" s="24" customFormat="1" hidden="1" outlineLevel="1" x14ac:dyDescent="0.25">
      <c r="A100" s="44"/>
      <c r="B100" s="11" t="str">
        <f>CONCATENATE("          ", "4218", " - ", "SALES RETURN TAXABLE-STUDY GUI")</f>
        <v xml:space="preserve">          4218 - SALES RETURN TAXABLE-STUDY GUI</v>
      </c>
      <c r="C100" s="11"/>
      <c r="D100" s="2">
        <f t="shared" si="18"/>
        <v>0</v>
      </c>
      <c r="E100" s="2"/>
      <c r="F100" s="19"/>
      <c r="G100" s="2"/>
      <c r="H100" s="2">
        <f t="shared" si="21"/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 t="shared" si="20"/>
        <v>0</v>
      </c>
      <c r="Q100" s="2"/>
      <c r="R100" s="19"/>
      <c r="S100" s="2"/>
      <c r="T100" s="2">
        <f>-32.75</f>
        <v>-32.75</v>
      </c>
      <c r="U100" s="2"/>
      <c r="V100" s="19"/>
      <c r="W100" s="2"/>
      <c r="X100" s="2">
        <f t="shared" si="2"/>
        <v>32.75</v>
      </c>
      <c r="Y100" s="2"/>
      <c r="Z100" s="19">
        <f t="shared" si="3"/>
        <v>-1</v>
      </c>
    </row>
    <row r="101" spans="1:26" s="24" customFormat="1" hidden="1" outlineLevel="1" x14ac:dyDescent="0.25">
      <c r="A101" s="44"/>
      <c r="B101" s="11" t="str">
        <f>CONCATENATE("          ", "4225", " - ", "SALES RETURN TAXABLE-TEST FORM")</f>
        <v xml:space="preserve">          4225 - SALES RETURN TAXABLE-TEST FORM</v>
      </c>
      <c r="C101" s="11"/>
      <c r="D101" s="2">
        <f t="shared" si="18"/>
        <v>0</v>
      </c>
      <c r="E101" s="2"/>
      <c r="F101" s="19"/>
      <c r="G101" s="2"/>
      <c r="H101" s="2">
        <f>-15.51</f>
        <v>-15.51</v>
      </c>
      <c r="I101" s="2"/>
      <c r="J101" s="19"/>
      <c r="K101" s="2"/>
      <c r="L101" s="2">
        <f t="shared" si="0"/>
        <v>15.51</v>
      </c>
      <c r="M101" s="2"/>
      <c r="N101" s="19">
        <f t="shared" si="1"/>
        <v>-1</v>
      </c>
      <c r="O101" s="11"/>
      <c r="P101" s="2">
        <f t="shared" si="20"/>
        <v>0</v>
      </c>
      <c r="Q101" s="2"/>
      <c r="R101" s="19"/>
      <c r="S101" s="2"/>
      <c r="T101" s="2">
        <f>-80.97</f>
        <v>-80.97</v>
      </c>
      <c r="U101" s="2"/>
      <c r="V101" s="19"/>
      <c r="W101" s="2"/>
      <c r="X101" s="2">
        <f t="shared" si="2"/>
        <v>80.97</v>
      </c>
      <c r="Y101" s="2"/>
      <c r="Z101" s="19">
        <f t="shared" si="3"/>
        <v>-1</v>
      </c>
    </row>
    <row r="102" spans="1:26" s="24" customFormat="1" hidden="1" outlineLevel="1" x14ac:dyDescent="0.25">
      <c r="A102" s="44"/>
      <c r="B102" s="11" t="str">
        <f>CONCATENATE("          ", "4226", " - ", "SALES RETURN TAXABLE-WRITING I")</f>
        <v xml:space="preserve">          4226 - SALES RETURN TAXABLE-WRITING I</v>
      </c>
      <c r="C102" s="11"/>
      <c r="D102" s="2">
        <f t="shared" si="18"/>
        <v>0</v>
      </c>
      <c r="E102" s="2"/>
      <c r="F102" s="19"/>
      <c r="G102" s="2"/>
      <c r="H102" s="2">
        <f>-41.65</f>
        <v>-41.65</v>
      </c>
      <c r="I102" s="2"/>
      <c r="J102" s="19"/>
      <c r="K102" s="2"/>
      <c r="L102" s="2">
        <f t="shared" si="0"/>
        <v>41.65</v>
      </c>
      <c r="M102" s="2"/>
      <c r="N102" s="19">
        <f t="shared" si="1"/>
        <v>-1</v>
      </c>
      <c r="O102" s="11"/>
      <c r="P102" s="2">
        <f>-34.23</f>
        <v>-34.229999999999997</v>
      </c>
      <c r="Q102" s="2"/>
      <c r="R102" s="19"/>
      <c r="S102" s="2"/>
      <c r="T102" s="2">
        <f>-531.36</f>
        <v>-531.36</v>
      </c>
      <c r="U102" s="2"/>
      <c r="V102" s="19"/>
      <c r="W102" s="2"/>
      <c r="X102" s="2">
        <f t="shared" si="2"/>
        <v>497.13</v>
      </c>
      <c r="Y102" s="2"/>
      <c r="Z102" s="19">
        <f t="shared" si="3"/>
        <v>-0.93558039747064137</v>
      </c>
    </row>
    <row r="103" spans="1:26" s="24" customFormat="1" hidden="1" outlineLevel="1" x14ac:dyDescent="0.25">
      <c r="A103" s="44"/>
      <c r="B103" s="11" t="str">
        <f>CONCATENATE("          ", "4227", " - ", "SALES RETURN TAXABLE-SCHOOL SU")</f>
        <v xml:space="preserve">          4227 - SALES RETURN TAXABLE-SCHOOL SU</v>
      </c>
      <c r="C103" s="11"/>
      <c r="D103" s="2">
        <f>-25.82</f>
        <v>-25.82</v>
      </c>
      <c r="E103" s="2"/>
      <c r="F103" s="19"/>
      <c r="G103" s="2"/>
      <c r="H103" s="2">
        <f>-204.76</f>
        <v>-204.76</v>
      </c>
      <c r="I103" s="2"/>
      <c r="J103" s="19"/>
      <c r="K103" s="2"/>
      <c r="L103" s="2">
        <f t="shared" si="0"/>
        <v>178.94</v>
      </c>
      <c r="M103" s="2"/>
      <c r="N103" s="19">
        <f t="shared" si="1"/>
        <v>-0.87390115256886114</v>
      </c>
      <c r="O103" s="11"/>
      <c r="P103" s="2">
        <f>-636.46</f>
        <v>-636.46</v>
      </c>
      <c r="Q103" s="2"/>
      <c r="R103" s="19"/>
      <c r="S103" s="2"/>
      <c r="T103" s="2">
        <f>-5948.58</f>
        <v>-5948.58</v>
      </c>
      <c r="U103" s="2"/>
      <c r="V103" s="19"/>
      <c r="W103" s="2"/>
      <c r="X103" s="2">
        <f t="shared" si="2"/>
        <v>5312.12</v>
      </c>
      <c r="Y103" s="2"/>
      <c r="Z103" s="19">
        <f t="shared" si="3"/>
        <v>-0.89300639816561267</v>
      </c>
    </row>
    <row r="104" spans="1:26" s="24" customFormat="1" hidden="1" outlineLevel="1" x14ac:dyDescent="0.25">
      <c r="A104" s="44"/>
      <c r="B104" s="11" t="str">
        <f>CONCATENATE("          ", "4228", " - ", "SALES RETURN TAXABLE-ART/TECH")</f>
        <v xml:space="preserve">          4228 - SALES RETURN TAXABLE-ART/TECH</v>
      </c>
      <c r="C104" s="11"/>
      <c r="D104" s="2">
        <f t="shared" ref="D104:D105" si="22">0</f>
        <v>0</v>
      </c>
      <c r="E104" s="2"/>
      <c r="F104" s="19"/>
      <c r="G104" s="2"/>
      <c r="H104" s="2">
        <f>-277.33</f>
        <v>-277.33</v>
      </c>
      <c r="I104" s="2"/>
      <c r="J104" s="19"/>
      <c r="K104" s="2"/>
      <c r="L104" s="2">
        <f t="shared" si="0"/>
        <v>277.33</v>
      </c>
      <c r="M104" s="2"/>
      <c r="N104" s="19">
        <f t="shared" si="1"/>
        <v>-1</v>
      </c>
      <c r="O104" s="11"/>
      <c r="P104" s="2">
        <f>-254.69</f>
        <v>-254.69</v>
      </c>
      <c r="Q104" s="2"/>
      <c r="R104" s="19"/>
      <c r="S104" s="2"/>
      <c r="T104" s="2">
        <f>-3148.62</f>
        <v>-3148.62</v>
      </c>
      <c r="U104" s="2"/>
      <c r="V104" s="19"/>
      <c r="W104" s="2"/>
      <c r="X104" s="2">
        <f t="shared" si="2"/>
        <v>2893.93</v>
      </c>
      <c r="Y104" s="2"/>
      <c r="Z104" s="19">
        <f t="shared" si="3"/>
        <v>-0.91911059448266219</v>
      </c>
    </row>
    <row r="105" spans="1:26" s="24" customFormat="1" hidden="1" outlineLevel="1" x14ac:dyDescent="0.25">
      <c r="A105" s="44"/>
      <c r="B105" s="11" t="str">
        <f>CONCATENATE("          ", "4233", " - ", "SALES RETURN TAXABLE-CANDY")</f>
        <v xml:space="preserve">          4233 - SALES RETURN TAXABLE-CANDY</v>
      </c>
      <c r="C105" s="11"/>
      <c r="D105" s="2">
        <f t="shared" si="22"/>
        <v>0</v>
      </c>
      <c r="E105" s="2"/>
      <c r="F105" s="19"/>
      <c r="G105" s="2"/>
      <c r="H105" s="2">
        <f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0</f>
        <v>0</v>
      </c>
      <c r="Q105" s="2"/>
      <c r="R105" s="19"/>
      <c r="S105" s="2"/>
      <c r="T105" s="2">
        <f>-1.29</f>
        <v>-1.29</v>
      </c>
      <c r="U105" s="2"/>
      <c r="V105" s="19"/>
      <c r="W105" s="2"/>
      <c r="X105" s="2">
        <f t="shared" si="2"/>
        <v>1.29</v>
      </c>
      <c r="Y105" s="2"/>
      <c r="Z105" s="19">
        <f t="shared" si="3"/>
        <v>-1</v>
      </c>
    </row>
    <row r="106" spans="1:26" s="24" customFormat="1" hidden="1" outlineLevel="1" x14ac:dyDescent="0.25">
      <c r="A106" s="44"/>
      <c r="B106" s="11" t="str">
        <f>CONCATENATE("          ", "4240", " - ", "SALES RETURN TAXABLE-LOGO CLOT")</f>
        <v xml:space="preserve">          4240 - SALES RETURN TAXABLE-LOGO CLOT</v>
      </c>
      <c r="C106" s="11"/>
      <c r="D106" s="2">
        <f>-4840.17</f>
        <v>-4840.17</v>
      </c>
      <c r="E106" s="2"/>
      <c r="F106" s="19"/>
      <c r="G106" s="2"/>
      <c r="H106" s="2">
        <f>-8212.91</f>
        <v>-8212.91</v>
      </c>
      <c r="I106" s="2"/>
      <c r="J106" s="19"/>
      <c r="K106" s="2"/>
      <c r="L106" s="2">
        <f t="shared" si="0"/>
        <v>3372.74</v>
      </c>
      <c r="M106" s="2"/>
      <c r="N106" s="19">
        <f t="shared" si="1"/>
        <v>-0.41066321194314803</v>
      </c>
      <c r="O106" s="11"/>
      <c r="P106" s="2">
        <f>-20418.84</f>
        <v>-20418.84</v>
      </c>
      <c r="Q106" s="2"/>
      <c r="R106" s="19"/>
      <c r="S106" s="2"/>
      <c r="T106" s="2">
        <f>-49321.94</f>
        <v>-49321.94</v>
      </c>
      <c r="U106" s="2"/>
      <c r="V106" s="19"/>
      <c r="W106" s="2"/>
      <c r="X106" s="2">
        <f t="shared" si="2"/>
        <v>28903.100000000002</v>
      </c>
      <c r="Y106" s="2"/>
      <c r="Z106" s="19">
        <f t="shared" si="3"/>
        <v>-0.58600898504803345</v>
      </c>
    </row>
    <row r="107" spans="1:26" s="24" customFormat="1" hidden="1" outlineLevel="1" x14ac:dyDescent="0.25">
      <c r="A107" s="44"/>
      <c r="B107" s="11" t="str">
        <f>CONCATENATE("          ", "4241", " - ", "SALES RETURN TAXABLE-LOGO GIFT")</f>
        <v xml:space="preserve">          4241 - SALES RETURN TAXABLE-LOGO GIFT</v>
      </c>
      <c r="C107" s="11"/>
      <c r="D107" s="2">
        <f>-755.16</f>
        <v>-755.16</v>
      </c>
      <c r="E107" s="2"/>
      <c r="F107" s="19"/>
      <c r="G107" s="2"/>
      <c r="H107" s="2">
        <f>-939.28</f>
        <v>-939.28</v>
      </c>
      <c r="I107" s="2"/>
      <c r="J107" s="19"/>
      <c r="K107" s="2"/>
      <c r="L107" s="2">
        <f t="shared" si="0"/>
        <v>184.12</v>
      </c>
      <c r="M107" s="2"/>
      <c r="N107" s="19">
        <f t="shared" si="1"/>
        <v>-0.19602248530789543</v>
      </c>
      <c r="O107" s="11"/>
      <c r="P107" s="2">
        <f>-3560.01</f>
        <v>-3560.01</v>
      </c>
      <c r="Q107" s="2"/>
      <c r="R107" s="19"/>
      <c r="S107" s="2"/>
      <c r="T107" s="2">
        <f>-4148.87</f>
        <v>-4148.87</v>
      </c>
      <c r="U107" s="2"/>
      <c r="V107" s="19"/>
      <c r="W107" s="2"/>
      <c r="X107" s="2">
        <f t="shared" si="2"/>
        <v>588.85999999999967</v>
      </c>
      <c r="Y107" s="2"/>
      <c r="Z107" s="19">
        <f t="shared" si="3"/>
        <v>-0.14193262261772474</v>
      </c>
    </row>
    <row r="108" spans="1:26" s="24" customFormat="1" hidden="1" outlineLevel="1" x14ac:dyDescent="0.25">
      <c r="A108" s="44"/>
      <c r="B108" s="11" t="str">
        <f>CONCATENATE("          ", "4242", " - ", "SALES RETURN TAXABLE-EVERYDAY")</f>
        <v xml:space="preserve">          4242 - SALES RETURN TAXABLE-EVERYDAY</v>
      </c>
      <c r="C108" s="11"/>
      <c r="D108" s="2">
        <f>-287.93</f>
        <v>-287.93</v>
      </c>
      <c r="E108" s="2"/>
      <c r="F108" s="19"/>
      <c r="G108" s="2"/>
      <c r="H108" s="2">
        <f>-1097.55</f>
        <v>-1097.55</v>
      </c>
      <c r="I108" s="2"/>
      <c r="J108" s="19"/>
      <c r="K108" s="2"/>
      <c r="L108" s="2">
        <f t="shared" si="0"/>
        <v>809.61999999999989</v>
      </c>
      <c r="M108" s="2"/>
      <c r="N108" s="19">
        <f t="shared" si="1"/>
        <v>-0.73766115438932156</v>
      </c>
      <c r="O108" s="11"/>
      <c r="P108" s="2">
        <f>-1616.92</f>
        <v>-1616.92</v>
      </c>
      <c r="Q108" s="2"/>
      <c r="R108" s="19"/>
      <c r="S108" s="2"/>
      <c r="T108" s="2">
        <f>-2789.42</f>
        <v>-2789.42</v>
      </c>
      <c r="U108" s="2"/>
      <c r="V108" s="19"/>
      <c r="W108" s="2"/>
      <c r="X108" s="2">
        <f t="shared" si="2"/>
        <v>1172.5</v>
      </c>
      <c r="Y108" s="2"/>
      <c r="Z108" s="19">
        <f t="shared" si="3"/>
        <v>-0.42033827820837305</v>
      </c>
    </row>
    <row r="109" spans="1:26" s="24" customFormat="1" hidden="1" outlineLevel="1" x14ac:dyDescent="0.25">
      <c r="A109" s="44"/>
      <c r="B109" s="11" t="str">
        <f>CONCATENATE("          ", "4243", " - ", "SALES RETURN TAXABLE-CARDS")</f>
        <v xml:space="preserve">          4243 - SALES RETURN TAXABLE-CARDS</v>
      </c>
      <c r="C109" s="11"/>
      <c r="D109" s="2">
        <f>-1765.08</f>
        <v>-1765.08</v>
      </c>
      <c r="E109" s="2"/>
      <c r="F109" s="19"/>
      <c r="G109" s="2"/>
      <c r="H109" s="2">
        <f>-558.63</f>
        <v>-558.63</v>
      </c>
      <c r="I109" s="2"/>
      <c r="J109" s="19"/>
      <c r="K109" s="2"/>
      <c r="L109" s="2">
        <f t="shared" si="0"/>
        <v>-1206.4499999999998</v>
      </c>
      <c r="M109" s="2"/>
      <c r="N109" s="19">
        <f t="shared" si="1"/>
        <v>2.1596584501369418</v>
      </c>
      <c r="O109" s="11"/>
      <c r="P109" s="2">
        <f>-3577.54</f>
        <v>-3577.54</v>
      </c>
      <c r="Q109" s="2"/>
      <c r="R109" s="19"/>
      <c r="S109" s="2"/>
      <c r="T109" s="2">
        <f>-879.47</f>
        <v>-879.47</v>
      </c>
      <c r="U109" s="2"/>
      <c r="V109" s="19"/>
      <c r="W109" s="2"/>
      <c r="X109" s="2">
        <f t="shared" si="2"/>
        <v>-2698.0699999999997</v>
      </c>
      <c r="Y109" s="2"/>
      <c r="Z109" s="19">
        <f t="shared" si="3"/>
        <v>3.0678363105051902</v>
      </c>
    </row>
    <row r="110" spans="1:26" s="24" customFormat="1" hidden="1" outlineLevel="1" x14ac:dyDescent="0.25">
      <c r="A110" s="44"/>
      <c r="B110" s="11" t="str">
        <f>CONCATENATE("          ", "4244", " - ", "SALES RETURN TAXABLE-ACCESSORI")</f>
        <v xml:space="preserve">          4244 - SALES RETURN TAXABLE-ACCESSORI</v>
      </c>
      <c r="C110" s="11"/>
      <c r="D110" s="2">
        <f>-299.93</f>
        <v>-299.93</v>
      </c>
      <c r="E110" s="2"/>
      <c r="F110" s="19"/>
      <c r="G110" s="2"/>
      <c r="H110" s="2">
        <f>-202.71</f>
        <v>-202.71</v>
      </c>
      <c r="I110" s="2"/>
      <c r="J110" s="19"/>
      <c r="K110" s="2"/>
      <c r="L110" s="2">
        <f t="shared" si="0"/>
        <v>-97.22</v>
      </c>
      <c r="M110" s="2"/>
      <c r="N110" s="19">
        <f t="shared" si="1"/>
        <v>0.47960140101623006</v>
      </c>
      <c r="O110" s="11"/>
      <c r="P110" s="2">
        <f>-890.87</f>
        <v>-890.87</v>
      </c>
      <c r="Q110" s="2"/>
      <c r="R110" s="19"/>
      <c r="S110" s="2"/>
      <c r="T110" s="2">
        <f>-1731.77</f>
        <v>-1731.77</v>
      </c>
      <c r="U110" s="2"/>
      <c r="V110" s="19"/>
      <c r="W110" s="2"/>
      <c r="X110" s="2">
        <f t="shared" si="2"/>
        <v>840.9</v>
      </c>
      <c r="Y110" s="2"/>
      <c r="Z110" s="19">
        <f t="shared" si="3"/>
        <v>-0.48557256448604608</v>
      </c>
    </row>
    <row r="111" spans="1:26" s="24" customFormat="1" hidden="1" outlineLevel="1" x14ac:dyDescent="0.25">
      <c r="A111" s="44"/>
      <c r="B111" s="11" t="str">
        <f>CONCATENATE("          ", "4245", " - ", "SALES RETURN TAXABLE-SPECIAL O")</f>
        <v xml:space="preserve">          4245 - SALES RETURN TAXABLE-SPECIAL O</v>
      </c>
      <c r="C111" s="11"/>
      <c r="D111" s="2">
        <f>-9752.79</f>
        <v>-9752.7900000000009</v>
      </c>
      <c r="E111" s="2"/>
      <c r="F111" s="19"/>
      <c r="G111" s="2"/>
      <c r="H111" s="2">
        <f>0</f>
        <v>0</v>
      </c>
      <c r="I111" s="2"/>
      <c r="J111" s="19"/>
      <c r="K111" s="2"/>
      <c r="L111" s="2">
        <f t="shared" si="0"/>
        <v>-9752.7900000000009</v>
      </c>
      <c r="M111" s="2"/>
      <c r="N111" s="19">
        <f t="shared" si="1"/>
        <v>0</v>
      </c>
      <c r="O111" s="11"/>
      <c r="P111" s="2">
        <f>-11345.61</f>
        <v>-11345.61</v>
      </c>
      <c r="Q111" s="2"/>
      <c r="R111" s="19"/>
      <c r="S111" s="2"/>
      <c r="T111" s="2">
        <f>-91.96</f>
        <v>-91.96</v>
      </c>
      <c r="U111" s="2"/>
      <c r="V111" s="19"/>
      <c r="W111" s="2"/>
      <c r="X111" s="2">
        <f t="shared" si="2"/>
        <v>-11253.650000000001</v>
      </c>
      <c r="Y111" s="2"/>
      <c r="Z111" s="19">
        <f t="shared" si="3"/>
        <v>122.37548934319271</v>
      </c>
    </row>
    <row r="112" spans="1:26" s="24" customFormat="1" hidden="1" outlineLevel="1" x14ac:dyDescent="0.25">
      <c r="A112" s="44"/>
      <c r="B112" s="11" t="str">
        <f>CONCATENATE("          ", "4281", " - ", "SALES RETURN TAXABLE-ELECTRONI")</f>
        <v xml:space="preserve">          4281 - SALES RETURN TAXABLE-ELECTRONI</v>
      </c>
      <c r="C112" s="11"/>
      <c r="D112" s="2">
        <f>0</f>
        <v>0</v>
      </c>
      <c r="E112" s="2"/>
      <c r="F112" s="19"/>
      <c r="G112" s="2"/>
      <c r="H112" s="2">
        <f>-814.9</f>
        <v>-814.9</v>
      </c>
      <c r="I112" s="2"/>
      <c r="J112" s="19"/>
      <c r="K112" s="2"/>
      <c r="L112" s="2">
        <f t="shared" si="0"/>
        <v>814.9</v>
      </c>
      <c r="M112" s="2"/>
      <c r="N112" s="19">
        <f t="shared" si="1"/>
        <v>-1</v>
      </c>
      <c r="O112" s="11"/>
      <c r="P112" s="2">
        <f>-14632.15</f>
        <v>-14632.15</v>
      </c>
      <c r="Q112" s="2"/>
      <c r="R112" s="19"/>
      <c r="S112" s="2"/>
      <c r="T112" s="2">
        <f>-5861.96</f>
        <v>-5861.96</v>
      </c>
      <c r="U112" s="2"/>
      <c r="V112" s="19"/>
      <c r="W112" s="2"/>
      <c r="X112" s="2">
        <f t="shared" si="2"/>
        <v>-8770.1899999999987</v>
      </c>
      <c r="Y112" s="2"/>
      <c r="Z112" s="19">
        <f t="shared" si="3"/>
        <v>1.4961190455069633</v>
      </c>
    </row>
    <row r="113" spans="1:26" s="24" customFormat="1" hidden="1" outlineLevel="1" x14ac:dyDescent="0.25">
      <c r="A113" s="44"/>
      <c r="B113" s="11" t="str">
        <f>CONCATENATE("          ", "4282", " - ", "SALES RETURN TAXABLE-COMPUTER")</f>
        <v xml:space="preserve">          4282 - SALES RETURN TAXABLE-COMPUTER</v>
      </c>
      <c r="C113" s="11"/>
      <c r="D113" s="2">
        <f>-7936</f>
        <v>-7936</v>
      </c>
      <c r="E113" s="2"/>
      <c r="F113" s="19"/>
      <c r="G113" s="2"/>
      <c r="H113" s="2">
        <f>-7175.99</f>
        <v>-7175.99</v>
      </c>
      <c r="I113" s="2"/>
      <c r="J113" s="19"/>
      <c r="K113" s="2"/>
      <c r="L113" s="2">
        <f t="shared" si="0"/>
        <v>-760.01000000000022</v>
      </c>
      <c r="M113" s="2"/>
      <c r="N113" s="19">
        <f t="shared" si="1"/>
        <v>0.10591012529281678</v>
      </c>
      <c r="O113" s="11"/>
      <c r="P113" s="2">
        <f>-92020.01</f>
        <v>-92020.01</v>
      </c>
      <c r="Q113" s="2"/>
      <c r="R113" s="19"/>
      <c r="S113" s="2"/>
      <c r="T113" s="2">
        <f>-187653.58</f>
        <v>-187653.58</v>
      </c>
      <c r="U113" s="2"/>
      <c r="V113" s="19"/>
      <c r="W113" s="2"/>
      <c r="X113" s="2">
        <f t="shared" si="2"/>
        <v>95633.569999999992</v>
      </c>
      <c r="Y113" s="2"/>
      <c r="Z113" s="19">
        <f t="shared" si="3"/>
        <v>-0.50962827354532747</v>
      </c>
    </row>
    <row r="114" spans="1:26" s="24" customFormat="1" hidden="1" outlineLevel="1" x14ac:dyDescent="0.25">
      <c r="A114" s="44"/>
      <c r="B114" s="11" t="str">
        <f>CONCATENATE("          ", "4283", " - ", "SALES RETURN TAXABLE-COMPUTER")</f>
        <v xml:space="preserve">          4283 - SALES RETURN TAXABLE-COMPUTER</v>
      </c>
      <c r="C114" s="11"/>
      <c r="D114" s="2">
        <f>-99.99</f>
        <v>-99.99</v>
      </c>
      <c r="E114" s="2"/>
      <c r="F114" s="19"/>
      <c r="G114" s="2"/>
      <c r="H114" s="2">
        <f>-325.91</f>
        <v>-325.91000000000003</v>
      </c>
      <c r="I114" s="2"/>
      <c r="J114" s="19"/>
      <c r="K114" s="2"/>
      <c r="L114" s="2">
        <f t="shared" si="0"/>
        <v>225.92000000000002</v>
      </c>
      <c r="M114" s="2"/>
      <c r="N114" s="19">
        <f t="shared" si="1"/>
        <v>-0.69319750851462059</v>
      </c>
      <c r="O114" s="11"/>
      <c r="P114" s="2">
        <f>-3411.26</f>
        <v>-3411.26</v>
      </c>
      <c r="Q114" s="2"/>
      <c r="R114" s="19"/>
      <c r="S114" s="2"/>
      <c r="T114" s="2">
        <f>-3282.15</f>
        <v>-3282.15</v>
      </c>
      <c r="U114" s="2"/>
      <c r="V114" s="19"/>
      <c r="W114" s="2"/>
      <c r="X114" s="2">
        <f t="shared" si="2"/>
        <v>-129.11000000000013</v>
      </c>
      <c r="Y114" s="2"/>
      <c r="Z114" s="19">
        <f t="shared" si="3"/>
        <v>3.9337019941197121E-2</v>
      </c>
    </row>
    <row r="115" spans="1:26" s="24" customFormat="1" hidden="1" outlineLevel="1" x14ac:dyDescent="0.25">
      <c r="A115" s="44"/>
      <c r="B115" s="11" t="str">
        <f>CONCATENATE("          ", "4284", " - ", "SALES RETURN TAXABLE-SOFTWARE")</f>
        <v xml:space="preserve">          4284 - SALES RETURN TAXABLE-SOFTWARE</v>
      </c>
      <c r="C115" s="11"/>
      <c r="D115" s="2">
        <f t="shared" ref="D115:D116" si="23">0</f>
        <v>0</v>
      </c>
      <c r="E115" s="2"/>
      <c r="F115" s="19"/>
      <c r="G115" s="2"/>
      <c r="H115" s="2">
        <f t="shared" ref="H115:H116" si="24">0</f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0</f>
        <v>0</v>
      </c>
      <c r="Q115" s="2"/>
      <c r="R115" s="19"/>
      <c r="S115" s="2"/>
      <c r="T115" s="2">
        <f>-129</f>
        <v>-129</v>
      </c>
      <c r="U115" s="2"/>
      <c r="V115" s="19"/>
      <c r="W115" s="2"/>
      <c r="X115" s="2">
        <f t="shared" si="2"/>
        <v>129</v>
      </c>
      <c r="Y115" s="2"/>
      <c r="Z115" s="19">
        <f t="shared" si="3"/>
        <v>-1</v>
      </c>
    </row>
    <row r="116" spans="1:26" s="24" customFormat="1" hidden="1" outlineLevel="1" x14ac:dyDescent="0.25">
      <c r="A116" s="44"/>
      <c r="B116" s="11" t="str">
        <f>CONCATENATE("          ", "4285", " - ", "SALES RETURN TAXABLE-SOFTWARE")</f>
        <v xml:space="preserve">          4285 - SALES RETURN TAXABLE-SOFTWARE</v>
      </c>
      <c r="C116" s="11"/>
      <c r="D116" s="2">
        <f t="shared" si="23"/>
        <v>0</v>
      </c>
      <c r="E116" s="2"/>
      <c r="F116" s="19"/>
      <c r="G116" s="2"/>
      <c r="H116" s="2">
        <f t="shared" si="24"/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-691.98</f>
        <v>-691.98</v>
      </c>
      <c r="Q116" s="2"/>
      <c r="R116" s="19"/>
      <c r="S116" s="2"/>
      <c r="T116" s="2">
        <f>-655.98</f>
        <v>-655.98</v>
      </c>
      <c r="U116" s="2"/>
      <c r="V116" s="19"/>
      <c r="W116" s="2"/>
      <c r="X116" s="2">
        <f t="shared" si="2"/>
        <v>-36</v>
      </c>
      <c r="Y116" s="2"/>
      <c r="Z116" s="19">
        <f t="shared" si="3"/>
        <v>5.4879721942742155E-2</v>
      </c>
    </row>
    <row r="117" spans="1:26" s="24" customFormat="1" hidden="1" outlineLevel="1" x14ac:dyDescent="0.25">
      <c r="A117" s="44"/>
      <c r="B117" s="11" t="str">
        <f>CONCATENATE("          ", "4286", " - ", "SALES RETURN TAXABLE-COMPUTER")</f>
        <v xml:space="preserve">          4286 - SALES RETURN TAXABLE-COMPUTER</v>
      </c>
      <c r="C117" s="11"/>
      <c r="D117" s="2">
        <f>-4127</f>
        <v>-4127</v>
      </c>
      <c r="E117" s="2"/>
      <c r="F117" s="19"/>
      <c r="G117" s="2"/>
      <c r="H117" s="2">
        <f>-195.9</f>
        <v>-195.9</v>
      </c>
      <c r="I117" s="2"/>
      <c r="J117" s="19"/>
      <c r="K117" s="2"/>
      <c r="L117" s="2">
        <f t="shared" si="0"/>
        <v>-3931.1</v>
      </c>
      <c r="M117" s="2"/>
      <c r="N117" s="19">
        <f t="shared" si="1"/>
        <v>20.066870852475752</v>
      </c>
      <c r="O117" s="11"/>
      <c r="P117" s="2">
        <f>-4708.35</f>
        <v>-4708.3500000000004</v>
      </c>
      <c r="Q117" s="2"/>
      <c r="R117" s="19"/>
      <c r="S117" s="2"/>
      <c r="T117" s="2">
        <f>-2987.89</f>
        <v>-2987.89</v>
      </c>
      <c r="U117" s="2"/>
      <c r="V117" s="19"/>
      <c r="W117" s="2"/>
      <c r="X117" s="2">
        <f t="shared" si="2"/>
        <v>-1720.4600000000005</v>
      </c>
      <c r="Y117" s="2"/>
      <c r="Z117" s="19">
        <f t="shared" si="3"/>
        <v>0.57581102383287219</v>
      </c>
    </row>
    <row r="118" spans="1:26" s="24" customFormat="1" hidden="1" outlineLevel="1" x14ac:dyDescent="0.25">
      <c r="A118" s="44"/>
      <c r="B118" s="11" t="str">
        <f>CONCATENATE("          ", "4288", " - ", "TAXABLE SALES RETURN-MUSIC")</f>
        <v xml:space="preserve">          4288 - TAXABLE SALES RETURN-MUSIC</v>
      </c>
      <c r="C118" s="11"/>
      <c r="D118" s="2">
        <f t="shared" ref="D118:D120" si="25">0</f>
        <v>0</v>
      </c>
      <c r="E118" s="2"/>
      <c r="F118" s="19"/>
      <c r="G118" s="2"/>
      <c r="H118" s="2">
        <f t="shared" ref="H118:H121" si="26">0</f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 t="shared" ref="P118:P120" si="27">0</f>
        <v>0</v>
      </c>
      <c r="Q118" s="2"/>
      <c r="R118" s="19"/>
      <c r="S118" s="2"/>
      <c r="T118" s="2">
        <f>-3.99</f>
        <v>-3.99</v>
      </c>
      <c r="U118" s="2"/>
      <c r="V118" s="19"/>
      <c r="W118" s="2"/>
      <c r="X118" s="2">
        <f t="shared" si="2"/>
        <v>3.99</v>
      </c>
      <c r="Y118" s="2"/>
      <c r="Z118" s="19">
        <f t="shared" si="3"/>
        <v>-1</v>
      </c>
    </row>
    <row r="119" spans="1:26" s="24" customFormat="1" hidden="1" outlineLevel="1" x14ac:dyDescent="0.25">
      <c r="A119" s="44"/>
      <c r="B119" s="11" t="str">
        <f>CONCATENATE("          ", "4292", " - ", "SALES RETURN TAXABLE-GRAD MERC")</f>
        <v xml:space="preserve">          4292 - SALES RETURN TAXABLE-GRAD MERC</v>
      </c>
      <c r="C119" s="11"/>
      <c r="D119" s="2">
        <f t="shared" si="25"/>
        <v>0</v>
      </c>
      <c r="E119" s="2"/>
      <c r="F119" s="19"/>
      <c r="G119" s="2"/>
      <c r="H119" s="2">
        <f t="shared" si="26"/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 t="shared" si="27"/>
        <v>0</v>
      </c>
      <c r="Q119" s="2"/>
      <c r="R119" s="19"/>
      <c r="S119" s="2"/>
      <c r="T119" s="2">
        <f>-419.05</f>
        <v>-419.05</v>
      </c>
      <c r="U119" s="2"/>
      <c r="V119" s="19"/>
      <c r="W119" s="2"/>
      <c r="X119" s="2">
        <f t="shared" si="2"/>
        <v>419.05</v>
      </c>
      <c r="Y119" s="2"/>
      <c r="Z119" s="19">
        <f t="shared" si="3"/>
        <v>-1</v>
      </c>
    </row>
    <row r="120" spans="1:26" s="24" customFormat="1" hidden="1" outlineLevel="1" x14ac:dyDescent="0.25">
      <c r="A120" s="44"/>
      <c r="B120" s="11" t="str">
        <f>CONCATENATE("          ", "4295", " - ", "SALES RETURN TAXABLE-CUSTOMER")</f>
        <v xml:space="preserve">          4295 - SALES RETURN TAXABLE-CUSTOMER</v>
      </c>
      <c r="C120" s="11"/>
      <c r="D120" s="2">
        <f t="shared" si="25"/>
        <v>0</v>
      </c>
      <c r="E120" s="2"/>
      <c r="F120" s="19"/>
      <c r="G120" s="2"/>
      <c r="H120" s="2">
        <f t="shared" si="26"/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 t="shared" si="27"/>
        <v>0</v>
      </c>
      <c r="Q120" s="2"/>
      <c r="R120" s="19"/>
      <c r="S120" s="2"/>
      <c r="T120" s="2">
        <f>--0.99</f>
        <v>0.99</v>
      </c>
      <c r="U120" s="2"/>
      <c r="V120" s="19"/>
      <c r="W120" s="2"/>
      <c r="X120" s="2">
        <f t="shared" si="2"/>
        <v>-0.99</v>
      </c>
      <c r="Y120" s="2"/>
      <c r="Z120" s="19">
        <f t="shared" si="3"/>
        <v>-1</v>
      </c>
    </row>
    <row r="121" spans="1:26" s="24" customFormat="1" hidden="1" outlineLevel="1" x14ac:dyDescent="0.25">
      <c r="A121" s="44"/>
      <c r="B121" s="11" t="str">
        <f>CONCATENATE("          ", "4301", " - ", "SALES RETURN NON TAXABLE-NEW T")</f>
        <v xml:space="preserve">          4301 - SALES RETURN NON TAXABLE-NEW T</v>
      </c>
      <c r="C121" s="11"/>
      <c r="D121" s="2">
        <f>-372.93</f>
        <v>-372.93</v>
      </c>
      <c r="E121" s="2"/>
      <c r="F121" s="19"/>
      <c r="G121" s="2"/>
      <c r="H121" s="2">
        <f t="shared" si="26"/>
        <v>0</v>
      </c>
      <c r="I121" s="2"/>
      <c r="J121" s="19"/>
      <c r="K121" s="2"/>
      <c r="L121" s="2">
        <f t="shared" si="0"/>
        <v>-372.93</v>
      </c>
      <c r="M121" s="2"/>
      <c r="N121" s="19">
        <f t="shared" si="1"/>
        <v>0</v>
      </c>
      <c r="O121" s="11"/>
      <c r="P121" s="2">
        <f>-2749.1</f>
        <v>-2749.1</v>
      </c>
      <c r="Q121" s="2"/>
      <c r="R121" s="19"/>
      <c r="S121" s="2"/>
      <c r="T121" s="2">
        <f>-12310.98</f>
        <v>-12310.98</v>
      </c>
      <c r="U121" s="2"/>
      <c r="V121" s="19"/>
      <c r="W121" s="2"/>
      <c r="X121" s="2">
        <f t="shared" si="2"/>
        <v>9561.8799999999992</v>
      </c>
      <c r="Y121" s="2"/>
      <c r="Z121" s="19">
        <f t="shared" si="3"/>
        <v>-0.77669527527459226</v>
      </c>
    </row>
    <row r="122" spans="1:26" s="24" customFormat="1" hidden="1" outlineLevel="1" x14ac:dyDescent="0.25">
      <c r="A122" s="44"/>
      <c r="B122" s="11" t="str">
        <f>CONCATENATE("          ", "4302", " - ", "SALES RETURN NON TAXABLE-TEXT")</f>
        <v xml:space="preserve">          4302 - SALES RETURN NON TAXABLE-TEXT</v>
      </c>
      <c r="C122" s="11"/>
      <c r="D122" s="2">
        <f>-77.35</f>
        <v>-77.349999999999994</v>
      </c>
      <c r="E122" s="2"/>
      <c r="F122" s="19"/>
      <c r="G122" s="2"/>
      <c r="H122" s="2">
        <f>-14.1</f>
        <v>-14.1</v>
      </c>
      <c r="I122" s="2"/>
      <c r="J122" s="19"/>
      <c r="K122" s="2"/>
      <c r="L122" s="2">
        <f t="shared" si="0"/>
        <v>-63.249999999999993</v>
      </c>
      <c r="M122" s="2"/>
      <c r="N122" s="19">
        <f t="shared" si="1"/>
        <v>4.4858156028368787</v>
      </c>
      <c r="O122" s="11"/>
      <c r="P122" s="2">
        <f>-1470.2</f>
        <v>-1470.2</v>
      </c>
      <c r="Q122" s="2"/>
      <c r="R122" s="19"/>
      <c r="S122" s="2"/>
      <c r="T122" s="2">
        <f>-697.9</f>
        <v>-697.9</v>
      </c>
      <c r="U122" s="2"/>
      <c r="V122" s="19"/>
      <c r="W122" s="2"/>
      <c r="X122" s="2">
        <f t="shared" si="2"/>
        <v>-772.30000000000007</v>
      </c>
      <c r="Y122" s="2"/>
      <c r="Z122" s="19">
        <f t="shared" si="3"/>
        <v>1.1066055308783496</v>
      </c>
    </row>
    <row r="123" spans="1:26" s="24" customFormat="1" hidden="1" outlineLevel="1" x14ac:dyDescent="0.25">
      <c r="A123" s="44"/>
      <c r="B123" s="11" t="str">
        <f>CONCATENATE("          ", "4303", " - ", "SALES RETURN NON-TAXABLE-RENTA")</f>
        <v xml:space="preserve">          4303 - SALES RETURN NON-TAXABLE-RENTA</v>
      </c>
      <c r="C123" s="11"/>
      <c r="D123" s="2">
        <f>0</f>
        <v>0</v>
      </c>
      <c r="E123" s="2"/>
      <c r="F123" s="19"/>
      <c r="G123" s="2"/>
      <c r="H123" s="2">
        <f>0</f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0</f>
        <v>0</v>
      </c>
      <c r="Q123" s="2"/>
      <c r="R123" s="19"/>
      <c r="S123" s="2"/>
      <c r="T123" s="2">
        <f>-184.99</f>
        <v>-184.99</v>
      </c>
      <c r="U123" s="2"/>
      <c r="V123" s="19"/>
      <c r="W123" s="2"/>
      <c r="X123" s="2">
        <f t="shared" si="2"/>
        <v>184.99</v>
      </c>
      <c r="Y123" s="2"/>
      <c r="Z123" s="19">
        <f t="shared" si="3"/>
        <v>-1</v>
      </c>
    </row>
    <row r="124" spans="1:26" s="24" customFormat="1" hidden="1" outlineLevel="1" x14ac:dyDescent="0.25">
      <c r="A124" s="44"/>
      <c r="B124" s="11" t="str">
        <f>CONCATENATE("          ", "4304", " - ", "SALES RETURN NON TAXABLE-DIGIT")</f>
        <v xml:space="preserve">          4304 - SALES RETURN NON TAXABLE-DIGIT</v>
      </c>
      <c r="C124" s="11"/>
      <c r="D124" s="2">
        <f>-144.23</f>
        <v>-144.22999999999999</v>
      </c>
      <c r="E124" s="2"/>
      <c r="F124" s="19"/>
      <c r="G124" s="2"/>
      <c r="H124" s="2">
        <f>-226.45</f>
        <v>-226.45</v>
      </c>
      <c r="I124" s="2"/>
      <c r="J124" s="19"/>
      <c r="K124" s="2"/>
      <c r="L124" s="2">
        <f t="shared" si="0"/>
        <v>82.22</v>
      </c>
      <c r="M124" s="2"/>
      <c r="N124" s="19">
        <f t="shared" si="1"/>
        <v>-0.36308235813645395</v>
      </c>
      <c r="O124" s="11"/>
      <c r="P124" s="2">
        <f>-14422.77</f>
        <v>-14422.77</v>
      </c>
      <c r="Q124" s="2"/>
      <c r="R124" s="19"/>
      <c r="S124" s="2"/>
      <c r="T124" s="2">
        <f>-13430.32</f>
        <v>-13430.32</v>
      </c>
      <c r="U124" s="2"/>
      <c r="V124" s="19"/>
      <c r="W124" s="2"/>
      <c r="X124" s="2">
        <f t="shared" si="2"/>
        <v>-992.45000000000073</v>
      </c>
      <c r="Y124" s="2"/>
      <c r="Z124" s="19">
        <f t="shared" si="3"/>
        <v>7.3896228831479865E-2</v>
      </c>
    </row>
    <row r="125" spans="1:26" s="24" customFormat="1" hidden="1" outlineLevel="1" x14ac:dyDescent="0.25">
      <c r="A125" s="44"/>
      <c r="B125" s="11" t="str">
        <f>CONCATENATE("          ", "4311", " - ", "SALES RETURN NON TAXABLE-NO VA")</f>
        <v xml:space="preserve">          4311 - SALES RETURN NON TAXABLE-NO VA</v>
      </c>
      <c r="C125" s="11"/>
      <c r="D125" s="2">
        <f t="shared" ref="D125:D126" si="28">0</f>
        <v>0</v>
      </c>
      <c r="E125" s="2"/>
      <c r="F125" s="19"/>
      <c r="G125" s="2"/>
      <c r="H125" s="2">
        <f t="shared" ref="H125:H126" si="29">0</f>
        <v>0</v>
      </c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1"/>
      <c r="P125" s="2">
        <f t="shared" ref="P125:P126" si="30">0</f>
        <v>0</v>
      </c>
      <c r="Q125" s="2"/>
      <c r="R125" s="19"/>
      <c r="S125" s="2"/>
      <c r="T125" s="2">
        <f>-387.96</f>
        <v>-387.96</v>
      </c>
      <c r="U125" s="2"/>
      <c r="V125" s="19"/>
      <c r="W125" s="2"/>
      <c r="X125" s="2">
        <f t="shared" si="2"/>
        <v>387.96</v>
      </c>
      <c r="Y125" s="2"/>
      <c r="Z125" s="19">
        <f t="shared" si="3"/>
        <v>-1</v>
      </c>
    </row>
    <row r="126" spans="1:26" s="24" customFormat="1" hidden="1" outlineLevel="1" x14ac:dyDescent="0.25">
      <c r="A126" s="44"/>
      <c r="B126" s="11" t="str">
        <f>CONCATENATE("          ", "4327", " - ", "SALES RETURN NON TAXABLE-SCHOO")</f>
        <v xml:space="preserve">          4327 - SALES RETURN NON TAXABLE-SCHOO</v>
      </c>
      <c r="C126" s="11"/>
      <c r="D126" s="2">
        <f t="shared" si="28"/>
        <v>0</v>
      </c>
      <c r="E126" s="2"/>
      <c r="F126" s="19"/>
      <c r="G126" s="2"/>
      <c r="H126" s="2">
        <f t="shared" si="29"/>
        <v>0</v>
      </c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 t="shared" si="30"/>
        <v>0</v>
      </c>
      <c r="Q126" s="2"/>
      <c r="R126" s="19"/>
      <c r="S126" s="2"/>
      <c r="T126" s="2">
        <f>-21.87</f>
        <v>-21.87</v>
      </c>
      <c r="U126" s="2"/>
      <c r="V126" s="19"/>
      <c r="W126" s="2"/>
      <c r="X126" s="2">
        <f t="shared" si="2"/>
        <v>21.87</v>
      </c>
      <c r="Y126" s="2"/>
      <c r="Z126" s="19">
        <f t="shared" si="3"/>
        <v>-1</v>
      </c>
    </row>
    <row r="127" spans="1:26" s="24" customFormat="1" hidden="1" outlineLevel="1" x14ac:dyDescent="0.25">
      <c r="A127" s="44"/>
      <c r="B127" s="11" t="str">
        <f>CONCATENATE("          ", "4340", " - ", "SALES RETURN NON TAXABLE-LOGO")</f>
        <v xml:space="preserve">          4340 - SALES RETURN NON TAXABLE-LOGO</v>
      </c>
      <c r="C127" s="11"/>
      <c r="D127" s="2">
        <f>-543.24</f>
        <v>-543.24</v>
      </c>
      <c r="E127" s="2"/>
      <c r="F127" s="19"/>
      <c r="G127" s="2"/>
      <c r="H127" s="2">
        <f>-391.5</f>
        <v>-391.5</v>
      </c>
      <c r="I127" s="2"/>
      <c r="J127" s="19"/>
      <c r="K127" s="2"/>
      <c r="L127" s="2">
        <f t="shared" si="0"/>
        <v>-151.74</v>
      </c>
      <c r="M127" s="2"/>
      <c r="N127" s="19">
        <f t="shared" si="1"/>
        <v>0.38758620689655177</v>
      </c>
      <c r="O127" s="11"/>
      <c r="P127" s="2">
        <f>-1483.72</f>
        <v>-1483.72</v>
      </c>
      <c r="Q127" s="2"/>
      <c r="R127" s="19"/>
      <c r="S127" s="2"/>
      <c r="T127" s="2">
        <f>-714.9</f>
        <v>-714.9</v>
      </c>
      <c r="U127" s="2"/>
      <c r="V127" s="19"/>
      <c r="W127" s="2"/>
      <c r="X127" s="2">
        <f t="shared" si="2"/>
        <v>-768.82</v>
      </c>
      <c r="Y127" s="2"/>
      <c r="Z127" s="19">
        <f t="shared" si="3"/>
        <v>1.0754231361029516</v>
      </c>
    </row>
    <row r="128" spans="1:26" s="24" customFormat="1" hidden="1" outlineLevel="1" x14ac:dyDescent="0.25">
      <c r="A128" s="44"/>
      <c r="B128" s="11" t="str">
        <f>CONCATENATE("          ", "4341", " - ", "SALES RETURN NON TAXABLE-LOGO")</f>
        <v xml:space="preserve">          4341 - SALES RETURN NON TAXABLE-LOGO</v>
      </c>
      <c r="C128" s="11"/>
      <c r="D128" s="2">
        <f>-33.85</f>
        <v>-33.85</v>
      </c>
      <c r="E128" s="2"/>
      <c r="F128" s="19"/>
      <c r="G128" s="2"/>
      <c r="H128" s="2">
        <f>-9.95</f>
        <v>-9.9499999999999993</v>
      </c>
      <c r="I128" s="2"/>
      <c r="J128" s="19"/>
      <c r="K128" s="2"/>
      <c r="L128" s="2">
        <f t="shared" si="0"/>
        <v>-23.900000000000002</v>
      </c>
      <c r="M128" s="2"/>
      <c r="N128" s="19">
        <f t="shared" si="1"/>
        <v>2.4020100502512567</v>
      </c>
      <c r="O128" s="11"/>
      <c r="P128" s="2">
        <f>-335.64</f>
        <v>-335.64</v>
      </c>
      <c r="Q128" s="2"/>
      <c r="R128" s="19"/>
      <c r="S128" s="2"/>
      <c r="T128" s="2">
        <f>-20.85</f>
        <v>-20.85</v>
      </c>
      <c r="U128" s="2"/>
      <c r="V128" s="19"/>
      <c r="W128" s="2"/>
      <c r="X128" s="2">
        <f t="shared" si="2"/>
        <v>-314.78999999999996</v>
      </c>
      <c r="Y128" s="2"/>
      <c r="Z128" s="19">
        <f t="shared" si="3"/>
        <v>15.097841726618702</v>
      </c>
    </row>
    <row r="129" spans="1:26" s="24" customFormat="1" hidden="1" outlineLevel="1" x14ac:dyDescent="0.25">
      <c r="A129" s="44"/>
      <c r="B129" s="11" t="str">
        <f>CONCATENATE("          ", "4342", " - ", "SALES RETURN NON TAXABLE-EVERY")</f>
        <v xml:space="preserve">          4342 - SALES RETURN NON TAXABLE-EVERY</v>
      </c>
      <c r="C129" s="11"/>
      <c r="D129" s="2">
        <f t="shared" ref="D129:D133" si="31">0</f>
        <v>0</v>
      </c>
      <c r="E129" s="2"/>
      <c r="F129" s="19"/>
      <c r="G129" s="2"/>
      <c r="H129" s="2">
        <f t="shared" ref="H129:H133" si="32">0</f>
        <v>0</v>
      </c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-118.7</f>
        <v>-118.7</v>
      </c>
      <c r="Q129" s="2"/>
      <c r="R129" s="19"/>
      <c r="S129" s="2"/>
      <c r="T129" s="2">
        <f>-109.8</f>
        <v>-109.8</v>
      </c>
      <c r="U129" s="2"/>
      <c r="V129" s="19"/>
      <c r="W129" s="2"/>
      <c r="X129" s="2">
        <f t="shared" si="2"/>
        <v>-8.9000000000000057</v>
      </c>
      <c r="Y129" s="2"/>
      <c r="Z129" s="19">
        <f t="shared" si="3"/>
        <v>8.1056466302367999E-2</v>
      </c>
    </row>
    <row r="130" spans="1:26" s="24" customFormat="1" hidden="1" outlineLevel="1" x14ac:dyDescent="0.25">
      <c r="A130" s="44"/>
      <c r="B130" s="11" t="str">
        <f>CONCATENATE("          ", "4346", " - ", "SALES RETURN NON TAXABLE-COIN-")</f>
        <v xml:space="preserve">          4346 - SALES RETURN NON TAXABLE-COIN-</v>
      </c>
      <c r="C130" s="11"/>
      <c r="D130" s="2">
        <f t="shared" si="31"/>
        <v>0</v>
      </c>
      <c r="E130" s="2"/>
      <c r="F130" s="19"/>
      <c r="G130" s="2"/>
      <c r="H130" s="2">
        <f t="shared" si="32"/>
        <v>0</v>
      </c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0</f>
        <v>0</v>
      </c>
      <c r="Q130" s="2"/>
      <c r="R130" s="19"/>
      <c r="S130" s="2"/>
      <c r="T130" s="2">
        <f>-8.15</f>
        <v>-8.15</v>
      </c>
      <c r="U130" s="2"/>
      <c r="V130" s="19"/>
      <c r="W130" s="2"/>
      <c r="X130" s="2">
        <f t="shared" si="2"/>
        <v>8.15</v>
      </c>
      <c r="Y130" s="2"/>
      <c r="Z130" s="19">
        <f t="shared" si="3"/>
        <v>-1</v>
      </c>
    </row>
    <row r="131" spans="1:26" s="24" customFormat="1" hidden="1" outlineLevel="1" x14ac:dyDescent="0.25">
      <c r="A131" s="44"/>
      <c r="B131" s="11" t="str">
        <f>CONCATENATE("          ", "4381", " - ", "SALES RETURN NON TAXABLE-ELECT")</f>
        <v xml:space="preserve">          4381 - SALES RETURN NON TAXABLE-ELECT</v>
      </c>
      <c r="C131" s="11"/>
      <c r="D131" s="2">
        <f t="shared" si="31"/>
        <v>0</v>
      </c>
      <c r="E131" s="2"/>
      <c r="F131" s="19"/>
      <c r="G131" s="2"/>
      <c r="H131" s="2">
        <f t="shared" si="32"/>
        <v>0</v>
      </c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1"/>
      <c r="P131" s="2">
        <f>-5624.15</f>
        <v>-5624.15</v>
      </c>
      <c r="Q131" s="2"/>
      <c r="R131" s="19"/>
      <c r="S131" s="2"/>
      <c r="T131" s="2">
        <f>-1279.84</f>
        <v>-1279.8399999999999</v>
      </c>
      <c r="U131" s="2"/>
      <c r="V131" s="19"/>
      <c r="W131" s="2"/>
      <c r="X131" s="2">
        <f t="shared" si="2"/>
        <v>-4344.3099999999995</v>
      </c>
      <c r="Y131" s="2"/>
      <c r="Z131" s="19">
        <f t="shared" si="3"/>
        <v>3.3944164895611948</v>
      </c>
    </row>
    <row r="132" spans="1:26" s="24" customFormat="1" hidden="1" outlineLevel="1" x14ac:dyDescent="0.25">
      <c r="A132" s="44"/>
      <c r="B132" s="11" t="str">
        <f>CONCATENATE("          ", "4383", " - ", "SALES RETURN NON TAXABLE-COMPU")</f>
        <v xml:space="preserve">          4383 - SALES RETURN NON TAXABLE-COMPU</v>
      </c>
      <c r="C132" s="11"/>
      <c r="D132" s="2">
        <f t="shared" si="31"/>
        <v>0</v>
      </c>
      <c r="E132" s="2"/>
      <c r="F132" s="19"/>
      <c r="G132" s="2"/>
      <c r="H132" s="2">
        <f t="shared" si="32"/>
        <v>0</v>
      </c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 t="shared" ref="P132:P133" si="33">0</f>
        <v>0</v>
      </c>
      <c r="Q132" s="2"/>
      <c r="R132" s="19"/>
      <c r="S132" s="2"/>
      <c r="T132" s="2">
        <f>-49.98</f>
        <v>-49.98</v>
      </c>
      <c r="U132" s="2"/>
      <c r="V132" s="19"/>
      <c r="W132" s="2"/>
      <c r="X132" s="2">
        <f t="shared" si="2"/>
        <v>49.98</v>
      </c>
      <c r="Y132" s="2"/>
      <c r="Z132" s="19">
        <f t="shared" si="3"/>
        <v>-1</v>
      </c>
    </row>
    <row r="133" spans="1:26" s="24" customFormat="1" hidden="1" outlineLevel="1" x14ac:dyDescent="0.25">
      <c r="A133" s="44"/>
      <c r="B133" s="11" t="str">
        <f>CONCATENATE("          ", "4386", " - ", "SALES RETURN NON TAXABLE-COMPU")</f>
        <v xml:space="preserve">          4386 - SALES RETURN NON TAXABLE-COMPU</v>
      </c>
      <c r="C133" s="11"/>
      <c r="D133" s="2">
        <f t="shared" si="31"/>
        <v>0</v>
      </c>
      <c r="E133" s="2"/>
      <c r="F133" s="19"/>
      <c r="G133" s="2"/>
      <c r="H133" s="2">
        <f t="shared" si="32"/>
        <v>0</v>
      </c>
      <c r="I133" s="2"/>
      <c r="J133" s="19"/>
      <c r="K133" s="2"/>
      <c r="L133" s="2">
        <f t="shared" si="0"/>
        <v>0</v>
      </c>
      <c r="M133" s="2"/>
      <c r="N133" s="19">
        <f t="shared" si="1"/>
        <v>0</v>
      </c>
      <c r="O133" s="11"/>
      <c r="P133" s="2">
        <f t="shared" si="33"/>
        <v>0</v>
      </c>
      <c r="Q133" s="2"/>
      <c r="R133" s="19"/>
      <c r="S133" s="2"/>
      <c r="T133" s="2">
        <f>-54.97</f>
        <v>-54.97</v>
      </c>
      <c r="U133" s="2"/>
      <c r="V133" s="19"/>
      <c r="W133" s="2"/>
      <c r="X133" s="2">
        <f t="shared" si="2"/>
        <v>54.97</v>
      </c>
      <c r="Y133" s="2"/>
      <c r="Z133" s="19">
        <f t="shared" si="3"/>
        <v>-1</v>
      </c>
    </row>
    <row r="134" spans="1:26" x14ac:dyDescent="0.25">
      <c r="A134" s="9"/>
      <c r="B134" s="10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collapsed="1" x14ac:dyDescent="0.25">
      <c r="A135" s="10"/>
      <c r="B135" s="29" t="s">
        <v>8</v>
      </c>
      <c r="C135" s="10"/>
      <c r="D135" s="4">
        <f>SUM(OSRRefD16x_0)</f>
        <v>246276.64</v>
      </c>
      <c r="E135" s="4"/>
      <c r="F135" s="12">
        <f t="shared" ref="F135:F194" si="34">IF(D$12=0,0,D135/D$12)</f>
        <v>0.50931241906039837</v>
      </c>
      <c r="G135" s="4"/>
      <c r="H135" s="4">
        <f>SUM(OSRRefH16x_0)</f>
        <v>694087.80999999982</v>
      </c>
      <c r="I135" s="4"/>
      <c r="J135" s="12">
        <f t="shared" ref="J135:J194" si="35">IF(H$12=0,0,H135/H$12)</f>
        <v>0.34994475278121834</v>
      </c>
      <c r="K135" s="4"/>
      <c r="L135" s="4">
        <f t="shared" ref="L135:L194" si="36">+D135-H135</f>
        <v>-447811.16999999981</v>
      </c>
      <c r="M135" s="4"/>
      <c r="N135" s="12">
        <f t="shared" ref="N135:N194" si="37">IF(H135=0,0,L135/H135)</f>
        <v>-0.64517941901328002</v>
      </c>
      <c r="O135" s="10"/>
      <c r="P135" s="4">
        <f>SUM(OSRRefP16x_0)</f>
        <v>3229441.27</v>
      </c>
      <c r="Q135" s="4"/>
      <c r="R135" s="12">
        <f t="shared" ref="R135:R194" si="38">IF(P$12=0,0,P135/P$12)</f>
        <v>0.62793783345561183</v>
      </c>
      <c r="S135" s="4"/>
      <c r="T135" s="4">
        <f>SUM(OSRRefT16x_0)</f>
        <v>7881801.9899999984</v>
      </c>
      <c r="U135" s="4"/>
      <c r="V135" s="12">
        <f t="shared" ref="V135:V194" si="39">IF(T$12=0,0,T135/T$12)</f>
        <v>0.43599267851771084</v>
      </c>
      <c r="W135" s="4"/>
      <c r="X135" s="4">
        <f t="shared" ref="X135:X194" si="40">+P135-T135</f>
        <v>-4652360.7199999988</v>
      </c>
      <c r="Y135" s="4"/>
      <c r="Z135" s="12">
        <f t="shared" ref="Z135:Z194" si="41">IF(T135=0,0,X135/T135)</f>
        <v>-0.59026612517069843</v>
      </c>
    </row>
    <row r="136" spans="1:26" s="24" customFormat="1" hidden="1" outlineLevel="1" x14ac:dyDescent="0.25">
      <c r="A136" s="44"/>
      <c r="B136" s="11" t="str">
        <f>CONCATENATE("          ", "5001", " - ", "PURCHASES @ COST-NEW TEXT")</f>
        <v xml:space="preserve">          5001 - PURCHASES @ COST-NEW TEXT</v>
      </c>
      <c r="C136" s="11"/>
      <c r="D136" s="2">
        <v>37317.56</v>
      </c>
      <c r="E136" s="2"/>
      <c r="F136" s="19">
        <f t="shared" si="34"/>
        <v>7.7174582035192438E-2</v>
      </c>
      <c r="G136" s="2"/>
      <c r="H136" s="2">
        <v>155219.06</v>
      </c>
      <c r="I136" s="2"/>
      <c r="J136" s="19">
        <f t="shared" si="35"/>
        <v>7.8258247437933109E-2</v>
      </c>
      <c r="K136" s="2"/>
      <c r="L136" s="2">
        <f t="shared" si="36"/>
        <v>-117901.5</v>
      </c>
      <c r="M136" s="2"/>
      <c r="N136" s="19">
        <f t="shared" si="37"/>
        <v>-0.75958132976710468</v>
      </c>
      <c r="O136" s="11"/>
      <c r="P136" s="2">
        <v>1277913.04</v>
      </c>
      <c r="Q136" s="2"/>
      <c r="R136" s="19">
        <f t="shared" si="38"/>
        <v>0.24847949802854741</v>
      </c>
      <c r="S136" s="2"/>
      <c r="T136" s="2">
        <v>1737069.75</v>
      </c>
      <c r="U136" s="2"/>
      <c r="V136" s="19">
        <f t="shared" si="39"/>
        <v>9.6088393749992007E-2</v>
      </c>
      <c r="W136" s="2"/>
      <c r="X136" s="2">
        <f t="shared" si="40"/>
        <v>-459156.70999999996</v>
      </c>
      <c r="Y136" s="2"/>
      <c r="Z136" s="19">
        <f t="shared" si="41"/>
        <v>-0.26432830921153277</v>
      </c>
    </row>
    <row r="137" spans="1:26" s="24" customFormat="1" hidden="1" outlineLevel="1" x14ac:dyDescent="0.25">
      <c r="A137" s="44"/>
      <c r="B137" s="11" t="str">
        <f>CONCATENATE("          ", "5002", " - ", "PURCHASES @ COST-USED TEXT")</f>
        <v xml:space="preserve">          5002 - PURCHASES @ COST-USED TEXT</v>
      </c>
      <c r="C137" s="11"/>
      <c r="D137" s="2">
        <v>70238.87</v>
      </c>
      <c r="E137" s="2"/>
      <c r="F137" s="19">
        <f t="shared" si="34"/>
        <v>0.14525749901317817</v>
      </c>
      <c r="G137" s="2"/>
      <c r="H137" s="2">
        <v>40274.950000000004</v>
      </c>
      <c r="I137" s="2"/>
      <c r="J137" s="19">
        <f t="shared" si="35"/>
        <v>2.030579880235317E-2</v>
      </c>
      <c r="K137" s="2"/>
      <c r="L137" s="2">
        <f t="shared" si="36"/>
        <v>29963.919999999991</v>
      </c>
      <c r="M137" s="2"/>
      <c r="N137" s="19">
        <f t="shared" si="37"/>
        <v>0.74398403970706328</v>
      </c>
      <c r="O137" s="11"/>
      <c r="P137" s="2">
        <v>164472.92000000001</v>
      </c>
      <c r="Q137" s="2"/>
      <c r="R137" s="19">
        <f t="shared" si="38"/>
        <v>3.1980383110332328E-2</v>
      </c>
      <c r="S137" s="2"/>
      <c r="T137" s="2">
        <v>252522.85</v>
      </c>
      <c r="U137" s="2"/>
      <c r="V137" s="19">
        <f t="shared" si="39"/>
        <v>1.3968647512093379E-2</v>
      </c>
      <c r="W137" s="2"/>
      <c r="X137" s="2">
        <f t="shared" si="40"/>
        <v>-88049.93</v>
      </c>
      <c r="Y137" s="2"/>
      <c r="Z137" s="19">
        <f t="shared" si="41"/>
        <v>-0.34868104015141599</v>
      </c>
    </row>
    <row r="138" spans="1:26" s="24" customFormat="1" hidden="1" outlineLevel="1" x14ac:dyDescent="0.25">
      <c r="A138" s="44"/>
      <c r="B138" s="11" t="str">
        <f>CONCATENATE("          ", "5003", " - ", "PURCHASES @ COST-RENTAL TEXT")</f>
        <v xml:space="preserve">          5003 - PURCHASES @ COST-RENTAL TEXT</v>
      </c>
      <c r="C138" s="11"/>
      <c r="D138" s="2"/>
      <c r="E138" s="2"/>
      <c r="F138" s="19">
        <f t="shared" si="34"/>
        <v>0</v>
      </c>
      <c r="G138" s="2"/>
      <c r="H138" s="2"/>
      <c r="I138" s="2"/>
      <c r="J138" s="19">
        <f t="shared" si="35"/>
        <v>0</v>
      </c>
      <c r="K138" s="2"/>
      <c r="L138" s="2">
        <f t="shared" si="36"/>
        <v>0</v>
      </c>
      <c r="M138" s="2"/>
      <c r="N138" s="19">
        <f t="shared" si="37"/>
        <v>0</v>
      </c>
      <c r="O138" s="11"/>
      <c r="P138" s="2">
        <v>32.520000000000003</v>
      </c>
      <c r="Q138" s="2"/>
      <c r="R138" s="19">
        <f t="shared" si="38"/>
        <v>6.3232418974990368E-6</v>
      </c>
      <c r="S138" s="2"/>
      <c r="T138" s="2">
        <v>-78.400000000000006</v>
      </c>
      <c r="U138" s="2"/>
      <c r="V138" s="19">
        <f t="shared" si="39"/>
        <v>-4.3368034415425024E-6</v>
      </c>
      <c r="W138" s="2"/>
      <c r="X138" s="2">
        <f t="shared" si="40"/>
        <v>110.92000000000002</v>
      </c>
      <c r="Y138" s="2"/>
      <c r="Z138" s="19">
        <f t="shared" si="41"/>
        <v>-1.4147959183673471</v>
      </c>
    </row>
    <row r="139" spans="1:26" s="24" customFormat="1" hidden="1" outlineLevel="1" x14ac:dyDescent="0.25">
      <c r="A139" s="44"/>
      <c r="B139" s="11" t="str">
        <f>CONCATENATE("          ", "5004", " - ", "PURCHASES @ COST-DIGITAL TEXT")</f>
        <v xml:space="preserve">          5004 - PURCHASES @ COST-DIGITAL TEXT</v>
      </c>
      <c r="C139" s="11"/>
      <c r="D139" s="2">
        <v>900</v>
      </c>
      <c r="E139" s="2"/>
      <c r="F139" s="19">
        <f t="shared" si="34"/>
        <v>1.8612450500963408E-3</v>
      </c>
      <c r="G139" s="2"/>
      <c r="H139" s="2">
        <v>31572.300000000003</v>
      </c>
      <c r="I139" s="2"/>
      <c r="J139" s="19">
        <f t="shared" si="35"/>
        <v>1.5918102232964533E-2</v>
      </c>
      <c r="K139" s="2"/>
      <c r="L139" s="2">
        <f t="shared" si="36"/>
        <v>-30672.300000000003</v>
      </c>
      <c r="M139" s="2"/>
      <c r="N139" s="19">
        <f t="shared" si="37"/>
        <v>-0.97149399948689197</v>
      </c>
      <c r="O139" s="11"/>
      <c r="P139" s="2">
        <v>197838.11000000002</v>
      </c>
      <c r="Q139" s="2"/>
      <c r="R139" s="19">
        <f t="shared" si="38"/>
        <v>3.8467965131427528E-2</v>
      </c>
      <c r="S139" s="2"/>
      <c r="T139" s="2">
        <v>354352.27</v>
      </c>
      <c r="U139" s="2"/>
      <c r="V139" s="19">
        <f t="shared" si="39"/>
        <v>1.960148142926528E-2</v>
      </c>
      <c r="W139" s="2"/>
      <c r="X139" s="2">
        <f t="shared" si="40"/>
        <v>-156514.16</v>
      </c>
      <c r="Y139" s="2"/>
      <c r="Z139" s="19">
        <f t="shared" si="41"/>
        <v>-0.44169086316280687</v>
      </c>
    </row>
    <row r="140" spans="1:26" s="24" customFormat="1" hidden="1" outlineLevel="1" x14ac:dyDescent="0.25">
      <c r="A140" s="44"/>
      <c r="B140" s="11" t="str">
        <f>CONCATENATE("          ", "5011", " - ", "PURCHASES @ COST-NO VALUE TEXT")</f>
        <v xml:space="preserve">          5011 - PURCHASES @ COST-NO VALUE TEXT</v>
      </c>
      <c r="C140" s="11"/>
      <c r="D140" s="2"/>
      <c r="E140" s="2"/>
      <c r="F140" s="19">
        <f t="shared" si="34"/>
        <v>0</v>
      </c>
      <c r="G140" s="2"/>
      <c r="H140" s="2">
        <v>1161</v>
      </c>
      <c r="I140" s="2"/>
      <c r="J140" s="19">
        <f t="shared" si="35"/>
        <v>5.8535224524256457E-4</v>
      </c>
      <c r="K140" s="2"/>
      <c r="L140" s="2">
        <f t="shared" si="36"/>
        <v>-1161</v>
      </c>
      <c r="M140" s="2"/>
      <c r="N140" s="19">
        <f t="shared" si="37"/>
        <v>-1</v>
      </c>
      <c r="O140" s="11"/>
      <c r="P140" s="2">
        <v>67.17</v>
      </c>
      <c r="Q140" s="2"/>
      <c r="R140" s="19">
        <f t="shared" si="38"/>
        <v>1.3060644472786293E-5</v>
      </c>
      <c r="S140" s="2"/>
      <c r="T140" s="2">
        <v>4902</v>
      </c>
      <c r="U140" s="2"/>
      <c r="V140" s="19">
        <f t="shared" si="39"/>
        <v>2.7116084783726204E-4</v>
      </c>
      <c r="W140" s="2"/>
      <c r="X140" s="2">
        <f t="shared" si="40"/>
        <v>-4834.83</v>
      </c>
      <c r="Y140" s="2"/>
      <c r="Z140" s="19">
        <f t="shared" si="41"/>
        <v>-0.98629742962056299</v>
      </c>
    </row>
    <row r="141" spans="1:26" s="24" customFormat="1" hidden="1" outlineLevel="1" x14ac:dyDescent="0.25">
      <c r="A141" s="44"/>
      <c r="B141" s="11" t="str">
        <f>CONCATENATE("          ", "5013", " - ", "PURCHASES @ COST-TRADE BOOKS")</f>
        <v xml:space="preserve">          5013 - PURCHASES @ COST-TRADE BOOKS</v>
      </c>
      <c r="C141" s="11"/>
      <c r="D141" s="2">
        <v>31.11</v>
      </c>
      <c r="E141" s="2"/>
      <c r="F141" s="19">
        <f t="shared" si="34"/>
        <v>6.4337037231663517E-5</v>
      </c>
      <c r="G141" s="2"/>
      <c r="H141" s="2">
        <v>37.17</v>
      </c>
      <c r="I141" s="2"/>
      <c r="J141" s="19">
        <f t="shared" si="35"/>
        <v>1.8740347076370479E-5</v>
      </c>
      <c r="K141" s="2"/>
      <c r="L141" s="2">
        <f t="shared" si="36"/>
        <v>-6.0600000000000023</v>
      </c>
      <c r="M141" s="2"/>
      <c r="N141" s="19">
        <f t="shared" si="37"/>
        <v>-0.16303470540758683</v>
      </c>
      <c r="O141" s="11"/>
      <c r="P141" s="2">
        <v>2125.85</v>
      </c>
      <c r="Q141" s="2"/>
      <c r="R141" s="19">
        <f t="shared" si="38"/>
        <v>4.1335374501224865E-4</v>
      </c>
      <c r="S141" s="2"/>
      <c r="T141" s="2">
        <v>735.31</v>
      </c>
      <c r="U141" s="2"/>
      <c r="V141" s="19">
        <f t="shared" si="39"/>
        <v>4.0674680339293579E-5</v>
      </c>
      <c r="W141" s="2"/>
      <c r="X141" s="2">
        <f t="shared" si="40"/>
        <v>1390.54</v>
      </c>
      <c r="Y141" s="2"/>
      <c r="Z141" s="19">
        <f t="shared" si="41"/>
        <v>1.8910935523792687</v>
      </c>
    </row>
    <row r="142" spans="1:26" s="24" customFormat="1" hidden="1" outlineLevel="1" x14ac:dyDescent="0.25">
      <c r="A142" s="44"/>
      <c r="B142" s="11" t="str">
        <f>CONCATENATE("          ", "5014", " - ", "PURCHASES @ COST-REMAINDERS")</f>
        <v xml:space="preserve">          5014 - PURCHASES @ COST-REMAINDERS</v>
      </c>
      <c r="C142" s="11"/>
      <c r="D142" s="2"/>
      <c r="E142" s="2"/>
      <c r="F142" s="19">
        <f t="shared" si="34"/>
        <v>0</v>
      </c>
      <c r="G142" s="2"/>
      <c r="H142" s="2">
        <v>56.98</v>
      </c>
      <c r="I142" s="2"/>
      <c r="J142" s="19">
        <f t="shared" si="35"/>
        <v>2.8728140339294856E-5</v>
      </c>
      <c r="K142" s="2"/>
      <c r="L142" s="2">
        <f t="shared" si="36"/>
        <v>-56.98</v>
      </c>
      <c r="M142" s="2"/>
      <c r="N142" s="19">
        <f t="shared" si="37"/>
        <v>-1</v>
      </c>
      <c r="O142" s="11"/>
      <c r="P142" s="2">
        <v>90.41</v>
      </c>
      <c r="Q142" s="2"/>
      <c r="R142" s="19">
        <f t="shared" si="38"/>
        <v>1.7579468018231482E-5</v>
      </c>
      <c r="S142" s="2"/>
      <c r="T142" s="2">
        <v>513.79</v>
      </c>
      <c r="U142" s="2"/>
      <c r="V142" s="19">
        <f t="shared" si="39"/>
        <v>2.84209979621189E-5</v>
      </c>
      <c r="W142" s="2"/>
      <c r="X142" s="2">
        <f t="shared" si="40"/>
        <v>-423.38</v>
      </c>
      <c r="Y142" s="2"/>
      <c r="Z142" s="19">
        <f t="shared" si="41"/>
        <v>-0.82403316530099846</v>
      </c>
    </row>
    <row r="143" spans="1:26" s="24" customFormat="1" hidden="1" outlineLevel="1" x14ac:dyDescent="0.25">
      <c r="A143" s="44"/>
      <c r="B143" s="11" t="str">
        <f>CONCATENATE("          ", "5017", " - ", "PURCHASES @ COST-DORM/HOUSEWAR")</f>
        <v xml:space="preserve">          5017 - PURCHASES @ COST-DORM/HOUSEWAR</v>
      </c>
      <c r="C143" s="11"/>
      <c r="D143" s="2"/>
      <c r="E143" s="2"/>
      <c r="F143" s="19">
        <f t="shared" si="34"/>
        <v>0</v>
      </c>
      <c r="G143" s="2"/>
      <c r="H143" s="2"/>
      <c r="I143" s="2"/>
      <c r="J143" s="19">
        <f t="shared" si="35"/>
        <v>0</v>
      </c>
      <c r="K143" s="2"/>
      <c r="L143" s="2">
        <f t="shared" si="36"/>
        <v>0</v>
      </c>
      <c r="M143" s="2"/>
      <c r="N143" s="19">
        <f t="shared" si="37"/>
        <v>0</v>
      </c>
      <c r="O143" s="11"/>
      <c r="P143" s="2"/>
      <c r="Q143" s="2"/>
      <c r="R143" s="19">
        <f t="shared" si="38"/>
        <v>0</v>
      </c>
      <c r="S143" s="2"/>
      <c r="T143" s="2">
        <v>0</v>
      </c>
      <c r="U143" s="2"/>
      <c r="V143" s="19">
        <f t="shared" si="39"/>
        <v>0</v>
      </c>
      <c r="W143" s="2"/>
      <c r="X143" s="2">
        <f t="shared" si="40"/>
        <v>0</v>
      </c>
      <c r="Y143" s="2"/>
      <c r="Z143" s="19">
        <f t="shared" si="41"/>
        <v>0</v>
      </c>
    </row>
    <row r="144" spans="1:26" s="24" customFormat="1" hidden="1" outlineLevel="1" x14ac:dyDescent="0.25">
      <c r="A144" s="44"/>
      <c r="B144" s="11" t="str">
        <f>CONCATENATE("          ", "5018", " - ", "PURCHASES @ COST-STUDY GUIDES")</f>
        <v xml:space="preserve">          5018 - PURCHASES @ COST-STUDY GUIDES</v>
      </c>
      <c r="C144" s="11"/>
      <c r="D144" s="2"/>
      <c r="E144" s="2"/>
      <c r="F144" s="19">
        <f t="shared" si="34"/>
        <v>0</v>
      </c>
      <c r="G144" s="2"/>
      <c r="H144" s="2">
        <v>196.31</v>
      </c>
      <c r="I144" s="2"/>
      <c r="J144" s="19">
        <f t="shared" si="35"/>
        <v>9.8975451562073954E-5</v>
      </c>
      <c r="K144" s="2"/>
      <c r="L144" s="2">
        <f t="shared" si="36"/>
        <v>-196.31</v>
      </c>
      <c r="M144" s="2"/>
      <c r="N144" s="19">
        <f t="shared" si="37"/>
        <v>-1</v>
      </c>
      <c r="O144" s="11"/>
      <c r="P144" s="2">
        <v>106.34</v>
      </c>
      <c r="Q144" s="2"/>
      <c r="R144" s="19">
        <f t="shared" si="38"/>
        <v>2.0676923228168743E-5</v>
      </c>
      <c r="S144" s="2"/>
      <c r="T144" s="2">
        <v>998.4</v>
      </c>
      <c r="U144" s="2"/>
      <c r="V144" s="19">
        <f t="shared" si="39"/>
        <v>5.5227864235153492E-5</v>
      </c>
      <c r="W144" s="2"/>
      <c r="X144" s="2">
        <f t="shared" si="40"/>
        <v>-892.06</v>
      </c>
      <c r="Y144" s="2"/>
      <c r="Z144" s="19">
        <f t="shared" si="41"/>
        <v>-0.89348958333333328</v>
      </c>
    </row>
    <row r="145" spans="1:26" s="24" customFormat="1" hidden="1" outlineLevel="1" x14ac:dyDescent="0.25">
      <c r="A145" s="44"/>
      <c r="B145" s="11" t="str">
        <f>CONCATENATE("          ", "5025", " - ", "PURCHASES @ COST-TEST FORMS")</f>
        <v xml:space="preserve">          5025 - PURCHASES @ COST-TEST FORMS</v>
      </c>
      <c r="C145" s="11"/>
      <c r="D145" s="2"/>
      <c r="E145" s="2"/>
      <c r="F145" s="19">
        <f t="shared" si="34"/>
        <v>0</v>
      </c>
      <c r="G145" s="2"/>
      <c r="H145" s="2">
        <v>0</v>
      </c>
      <c r="I145" s="2"/>
      <c r="J145" s="19">
        <f t="shared" si="35"/>
        <v>0</v>
      </c>
      <c r="K145" s="2"/>
      <c r="L145" s="2">
        <f t="shared" si="36"/>
        <v>0</v>
      </c>
      <c r="M145" s="2"/>
      <c r="N145" s="19">
        <f t="shared" si="37"/>
        <v>0</v>
      </c>
      <c r="O145" s="11"/>
      <c r="P145" s="2">
        <v>599.29</v>
      </c>
      <c r="Q145" s="2"/>
      <c r="R145" s="19">
        <f t="shared" si="38"/>
        <v>1.1652692609939106E-4</v>
      </c>
      <c r="S145" s="2"/>
      <c r="T145" s="2">
        <v>22098.390000000003</v>
      </c>
      <c r="U145" s="2"/>
      <c r="V145" s="19">
        <f t="shared" si="39"/>
        <v>1.2224027270988319E-3</v>
      </c>
      <c r="W145" s="2"/>
      <c r="X145" s="2">
        <f t="shared" si="40"/>
        <v>-21499.100000000002</v>
      </c>
      <c r="Y145" s="2"/>
      <c r="Z145" s="19">
        <f t="shared" si="41"/>
        <v>-0.97288082977990697</v>
      </c>
    </row>
    <row r="146" spans="1:26" s="24" customFormat="1" hidden="1" outlineLevel="1" x14ac:dyDescent="0.25">
      <c r="A146" s="44"/>
      <c r="B146" s="11" t="str">
        <f>CONCATENATE("          ", "5026", " - ", "PURCHASES @ COST-WRITING INSTR")</f>
        <v xml:space="preserve">          5026 - PURCHASES @ COST-WRITING INSTR</v>
      </c>
      <c r="C146" s="11"/>
      <c r="D146" s="2">
        <v>-5.1100000000000003</v>
      </c>
      <c r="E146" s="2"/>
      <c r="F146" s="19">
        <f t="shared" si="34"/>
        <v>-1.0567735784435891E-5</v>
      </c>
      <c r="G146" s="2"/>
      <c r="H146" s="2">
        <v>4344.2</v>
      </c>
      <c r="I146" s="2"/>
      <c r="J146" s="19">
        <f t="shared" si="35"/>
        <v>2.1902560067034874E-3</v>
      </c>
      <c r="K146" s="2"/>
      <c r="L146" s="2">
        <f t="shared" si="36"/>
        <v>-4349.3099999999995</v>
      </c>
      <c r="M146" s="2"/>
      <c r="N146" s="19">
        <f t="shared" si="37"/>
        <v>-1.0011762810183693</v>
      </c>
      <c r="O146" s="11"/>
      <c r="P146" s="2">
        <v>374.91</v>
      </c>
      <c r="Q146" s="2"/>
      <c r="R146" s="19">
        <f t="shared" si="38"/>
        <v>7.289811253970983E-5</v>
      </c>
      <c r="S146" s="2"/>
      <c r="T146" s="2">
        <v>34294.769999999997</v>
      </c>
      <c r="U146" s="2"/>
      <c r="V146" s="19">
        <f t="shared" si="39"/>
        <v>1.8970622010575067E-3</v>
      </c>
      <c r="W146" s="2"/>
      <c r="X146" s="2">
        <f t="shared" si="40"/>
        <v>-33919.859999999993</v>
      </c>
      <c r="Y146" s="2"/>
      <c r="Z146" s="19">
        <f t="shared" si="41"/>
        <v>-0.98906801241122178</v>
      </c>
    </row>
    <row r="147" spans="1:26" s="24" customFormat="1" hidden="1" outlineLevel="1" x14ac:dyDescent="0.25">
      <c r="A147" s="44"/>
      <c r="B147" s="11" t="str">
        <f>CONCATENATE("          ", "5027", " - ", "PURCHASES @ COST-SCHOOL SUPPLI")</f>
        <v xml:space="preserve">          5027 - PURCHASES @ COST-SCHOOL SUPPLI</v>
      </c>
      <c r="C147" s="11"/>
      <c r="D147" s="2"/>
      <c r="E147" s="2"/>
      <c r="F147" s="19">
        <f t="shared" si="34"/>
        <v>0</v>
      </c>
      <c r="G147" s="2"/>
      <c r="H147" s="2">
        <v>2493.64</v>
      </c>
      <c r="I147" s="2"/>
      <c r="J147" s="19">
        <f t="shared" si="35"/>
        <v>1.2572418370600076E-3</v>
      </c>
      <c r="K147" s="2"/>
      <c r="L147" s="2">
        <f t="shared" si="36"/>
        <v>-2493.64</v>
      </c>
      <c r="M147" s="2"/>
      <c r="N147" s="19">
        <f t="shared" si="37"/>
        <v>-1</v>
      </c>
      <c r="O147" s="11"/>
      <c r="P147" s="2">
        <v>19071.350000000002</v>
      </c>
      <c r="Q147" s="2"/>
      <c r="R147" s="19">
        <f t="shared" si="38"/>
        <v>3.7082644330217792E-3</v>
      </c>
      <c r="S147" s="2"/>
      <c r="T147" s="2">
        <v>78000</v>
      </c>
      <c r="U147" s="2"/>
      <c r="V147" s="19">
        <f t="shared" si="39"/>
        <v>4.3146768933713664E-3</v>
      </c>
      <c r="W147" s="2"/>
      <c r="X147" s="2">
        <f t="shared" si="40"/>
        <v>-58928.649999999994</v>
      </c>
      <c r="Y147" s="2"/>
      <c r="Z147" s="19">
        <f t="shared" si="41"/>
        <v>-0.75549551282051275</v>
      </c>
    </row>
    <row r="148" spans="1:26" s="24" customFormat="1" hidden="1" outlineLevel="1" x14ac:dyDescent="0.25">
      <c r="A148" s="44"/>
      <c r="B148" s="11" t="str">
        <f>CONCATENATE("          ", "5028", " - ", "PURCHASES @ COST-ART/TECH")</f>
        <v xml:space="preserve">          5028 - PURCHASES @ COST-ART/TECH</v>
      </c>
      <c r="C148" s="11"/>
      <c r="D148" s="2"/>
      <c r="E148" s="2"/>
      <c r="F148" s="19">
        <f t="shared" si="34"/>
        <v>0</v>
      </c>
      <c r="G148" s="2"/>
      <c r="H148" s="2">
        <v>7730.31</v>
      </c>
      <c r="I148" s="2"/>
      <c r="J148" s="19">
        <f t="shared" si="35"/>
        <v>3.8974628035495689E-3</v>
      </c>
      <c r="K148" s="2"/>
      <c r="L148" s="2">
        <f t="shared" si="36"/>
        <v>-7730.31</v>
      </c>
      <c r="M148" s="2"/>
      <c r="N148" s="19">
        <f t="shared" si="37"/>
        <v>-1</v>
      </c>
      <c r="O148" s="11"/>
      <c r="P148" s="2">
        <v>41358.449999999997</v>
      </c>
      <c r="Q148" s="2"/>
      <c r="R148" s="19">
        <f t="shared" si="38"/>
        <v>8.0418045466057499E-3</v>
      </c>
      <c r="S148" s="2"/>
      <c r="T148" s="2">
        <v>103000.81999999999</v>
      </c>
      <c r="U148" s="2"/>
      <c r="V148" s="19">
        <f t="shared" si="39"/>
        <v>5.6976315134910681E-3</v>
      </c>
      <c r="W148" s="2"/>
      <c r="X148" s="2">
        <f t="shared" si="40"/>
        <v>-61642.369999999995</v>
      </c>
      <c r="Y148" s="2"/>
      <c r="Z148" s="19">
        <f t="shared" si="41"/>
        <v>-0.59846484717306137</v>
      </c>
    </row>
    <row r="149" spans="1:26" s="24" customFormat="1" hidden="1" outlineLevel="1" x14ac:dyDescent="0.25">
      <c r="A149" s="44"/>
      <c r="B149" s="11" t="str">
        <f>CONCATENATE("          ", "5031", " - ", "PURCHASES @ COST-FOOD")</f>
        <v xml:space="preserve">          5031 - PURCHASES @ COST-FOOD</v>
      </c>
      <c r="C149" s="11"/>
      <c r="D149" s="2">
        <v>-1260</v>
      </c>
      <c r="E149" s="2"/>
      <c r="F149" s="19">
        <f t="shared" si="34"/>
        <v>-2.6057430701348773E-3</v>
      </c>
      <c r="G149" s="2"/>
      <c r="H149" s="2">
        <v>1695.24</v>
      </c>
      <c r="I149" s="2"/>
      <c r="J149" s="19">
        <f t="shared" si="35"/>
        <v>8.5470503034022847E-4</v>
      </c>
      <c r="K149" s="2"/>
      <c r="L149" s="2">
        <f t="shared" si="36"/>
        <v>-2955.24</v>
      </c>
      <c r="M149" s="2"/>
      <c r="N149" s="19">
        <f t="shared" si="37"/>
        <v>-1.7432575918454023</v>
      </c>
      <c r="O149" s="11"/>
      <c r="P149" s="2">
        <v>7275.1</v>
      </c>
      <c r="Q149" s="2"/>
      <c r="R149" s="19">
        <f t="shared" si="38"/>
        <v>1.4145823225244539E-3</v>
      </c>
      <c r="S149" s="2"/>
      <c r="T149" s="2">
        <v>22509.73</v>
      </c>
      <c r="U149" s="2"/>
      <c r="V149" s="19">
        <f t="shared" si="39"/>
        <v>1.2451565629106186E-3</v>
      </c>
      <c r="W149" s="2"/>
      <c r="X149" s="2">
        <f t="shared" si="40"/>
        <v>-15234.63</v>
      </c>
      <c r="Y149" s="2"/>
      <c r="Z149" s="19">
        <f t="shared" si="41"/>
        <v>-0.67680198740722342</v>
      </c>
    </row>
    <row r="150" spans="1:26" s="24" customFormat="1" hidden="1" outlineLevel="1" x14ac:dyDescent="0.25">
      <c r="A150" s="44"/>
      <c r="B150" s="11" t="str">
        <f>CONCATENATE("          ", "5032", " - ", "PURCHASES @ COST-JUICE")</f>
        <v xml:space="preserve">          5032 - PURCHASES @ COST-JUICE</v>
      </c>
      <c r="C150" s="11"/>
      <c r="D150" s="2"/>
      <c r="E150" s="2"/>
      <c r="F150" s="19">
        <f t="shared" si="34"/>
        <v>0</v>
      </c>
      <c r="G150" s="2"/>
      <c r="H150" s="2">
        <v>358.99</v>
      </c>
      <c r="I150" s="2"/>
      <c r="J150" s="19">
        <f t="shared" si="35"/>
        <v>1.8099535100743176E-4</v>
      </c>
      <c r="K150" s="2"/>
      <c r="L150" s="2">
        <f t="shared" si="36"/>
        <v>-358.99</v>
      </c>
      <c r="M150" s="2"/>
      <c r="N150" s="19">
        <f t="shared" si="37"/>
        <v>-1</v>
      </c>
      <c r="O150" s="11"/>
      <c r="P150" s="2"/>
      <c r="Q150" s="2"/>
      <c r="R150" s="19">
        <f t="shared" si="38"/>
        <v>0</v>
      </c>
      <c r="S150" s="2"/>
      <c r="T150" s="2">
        <v>5021.4799999999996</v>
      </c>
      <c r="U150" s="2"/>
      <c r="V150" s="19">
        <f t="shared" si="39"/>
        <v>2.777700477759801E-4</v>
      </c>
      <c r="W150" s="2"/>
      <c r="X150" s="2">
        <f t="shared" si="40"/>
        <v>-5021.4799999999996</v>
      </c>
      <c r="Y150" s="2"/>
      <c r="Z150" s="19">
        <f t="shared" si="41"/>
        <v>-1</v>
      </c>
    </row>
    <row r="151" spans="1:26" s="24" customFormat="1" hidden="1" outlineLevel="1" x14ac:dyDescent="0.25">
      <c r="A151" s="44"/>
      <c r="B151" s="11" t="str">
        <f>CONCATENATE("          ", "5033", " - ", "PURCHASES @ COST-CANDY")</f>
        <v xml:space="preserve">          5033 - PURCHASES @ COST-CANDY</v>
      </c>
      <c r="C151" s="11"/>
      <c r="D151" s="2"/>
      <c r="E151" s="2"/>
      <c r="F151" s="19">
        <f t="shared" si="34"/>
        <v>0</v>
      </c>
      <c r="G151" s="2"/>
      <c r="H151" s="2">
        <v>260.19</v>
      </c>
      <c r="I151" s="2"/>
      <c r="J151" s="19">
        <f t="shared" si="35"/>
        <v>1.3118242953459334E-4</v>
      </c>
      <c r="K151" s="2"/>
      <c r="L151" s="2">
        <f t="shared" si="36"/>
        <v>-260.19</v>
      </c>
      <c r="M151" s="2"/>
      <c r="N151" s="19">
        <f t="shared" si="37"/>
        <v>-1</v>
      </c>
      <c r="O151" s="11"/>
      <c r="P151" s="2"/>
      <c r="Q151" s="2"/>
      <c r="R151" s="19">
        <f t="shared" si="38"/>
        <v>0</v>
      </c>
      <c r="S151" s="2"/>
      <c r="T151" s="2">
        <v>6197.93</v>
      </c>
      <c r="U151" s="2"/>
      <c r="V151" s="19">
        <f t="shared" si="39"/>
        <v>3.4284699176581021E-4</v>
      </c>
      <c r="W151" s="2"/>
      <c r="X151" s="2">
        <f t="shared" si="40"/>
        <v>-6197.93</v>
      </c>
      <c r="Y151" s="2"/>
      <c r="Z151" s="19">
        <f t="shared" si="41"/>
        <v>-1</v>
      </c>
    </row>
    <row r="152" spans="1:26" s="24" customFormat="1" hidden="1" outlineLevel="1" x14ac:dyDescent="0.25">
      <c r="A152" s="44"/>
      <c r="B152" s="11" t="str">
        <f>CONCATENATE("          ", "5034", " - ", "PURCHASES @ COST-SODA")</f>
        <v xml:space="preserve">          5034 - PURCHASES @ COST-SODA</v>
      </c>
      <c r="C152" s="11"/>
      <c r="D152" s="2"/>
      <c r="E152" s="2"/>
      <c r="F152" s="19">
        <f t="shared" si="34"/>
        <v>0</v>
      </c>
      <c r="G152" s="2"/>
      <c r="H152" s="2">
        <v>42.24</v>
      </c>
      <c r="I152" s="2"/>
      <c r="J152" s="19">
        <f t="shared" si="35"/>
        <v>2.1296536467739817E-5</v>
      </c>
      <c r="K152" s="2"/>
      <c r="L152" s="2">
        <f t="shared" si="36"/>
        <v>-42.24</v>
      </c>
      <c r="M152" s="2"/>
      <c r="N152" s="19">
        <f t="shared" si="37"/>
        <v>-1</v>
      </c>
      <c r="O152" s="11"/>
      <c r="P152" s="2"/>
      <c r="Q152" s="2"/>
      <c r="R152" s="19">
        <f t="shared" si="38"/>
        <v>0</v>
      </c>
      <c r="S152" s="2"/>
      <c r="T152" s="2">
        <v>2124.16</v>
      </c>
      <c r="U152" s="2"/>
      <c r="V152" s="19">
        <f t="shared" si="39"/>
        <v>1.1750082140799643E-4</v>
      </c>
      <c r="W152" s="2"/>
      <c r="X152" s="2">
        <f t="shared" si="40"/>
        <v>-2124.16</v>
      </c>
      <c r="Y152" s="2"/>
      <c r="Z152" s="19">
        <f t="shared" si="41"/>
        <v>-1</v>
      </c>
    </row>
    <row r="153" spans="1:26" s="24" customFormat="1" hidden="1" outlineLevel="1" x14ac:dyDescent="0.25">
      <c r="A153" s="44"/>
      <c r="B153" s="11" t="str">
        <f>CONCATENATE("          ", "5035", " - ", "PURCHASES @ COST-HEALTH &amp; BEAU")</f>
        <v xml:space="preserve">          5035 - PURCHASES @ COST-HEALTH &amp; BEAU</v>
      </c>
      <c r="C153" s="11"/>
      <c r="D153" s="2"/>
      <c r="E153" s="2"/>
      <c r="F153" s="19">
        <f t="shared" si="34"/>
        <v>0</v>
      </c>
      <c r="G153" s="2"/>
      <c r="H153" s="2">
        <v>23.17</v>
      </c>
      <c r="I153" s="2"/>
      <c r="J153" s="19">
        <f t="shared" si="35"/>
        <v>1.1681835936494593E-5</v>
      </c>
      <c r="K153" s="2"/>
      <c r="L153" s="2">
        <f t="shared" si="36"/>
        <v>-23.17</v>
      </c>
      <c r="M153" s="2"/>
      <c r="N153" s="19">
        <f t="shared" si="37"/>
        <v>-1</v>
      </c>
      <c r="O153" s="11"/>
      <c r="P153" s="2"/>
      <c r="Q153" s="2"/>
      <c r="R153" s="19">
        <f t="shared" si="38"/>
        <v>0</v>
      </c>
      <c r="S153" s="2"/>
      <c r="T153" s="2">
        <v>824.38</v>
      </c>
      <c r="U153" s="2"/>
      <c r="V153" s="19">
        <f t="shared" si="39"/>
        <v>4.5601709453301119E-5</v>
      </c>
      <c r="W153" s="2"/>
      <c r="X153" s="2">
        <f t="shared" si="40"/>
        <v>-824.38</v>
      </c>
      <c r="Y153" s="2"/>
      <c r="Z153" s="19">
        <f t="shared" si="41"/>
        <v>-1</v>
      </c>
    </row>
    <row r="154" spans="1:26" s="24" customFormat="1" hidden="1" outlineLevel="1" x14ac:dyDescent="0.25">
      <c r="A154" s="44"/>
      <c r="B154" s="11" t="str">
        <f>CONCATENATE("          ", "5037", " - ", "PURCHASES @ COST-WATER")</f>
        <v xml:space="preserve">          5037 - PURCHASES @ COST-WATER</v>
      </c>
      <c r="C154" s="11"/>
      <c r="D154" s="2"/>
      <c r="E154" s="2"/>
      <c r="F154" s="19">
        <f t="shared" si="34"/>
        <v>0</v>
      </c>
      <c r="G154" s="2"/>
      <c r="H154" s="2">
        <v>235.9</v>
      </c>
      <c r="I154" s="2"/>
      <c r="J154" s="19">
        <f t="shared" si="35"/>
        <v>1.1893591270690869E-4</v>
      </c>
      <c r="K154" s="2"/>
      <c r="L154" s="2">
        <f t="shared" si="36"/>
        <v>-235.9</v>
      </c>
      <c r="M154" s="2"/>
      <c r="N154" s="19">
        <f t="shared" si="37"/>
        <v>-1</v>
      </c>
      <c r="O154" s="11"/>
      <c r="P154" s="2"/>
      <c r="Q154" s="2"/>
      <c r="R154" s="19">
        <f t="shared" si="38"/>
        <v>0</v>
      </c>
      <c r="S154" s="2"/>
      <c r="T154" s="2">
        <v>3759.27</v>
      </c>
      <c r="U154" s="2"/>
      <c r="V154" s="19">
        <f t="shared" si="39"/>
        <v>2.0794917185825869E-4</v>
      </c>
      <c r="W154" s="2"/>
      <c r="X154" s="2">
        <f t="shared" si="40"/>
        <v>-3759.27</v>
      </c>
      <c r="Y154" s="2"/>
      <c r="Z154" s="19">
        <f t="shared" si="41"/>
        <v>-1</v>
      </c>
    </row>
    <row r="155" spans="1:26" s="24" customFormat="1" hidden="1" outlineLevel="1" x14ac:dyDescent="0.25">
      <c r="A155" s="44"/>
      <c r="B155" s="11" t="str">
        <f>CONCATENATE("          ", "5040", " - ", "PURCHASES @ COST-LOGO CLOTHING")</f>
        <v xml:space="preserve">          5040 - PURCHASES @ COST-LOGO CLOTHING</v>
      </c>
      <c r="C155" s="11"/>
      <c r="D155" s="2">
        <v>38175.120000000003</v>
      </c>
      <c r="E155" s="2"/>
      <c r="F155" s="19">
        <f t="shared" si="34"/>
        <v>7.8948059040926472E-2</v>
      </c>
      <c r="G155" s="2"/>
      <c r="H155" s="2">
        <v>97946.53</v>
      </c>
      <c r="I155" s="2"/>
      <c r="J155" s="19">
        <f t="shared" si="35"/>
        <v>4.938261950837055E-2</v>
      </c>
      <c r="K155" s="2"/>
      <c r="L155" s="2">
        <f t="shared" si="36"/>
        <v>-59771.409999999996</v>
      </c>
      <c r="M155" s="2"/>
      <c r="N155" s="19">
        <f t="shared" si="37"/>
        <v>-0.61024530424916534</v>
      </c>
      <c r="O155" s="11"/>
      <c r="P155" s="2">
        <v>132470.39999999999</v>
      </c>
      <c r="Q155" s="2"/>
      <c r="R155" s="19">
        <f t="shared" si="38"/>
        <v>2.5757760868956221E-2</v>
      </c>
      <c r="S155" s="2"/>
      <c r="T155" s="2">
        <v>716238.84000000008</v>
      </c>
      <c r="U155" s="2"/>
      <c r="V155" s="19">
        <f t="shared" si="39"/>
        <v>3.9619732988245018E-2</v>
      </c>
      <c r="W155" s="2"/>
      <c r="X155" s="2">
        <f t="shared" si="40"/>
        <v>-583768.44000000006</v>
      </c>
      <c r="Y155" s="2"/>
      <c r="Z155" s="19">
        <f t="shared" si="41"/>
        <v>-0.81504717057790388</v>
      </c>
    </row>
    <row r="156" spans="1:26" s="24" customFormat="1" hidden="1" outlineLevel="1" x14ac:dyDescent="0.25">
      <c r="A156" s="44"/>
      <c r="B156" s="11" t="str">
        <f>CONCATENATE("          ", "5041", " - ", "PURCHASES @ COST-LOGO GIFTS")</f>
        <v xml:space="preserve">          5041 - PURCHASES @ COST-LOGO GIFTS</v>
      </c>
      <c r="C156" s="11"/>
      <c r="D156" s="2">
        <v>5559.99</v>
      </c>
      <c r="E156" s="2"/>
      <c r="F156" s="19">
        <f t="shared" si="34"/>
        <v>1.1498337628983503E-2</v>
      </c>
      <c r="G156" s="2"/>
      <c r="H156" s="2">
        <v>20607.12</v>
      </c>
      <c r="I156" s="2"/>
      <c r="J156" s="19">
        <f t="shared" si="35"/>
        <v>1.0389684720054226E-2</v>
      </c>
      <c r="K156" s="2"/>
      <c r="L156" s="2">
        <f t="shared" si="36"/>
        <v>-15047.13</v>
      </c>
      <c r="M156" s="2"/>
      <c r="N156" s="19">
        <f t="shared" si="37"/>
        <v>-0.73019082724805795</v>
      </c>
      <c r="O156" s="11"/>
      <c r="P156" s="2">
        <v>32201.759999999998</v>
      </c>
      <c r="Q156" s="2"/>
      <c r="R156" s="19">
        <f t="shared" si="38"/>
        <v>6.2613627922880862E-3</v>
      </c>
      <c r="S156" s="2"/>
      <c r="T156" s="2">
        <v>109403.67</v>
      </c>
      <c r="U156" s="2"/>
      <c r="V156" s="19">
        <f t="shared" si="39"/>
        <v>6.0518139358849508E-3</v>
      </c>
      <c r="W156" s="2"/>
      <c r="X156" s="2">
        <f t="shared" si="40"/>
        <v>-77201.91</v>
      </c>
      <c r="Y156" s="2"/>
      <c r="Z156" s="19">
        <f t="shared" si="41"/>
        <v>-0.70566106237569548</v>
      </c>
    </row>
    <row r="157" spans="1:26" s="24" customFormat="1" hidden="1" outlineLevel="1" x14ac:dyDescent="0.25">
      <c r="A157" s="44"/>
      <c r="B157" s="11" t="str">
        <f>CONCATENATE("          ", "5042", " - ", "PURCHASES @ COST-EVERYDAY GIFT")</f>
        <v xml:space="preserve">          5042 - PURCHASES @ COST-EVERYDAY GIFT</v>
      </c>
      <c r="C157" s="11"/>
      <c r="D157" s="2">
        <v>148.6</v>
      </c>
      <c r="E157" s="2"/>
      <c r="F157" s="19">
        <f t="shared" si="34"/>
        <v>3.0731223827146247E-4</v>
      </c>
      <c r="G157" s="2"/>
      <c r="H157" s="2">
        <v>7822.79</v>
      </c>
      <c r="I157" s="2"/>
      <c r="J157" s="19">
        <f t="shared" si="35"/>
        <v>3.9440893114221203E-3</v>
      </c>
      <c r="K157" s="2"/>
      <c r="L157" s="2">
        <f t="shared" si="36"/>
        <v>-7674.19</v>
      </c>
      <c r="M157" s="2"/>
      <c r="N157" s="19">
        <f t="shared" si="37"/>
        <v>-0.9810042197221196</v>
      </c>
      <c r="O157" s="11"/>
      <c r="P157" s="2">
        <v>11061.28</v>
      </c>
      <c r="Q157" s="2"/>
      <c r="R157" s="19">
        <f t="shared" si="38"/>
        <v>2.1507733436644571E-3</v>
      </c>
      <c r="S157" s="2"/>
      <c r="T157" s="2">
        <v>88388.11</v>
      </c>
      <c r="U157" s="2"/>
      <c r="V157" s="19">
        <f t="shared" si="39"/>
        <v>4.8893094341764948E-3</v>
      </c>
      <c r="W157" s="2"/>
      <c r="X157" s="2">
        <f t="shared" si="40"/>
        <v>-77326.83</v>
      </c>
      <c r="Y157" s="2"/>
      <c r="Z157" s="19">
        <f t="shared" si="41"/>
        <v>-0.87485556598053749</v>
      </c>
    </row>
    <row r="158" spans="1:26" s="24" customFormat="1" hidden="1" outlineLevel="1" x14ac:dyDescent="0.25">
      <c r="A158" s="44"/>
      <c r="B158" s="11" t="str">
        <f>CONCATENATE("          ", "5043", " - ", "PURCHASES @ COST-CARDS")</f>
        <v xml:space="preserve">          5043 - PURCHASES @ COST-CARDS</v>
      </c>
      <c r="C158" s="11"/>
      <c r="D158" s="2">
        <v>2448</v>
      </c>
      <c r="E158" s="2"/>
      <c r="F158" s="19">
        <f t="shared" si="34"/>
        <v>5.0625865362620469E-3</v>
      </c>
      <c r="G158" s="2"/>
      <c r="H158" s="2">
        <v>3256.15</v>
      </c>
      <c r="I158" s="2"/>
      <c r="J158" s="19">
        <f t="shared" si="35"/>
        <v>1.6416836462933477E-3</v>
      </c>
      <c r="K158" s="2"/>
      <c r="L158" s="2">
        <f t="shared" si="36"/>
        <v>-808.15000000000009</v>
      </c>
      <c r="M158" s="2"/>
      <c r="N158" s="19">
        <f t="shared" si="37"/>
        <v>-0.24819188305207071</v>
      </c>
      <c r="O158" s="11"/>
      <c r="P158" s="2">
        <v>46621.23</v>
      </c>
      <c r="Q158" s="2"/>
      <c r="R158" s="19">
        <f t="shared" si="38"/>
        <v>9.0651080826857008E-3</v>
      </c>
      <c r="S158" s="2"/>
      <c r="T158" s="2">
        <v>6784.89</v>
      </c>
      <c r="U158" s="2"/>
      <c r="V158" s="19">
        <f t="shared" si="39"/>
        <v>3.75315488552134E-4</v>
      </c>
      <c r="W158" s="2"/>
      <c r="X158" s="2">
        <f t="shared" si="40"/>
        <v>39836.340000000004</v>
      </c>
      <c r="Y158" s="2"/>
      <c r="Z158" s="19">
        <f t="shared" si="41"/>
        <v>5.8713317386133017</v>
      </c>
    </row>
    <row r="159" spans="1:26" s="24" customFormat="1" hidden="1" outlineLevel="1" x14ac:dyDescent="0.25">
      <c r="A159" s="44"/>
      <c r="B159" s="11" t="str">
        <f>CONCATENATE("          ", "5044", " - ", "PURCHASES @ COST-ACCESSORIES")</f>
        <v xml:space="preserve">          5044 - PURCHASES @ COST-ACCESSORIES</v>
      </c>
      <c r="C159" s="11"/>
      <c r="D159" s="2"/>
      <c r="E159" s="2"/>
      <c r="F159" s="19">
        <f t="shared" si="34"/>
        <v>0</v>
      </c>
      <c r="G159" s="2"/>
      <c r="H159" s="2">
        <v>432</v>
      </c>
      <c r="I159" s="2"/>
      <c r="J159" s="19">
        <f t="shared" si="35"/>
        <v>2.178054866018845E-4</v>
      </c>
      <c r="K159" s="2"/>
      <c r="L159" s="2">
        <f t="shared" si="36"/>
        <v>-432</v>
      </c>
      <c r="M159" s="2"/>
      <c r="N159" s="19">
        <f t="shared" si="37"/>
        <v>-1</v>
      </c>
      <c r="O159" s="11"/>
      <c r="P159" s="2">
        <v>282.33</v>
      </c>
      <c r="Q159" s="2"/>
      <c r="R159" s="19">
        <f t="shared" si="38"/>
        <v>5.4896706178379544E-5</v>
      </c>
      <c r="S159" s="2"/>
      <c r="T159" s="2">
        <v>17687.580000000002</v>
      </c>
      <c r="U159" s="2"/>
      <c r="V159" s="19">
        <f t="shared" si="39"/>
        <v>9.7841272725201957E-4</v>
      </c>
      <c r="W159" s="2"/>
      <c r="X159" s="2">
        <f t="shared" si="40"/>
        <v>-17405.25</v>
      </c>
      <c r="Y159" s="2"/>
      <c r="Z159" s="19">
        <f t="shared" si="41"/>
        <v>-0.9840379520544924</v>
      </c>
    </row>
    <row r="160" spans="1:26" s="24" customFormat="1" hidden="1" outlineLevel="1" x14ac:dyDescent="0.25">
      <c r="A160" s="44"/>
      <c r="B160" s="11" t="str">
        <f>CONCATENATE("          ", "5045", " - ", "PURCHASES @ COST-SPECIAL ORDER")</f>
        <v xml:space="preserve">          5045 - PURCHASES @ COST-SPECIAL ORDER</v>
      </c>
      <c r="C160" s="11"/>
      <c r="D160" s="2">
        <v>10676.48</v>
      </c>
      <c r="E160" s="2"/>
      <c r="F160" s="19">
        <f t="shared" si="34"/>
        <v>2.2079495058280645E-2</v>
      </c>
      <c r="G160" s="2"/>
      <c r="H160" s="2">
        <v>-1045.9100000000001</v>
      </c>
      <c r="I160" s="2"/>
      <c r="J160" s="19">
        <f t="shared" si="35"/>
        <v>-5.2732624187911347E-4</v>
      </c>
      <c r="K160" s="2"/>
      <c r="L160" s="2">
        <f t="shared" si="36"/>
        <v>11722.39</v>
      </c>
      <c r="M160" s="2"/>
      <c r="N160" s="19">
        <f t="shared" si="37"/>
        <v>-11.207838150510081</v>
      </c>
      <c r="O160" s="11"/>
      <c r="P160" s="2">
        <v>87609</v>
      </c>
      <c r="Q160" s="2"/>
      <c r="R160" s="19">
        <f t="shared" si="38"/>
        <v>1.7034837004858337E-2</v>
      </c>
      <c r="S160" s="2"/>
      <c r="T160" s="2">
        <v>41180.579999999994</v>
      </c>
      <c r="U160" s="2"/>
      <c r="V160" s="19">
        <f t="shared" si="39"/>
        <v>2.277960217713218E-3</v>
      </c>
      <c r="W160" s="2"/>
      <c r="X160" s="2">
        <f t="shared" si="40"/>
        <v>46428.420000000006</v>
      </c>
      <c r="Y160" s="2"/>
      <c r="Z160" s="19">
        <f t="shared" si="41"/>
        <v>1.1274348248616219</v>
      </c>
    </row>
    <row r="161" spans="1:26" s="24" customFormat="1" hidden="1" outlineLevel="1" x14ac:dyDescent="0.25">
      <c r="A161" s="44"/>
      <c r="B161" s="11" t="str">
        <f>CONCATENATE("          ", "5053", " - ", "PURCHASES @ COST-FOOD")</f>
        <v xml:space="preserve">          5053 - PURCHASES @ COST-FOOD</v>
      </c>
      <c r="C161" s="11"/>
      <c r="D161" s="2">
        <v>34840.239999999998</v>
      </c>
      <c r="E161" s="2"/>
      <c r="F161" s="19">
        <f t="shared" si="34"/>
        <v>7.2051360271298368E-2</v>
      </c>
      <c r="G161" s="2"/>
      <c r="H161" s="2">
        <v>395743.47</v>
      </c>
      <c r="I161" s="2"/>
      <c r="J161" s="19">
        <f t="shared" si="35"/>
        <v>0.19952569225200989</v>
      </c>
      <c r="K161" s="2"/>
      <c r="L161" s="2">
        <f t="shared" si="36"/>
        <v>-360903.23</v>
      </c>
      <c r="M161" s="2"/>
      <c r="N161" s="19">
        <f t="shared" si="37"/>
        <v>-0.91196256504245032</v>
      </c>
      <c r="O161" s="11"/>
      <c r="P161" s="2">
        <v>267072.71000000002</v>
      </c>
      <c r="Q161" s="2"/>
      <c r="R161" s="19">
        <f t="shared" si="38"/>
        <v>5.193005379921925E-2</v>
      </c>
      <c r="S161" s="2"/>
      <c r="T161" s="2">
        <v>3290472.85</v>
      </c>
      <c r="U161" s="2"/>
      <c r="V161" s="19">
        <f t="shared" si="39"/>
        <v>0.18201701505334394</v>
      </c>
      <c r="W161" s="2"/>
      <c r="X161" s="2">
        <f t="shared" si="40"/>
        <v>-3023400.14</v>
      </c>
      <c r="Y161" s="2"/>
      <c r="Z161" s="19">
        <f t="shared" si="41"/>
        <v>-0.91883454987328039</v>
      </c>
    </row>
    <row r="162" spans="1:26" s="24" customFormat="1" hidden="1" outlineLevel="1" x14ac:dyDescent="0.25">
      <c r="A162" s="44"/>
      <c r="B162" s="11" t="str">
        <f>CONCATENATE("          ", "5059", " - ", "PURCHASES @ COST-FOOD")</f>
        <v xml:space="preserve">          5059 - PURCHASES @ COST-FOOD</v>
      </c>
      <c r="C162" s="11"/>
      <c r="D162" s="2">
        <v>4259</v>
      </c>
      <c r="E162" s="2"/>
      <c r="F162" s="19">
        <f t="shared" si="34"/>
        <v>8.8078251870670164E-3</v>
      </c>
      <c r="G162" s="2"/>
      <c r="H162" s="2">
        <v>33635.49</v>
      </c>
      <c r="I162" s="2"/>
      <c r="J162" s="19">
        <f t="shared" si="35"/>
        <v>1.6958320061441712E-2</v>
      </c>
      <c r="K162" s="2"/>
      <c r="L162" s="2">
        <f t="shared" si="36"/>
        <v>-29376.489999999998</v>
      </c>
      <c r="M162" s="2"/>
      <c r="N162" s="19">
        <f t="shared" si="37"/>
        <v>-0.8733777923259034</v>
      </c>
      <c r="O162" s="11"/>
      <c r="P162" s="2">
        <v>11778.29</v>
      </c>
      <c r="Q162" s="2"/>
      <c r="R162" s="19">
        <f t="shared" si="38"/>
        <v>2.290189938772876E-3</v>
      </c>
      <c r="S162" s="2"/>
      <c r="T162" s="2">
        <v>-36144.67</v>
      </c>
      <c r="U162" s="2"/>
      <c r="V162" s="19">
        <f t="shared" si="39"/>
        <v>-1.9993919547119645E-3</v>
      </c>
      <c r="W162" s="2"/>
      <c r="X162" s="2">
        <f t="shared" si="40"/>
        <v>47922.96</v>
      </c>
      <c r="Y162" s="2"/>
      <c r="Z162" s="19">
        <f t="shared" si="41"/>
        <v>-1.325865196721951</v>
      </c>
    </row>
    <row r="163" spans="1:26" s="24" customFormat="1" hidden="1" outlineLevel="1" x14ac:dyDescent="0.25">
      <c r="A163" s="44"/>
      <c r="B163" s="11" t="str">
        <f>CONCATENATE("          ", "5081", " - ", "PURCHASES @ COST-ELECTRONICS")</f>
        <v xml:space="preserve">          5081 - PURCHASES @ COST-ELECTRONICS</v>
      </c>
      <c r="C163" s="11"/>
      <c r="D163" s="2">
        <v>945.44</v>
      </c>
      <c r="E163" s="2"/>
      <c r="F163" s="19">
        <f t="shared" si="34"/>
        <v>1.9552172446256496E-3</v>
      </c>
      <c r="G163" s="2"/>
      <c r="H163" s="2">
        <v>3128.44</v>
      </c>
      <c r="I163" s="2"/>
      <c r="J163" s="19">
        <f t="shared" si="35"/>
        <v>1.5772948993166655E-3</v>
      </c>
      <c r="K163" s="2"/>
      <c r="L163" s="2">
        <f t="shared" si="36"/>
        <v>-2183</v>
      </c>
      <c r="M163" s="2"/>
      <c r="N163" s="19">
        <f t="shared" si="37"/>
        <v>-0.69779187070872384</v>
      </c>
      <c r="O163" s="11"/>
      <c r="P163" s="2">
        <v>25260.510000000002</v>
      </c>
      <c r="Q163" s="2"/>
      <c r="R163" s="19">
        <f t="shared" si="38"/>
        <v>4.9116948088620358E-3</v>
      </c>
      <c r="S163" s="2"/>
      <c r="T163" s="2">
        <v>189180.98</v>
      </c>
      <c r="U163" s="2"/>
      <c r="V163" s="19">
        <f t="shared" si="39"/>
        <v>1.0464805167581418E-2</v>
      </c>
      <c r="W163" s="2"/>
      <c r="X163" s="2">
        <f t="shared" si="40"/>
        <v>-163920.47</v>
      </c>
      <c r="Y163" s="2"/>
      <c r="Z163" s="19">
        <f t="shared" si="41"/>
        <v>-0.8664743675606289</v>
      </c>
    </row>
    <row r="164" spans="1:26" s="24" customFormat="1" hidden="1" outlineLevel="1" x14ac:dyDescent="0.25">
      <c r="A164" s="44"/>
      <c r="B164" s="11" t="str">
        <f>CONCATENATE("          ", "5082", " - ", "PURCHASES @ COST-COMPUTER HARD")</f>
        <v xml:space="preserve">          5082 - PURCHASES @ COST-COMPUTER HARD</v>
      </c>
      <c r="C164" s="11"/>
      <c r="D164" s="2">
        <v>20916.710000000003</v>
      </c>
      <c r="E164" s="2"/>
      <c r="F164" s="19">
        <f t="shared" si="34"/>
        <v>4.3256803279778488E-2</v>
      </c>
      <c r="G164" s="2"/>
      <c r="H164" s="2">
        <v>49932.72</v>
      </c>
      <c r="I164" s="2"/>
      <c r="J164" s="19">
        <f t="shared" si="35"/>
        <v>2.517504716887882E-2</v>
      </c>
      <c r="K164" s="2"/>
      <c r="L164" s="2">
        <f t="shared" si="36"/>
        <v>-29016.01</v>
      </c>
      <c r="M164" s="2"/>
      <c r="N164" s="19">
        <f t="shared" si="37"/>
        <v>-0.58110213102751063</v>
      </c>
      <c r="O164" s="11"/>
      <c r="P164" s="2">
        <v>980936.82000000007</v>
      </c>
      <c r="Q164" s="2"/>
      <c r="R164" s="19">
        <f t="shared" si="38"/>
        <v>0.19073495691954093</v>
      </c>
      <c r="S164" s="2"/>
      <c r="T164" s="2">
        <v>1008527.58</v>
      </c>
      <c r="U164" s="2"/>
      <c r="V164" s="19">
        <f t="shared" si="39"/>
        <v>5.5788085201971052E-2</v>
      </c>
      <c r="W164" s="2"/>
      <c r="X164" s="2">
        <f t="shared" si="40"/>
        <v>-27590.759999999893</v>
      </c>
      <c r="Y164" s="2"/>
      <c r="Z164" s="19">
        <f t="shared" si="41"/>
        <v>-2.7357467011462289E-2</v>
      </c>
    </row>
    <row r="165" spans="1:26" s="24" customFormat="1" hidden="1" outlineLevel="1" x14ac:dyDescent="0.25">
      <c r="A165" s="44"/>
      <c r="B165" s="11" t="str">
        <f>CONCATENATE("          ", "5083", " - ", "PURCHASES @ COST-COMPUTER EQUI")</f>
        <v xml:space="preserve">          5083 - PURCHASES @ COST-COMPUTER EQUI</v>
      </c>
      <c r="C165" s="11"/>
      <c r="D165" s="2">
        <v>5833.72</v>
      </c>
      <c r="E165" s="2"/>
      <c r="F165" s="19">
        <f t="shared" si="34"/>
        <v>1.2064424970720028E-2</v>
      </c>
      <c r="G165" s="2"/>
      <c r="H165" s="2">
        <v>5662.46</v>
      </c>
      <c r="I165" s="2"/>
      <c r="J165" s="19">
        <f t="shared" si="35"/>
        <v>2.8548954992215435E-3</v>
      </c>
      <c r="K165" s="2"/>
      <c r="L165" s="2">
        <f t="shared" si="36"/>
        <v>171.26000000000022</v>
      </c>
      <c r="M165" s="2"/>
      <c r="N165" s="19">
        <f t="shared" si="37"/>
        <v>3.0244805261317557E-2</v>
      </c>
      <c r="O165" s="11"/>
      <c r="P165" s="2">
        <v>81726.840000000011</v>
      </c>
      <c r="Q165" s="2"/>
      <c r="R165" s="19">
        <f t="shared" si="38"/>
        <v>1.589110021027676E-2</v>
      </c>
      <c r="S165" s="2"/>
      <c r="T165" s="2">
        <v>54830.780000000006</v>
      </c>
      <c r="U165" s="2"/>
      <c r="V165" s="19">
        <f t="shared" si="39"/>
        <v>3.0330397373272934E-3</v>
      </c>
      <c r="W165" s="2"/>
      <c r="X165" s="2">
        <f t="shared" si="40"/>
        <v>26896.060000000005</v>
      </c>
      <c r="Y165" s="2"/>
      <c r="Z165" s="19">
        <f t="shared" si="41"/>
        <v>0.49052849512627766</v>
      </c>
    </row>
    <row r="166" spans="1:26" s="24" customFormat="1" hidden="1" outlineLevel="1" x14ac:dyDescent="0.25">
      <c r="A166" s="44"/>
      <c r="B166" s="11" t="str">
        <f>CONCATENATE("          ", "5084", " - ", "PURCHASES @ COST-SOFTWARE LICE")</f>
        <v xml:space="preserve">          5084 - PURCHASES @ COST-SOFTWARE LICE</v>
      </c>
      <c r="C166" s="11"/>
      <c r="D166" s="2"/>
      <c r="E166" s="2"/>
      <c r="F166" s="19">
        <f t="shared" si="34"/>
        <v>0</v>
      </c>
      <c r="G166" s="2"/>
      <c r="H166" s="2"/>
      <c r="I166" s="2"/>
      <c r="J166" s="19">
        <f t="shared" si="35"/>
        <v>0</v>
      </c>
      <c r="K166" s="2"/>
      <c r="L166" s="2">
        <f t="shared" si="36"/>
        <v>0</v>
      </c>
      <c r="M166" s="2"/>
      <c r="N166" s="19">
        <f t="shared" si="37"/>
        <v>0</v>
      </c>
      <c r="O166" s="11"/>
      <c r="P166" s="2"/>
      <c r="Q166" s="2"/>
      <c r="R166" s="19">
        <f t="shared" si="38"/>
        <v>0</v>
      </c>
      <c r="S166" s="2"/>
      <c r="T166" s="2">
        <v>2728</v>
      </c>
      <c r="U166" s="2"/>
      <c r="V166" s="19">
        <f t="shared" si="39"/>
        <v>1.5090305852714215E-4</v>
      </c>
      <c r="W166" s="2"/>
      <c r="X166" s="2">
        <f t="shared" si="40"/>
        <v>-2728</v>
      </c>
      <c r="Y166" s="2"/>
      <c r="Z166" s="19">
        <f t="shared" si="41"/>
        <v>-1</v>
      </c>
    </row>
    <row r="167" spans="1:26" s="24" customFormat="1" hidden="1" outlineLevel="1" x14ac:dyDescent="0.25">
      <c r="A167" s="44"/>
      <c r="B167" s="11" t="str">
        <f>CONCATENATE("          ", "5085", " - ", "PURCHASES @ COST-SOFTWARE")</f>
        <v xml:space="preserve">          5085 - PURCHASES @ COST-SOFTWARE</v>
      </c>
      <c r="C167" s="11"/>
      <c r="D167" s="2">
        <v>496.16</v>
      </c>
      <c r="E167" s="2"/>
      <c r="F167" s="19">
        <f t="shared" si="34"/>
        <v>1.026083715617556E-3</v>
      </c>
      <c r="G167" s="2"/>
      <c r="H167" s="2">
        <v>780.26</v>
      </c>
      <c r="I167" s="2"/>
      <c r="J167" s="19">
        <f t="shared" si="35"/>
        <v>3.9339099299996852E-4</v>
      </c>
      <c r="K167" s="2"/>
      <c r="L167" s="2">
        <f t="shared" si="36"/>
        <v>-284.09999999999997</v>
      </c>
      <c r="M167" s="2"/>
      <c r="N167" s="19">
        <f t="shared" si="37"/>
        <v>-0.36410939943095888</v>
      </c>
      <c r="O167" s="11"/>
      <c r="P167" s="2">
        <v>24572.080000000002</v>
      </c>
      <c r="Q167" s="2"/>
      <c r="R167" s="19">
        <f t="shared" si="38"/>
        <v>4.777835355618024E-3</v>
      </c>
      <c r="S167" s="2"/>
      <c r="T167" s="2">
        <v>7860.66</v>
      </c>
      <c r="U167" s="2"/>
      <c r="V167" s="19">
        <f t="shared" si="39"/>
        <v>4.3482318036728928E-4</v>
      </c>
      <c r="W167" s="2"/>
      <c r="X167" s="2">
        <f t="shared" si="40"/>
        <v>16711.420000000002</v>
      </c>
      <c r="Y167" s="2"/>
      <c r="Z167" s="19">
        <f t="shared" si="41"/>
        <v>2.1259563446326393</v>
      </c>
    </row>
    <row r="168" spans="1:26" s="24" customFormat="1" hidden="1" outlineLevel="1" x14ac:dyDescent="0.25">
      <c r="A168" s="44"/>
      <c r="B168" s="11" t="str">
        <f>CONCATENATE("          ", "5086", " - ", "PURCHASES @ COST-COMPUTER SUPP")</f>
        <v xml:space="preserve">          5086 - PURCHASES @ COST-COMPUTER SUPP</v>
      </c>
      <c r="C168" s="11"/>
      <c r="D168" s="2"/>
      <c r="E168" s="2"/>
      <c r="F168" s="19">
        <f t="shared" si="34"/>
        <v>0</v>
      </c>
      <c r="G168" s="2"/>
      <c r="H168" s="2">
        <v>1560.99</v>
      </c>
      <c r="I168" s="2"/>
      <c r="J168" s="19">
        <f t="shared" si="35"/>
        <v>7.8701895030249003E-4</v>
      </c>
      <c r="K168" s="2"/>
      <c r="L168" s="2">
        <f t="shared" si="36"/>
        <v>-1560.99</v>
      </c>
      <c r="M168" s="2"/>
      <c r="N168" s="19">
        <f t="shared" si="37"/>
        <v>-1</v>
      </c>
      <c r="O168" s="11"/>
      <c r="P168" s="2">
        <v>22718.609999999997</v>
      </c>
      <c r="Q168" s="2"/>
      <c r="R168" s="19">
        <f t="shared" si="38"/>
        <v>4.4174436225381478E-3</v>
      </c>
      <c r="S168" s="2"/>
      <c r="T168" s="2">
        <v>20983.64</v>
      </c>
      <c r="U168" s="2"/>
      <c r="V168" s="19">
        <f t="shared" si="39"/>
        <v>1.1607388031643993E-3</v>
      </c>
      <c r="W168" s="2"/>
      <c r="X168" s="2">
        <f t="shared" si="40"/>
        <v>1734.9699999999975</v>
      </c>
      <c r="Y168" s="2"/>
      <c r="Z168" s="19">
        <f t="shared" si="41"/>
        <v>8.2682032288010923E-2</v>
      </c>
    </row>
    <row r="169" spans="1:26" s="24" customFormat="1" hidden="1" outlineLevel="1" x14ac:dyDescent="0.25">
      <c r="A169" s="44"/>
      <c r="B169" s="11" t="str">
        <f>CONCATENATE("          ", "5088", " - ", "PURCHASES @ COST-MUSIC")</f>
        <v xml:space="preserve">          5088 - PURCHASES @ COST-MUSIC</v>
      </c>
      <c r="C169" s="11"/>
      <c r="D169" s="2"/>
      <c r="E169" s="2"/>
      <c r="F169" s="19">
        <f t="shared" si="34"/>
        <v>0</v>
      </c>
      <c r="G169" s="2"/>
      <c r="H169" s="2"/>
      <c r="I169" s="2"/>
      <c r="J169" s="19">
        <f t="shared" si="35"/>
        <v>0</v>
      </c>
      <c r="K169" s="2"/>
      <c r="L169" s="2">
        <f t="shared" si="36"/>
        <v>0</v>
      </c>
      <c r="M169" s="2"/>
      <c r="N169" s="19">
        <f t="shared" si="37"/>
        <v>0</v>
      </c>
      <c r="O169" s="11"/>
      <c r="P169" s="2"/>
      <c r="Q169" s="2"/>
      <c r="R169" s="19">
        <f t="shared" si="38"/>
        <v>0</v>
      </c>
      <c r="S169" s="2"/>
      <c r="T169" s="2">
        <v>88.75</v>
      </c>
      <c r="U169" s="2"/>
      <c r="V169" s="19">
        <f t="shared" si="39"/>
        <v>4.9093278754706252E-6</v>
      </c>
      <c r="W169" s="2"/>
      <c r="X169" s="2">
        <f t="shared" si="40"/>
        <v>-88.75</v>
      </c>
      <c r="Y169" s="2"/>
      <c r="Z169" s="19">
        <f t="shared" si="41"/>
        <v>-1</v>
      </c>
    </row>
    <row r="170" spans="1:26" s="24" customFormat="1" hidden="1" outlineLevel="1" x14ac:dyDescent="0.25">
      <c r="A170" s="44"/>
      <c r="B170" s="11" t="str">
        <f>CONCATENATE("          ", "5092", " - ", "PURCHASES @ COST-GRAD MERCH")</f>
        <v xml:space="preserve">          5092 - PURCHASES @ COST-GRAD MERCH</v>
      </c>
      <c r="C170" s="11"/>
      <c r="D170" s="2"/>
      <c r="E170" s="2"/>
      <c r="F170" s="19">
        <f t="shared" si="34"/>
        <v>0</v>
      </c>
      <c r="G170" s="2"/>
      <c r="H170" s="2"/>
      <c r="I170" s="2"/>
      <c r="J170" s="19">
        <f t="shared" si="35"/>
        <v>0</v>
      </c>
      <c r="K170" s="2"/>
      <c r="L170" s="2">
        <f t="shared" si="36"/>
        <v>0</v>
      </c>
      <c r="M170" s="2"/>
      <c r="N170" s="19">
        <f t="shared" si="37"/>
        <v>0</v>
      </c>
      <c r="O170" s="11"/>
      <c r="P170" s="2"/>
      <c r="Q170" s="2"/>
      <c r="R170" s="19">
        <f t="shared" si="38"/>
        <v>0</v>
      </c>
      <c r="S170" s="2"/>
      <c r="T170" s="2">
        <v>1924.14</v>
      </c>
      <c r="U170" s="2"/>
      <c r="V170" s="19">
        <f t="shared" si="39"/>
        <v>1.0643644099502028E-4</v>
      </c>
      <c r="W170" s="2"/>
      <c r="X170" s="2">
        <f t="shared" si="40"/>
        <v>-1924.14</v>
      </c>
      <c r="Y170" s="2"/>
      <c r="Z170" s="19">
        <f t="shared" si="41"/>
        <v>-1</v>
      </c>
    </row>
    <row r="171" spans="1:26" s="24" customFormat="1" hidden="1" outlineLevel="1" x14ac:dyDescent="0.25">
      <c r="A171" s="44"/>
      <c r="B171" s="11" t="str">
        <f>CONCATENATE("          ", "5095", " - ", "PURCHASES @ COST-CUSTOMER SERV")</f>
        <v xml:space="preserve">          5095 - PURCHASES @ COST-CUSTOMER SERV</v>
      </c>
      <c r="C171" s="11"/>
      <c r="D171" s="2"/>
      <c r="E171" s="2"/>
      <c r="F171" s="19">
        <f t="shared" si="34"/>
        <v>0</v>
      </c>
      <c r="G171" s="2"/>
      <c r="H171" s="2"/>
      <c r="I171" s="2"/>
      <c r="J171" s="19">
        <f t="shared" si="35"/>
        <v>0</v>
      </c>
      <c r="K171" s="2"/>
      <c r="L171" s="2">
        <f t="shared" si="36"/>
        <v>0</v>
      </c>
      <c r="M171" s="2"/>
      <c r="N171" s="19">
        <f t="shared" si="37"/>
        <v>0</v>
      </c>
      <c r="O171" s="11"/>
      <c r="P171" s="2"/>
      <c r="Q171" s="2"/>
      <c r="R171" s="19">
        <f t="shared" si="38"/>
        <v>0</v>
      </c>
      <c r="S171" s="2"/>
      <c r="T171" s="2">
        <v>0</v>
      </c>
      <c r="U171" s="2"/>
      <c r="V171" s="19">
        <f t="shared" si="39"/>
        <v>0</v>
      </c>
      <c r="W171" s="2"/>
      <c r="X171" s="2">
        <f t="shared" si="40"/>
        <v>0</v>
      </c>
      <c r="Y171" s="2"/>
      <c r="Z171" s="19">
        <f t="shared" si="41"/>
        <v>0</v>
      </c>
    </row>
    <row r="172" spans="1:26" s="24" customFormat="1" hidden="1" outlineLevel="1" x14ac:dyDescent="0.25">
      <c r="A172" s="44"/>
      <c r="B172" s="11" t="str">
        <f>CONCATENATE("          ", "5200", " - ", "PURCHASES OFFSET")</f>
        <v xml:space="preserve">          5200 - PURCHASES OFFSET</v>
      </c>
      <c r="C172" s="11"/>
      <c r="D172" s="2">
        <v>-200857.41</v>
      </c>
      <c r="E172" s="2"/>
      <c r="F172" s="19">
        <f t="shared" si="34"/>
        <v>-0.41538317793074586</v>
      </c>
      <c r="G172" s="2"/>
      <c r="H172" s="2">
        <v>-422519</v>
      </c>
      <c r="I172" s="2"/>
      <c r="J172" s="19">
        <f t="shared" si="35"/>
        <v>-0.21302536202208711</v>
      </c>
      <c r="K172" s="2"/>
      <c r="L172" s="2">
        <f t="shared" si="36"/>
        <v>221661.59</v>
      </c>
      <c r="M172" s="2"/>
      <c r="N172" s="19">
        <f t="shared" si="37"/>
        <v>-0.52461922422423601</v>
      </c>
      <c r="O172" s="11"/>
      <c r="P172" s="2">
        <v>-2876672.9699999997</v>
      </c>
      <c r="Q172" s="2"/>
      <c r="R172" s="19">
        <f t="shared" si="38"/>
        <v>-0.559344989216082</v>
      </c>
      <c r="S172" s="2"/>
      <c r="T172" s="2">
        <v>-4268163</v>
      </c>
      <c r="U172" s="2"/>
      <c r="V172" s="19">
        <f t="shared" si="39"/>
        <v>-0.23609928555439247</v>
      </c>
      <c r="W172" s="2"/>
      <c r="X172" s="2">
        <f t="shared" si="40"/>
        <v>1391490.0300000003</v>
      </c>
      <c r="Y172" s="2"/>
      <c r="Z172" s="19">
        <f t="shared" si="41"/>
        <v>-0.32601614090183534</v>
      </c>
    </row>
    <row r="173" spans="1:26" s="24" customFormat="1" hidden="1" outlineLevel="1" x14ac:dyDescent="0.25">
      <c r="A173" s="44"/>
      <c r="B173" s="11" t="str">
        <f>CONCATENATE("          ", "5300", " - ", "COG$ OFFSET")</f>
        <v xml:space="preserve">          5300 - COG$ OFFSET</v>
      </c>
      <c r="C173" s="11"/>
      <c r="D173" s="2">
        <v>208821</v>
      </c>
      <c r="E173" s="2"/>
      <c r="F173" s="19">
        <f t="shared" si="34"/>
        <v>0.43185228067351999</v>
      </c>
      <c r="G173" s="2"/>
      <c r="H173" s="2">
        <v>240738.46999999997</v>
      </c>
      <c r="I173" s="2"/>
      <c r="J173" s="19">
        <f t="shared" si="35"/>
        <v>0.12137536944940548</v>
      </c>
      <c r="K173" s="2"/>
      <c r="L173" s="2">
        <f t="shared" si="36"/>
        <v>-31917.469999999972</v>
      </c>
      <c r="M173" s="2"/>
      <c r="N173" s="19">
        <f t="shared" si="37"/>
        <v>-0.13258151054960171</v>
      </c>
      <c r="O173" s="11"/>
      <c r="P173" s="2">
        <v>2603154</v>
      </c>
      <c r="Q173" s="2"/>
      <c r="R173" s="19">
        <f t="shared" si="38"/>
        <v>0.50616151409723886</v>
      </c>
      <c r="S173" s="2"/>
      <c r="T173" s="2">
        <v>3920135.4699999997</v>
      </c>
      <c r="U173" s="2"/>
      <c r="V173" s="19">
        <f t="shared" si="39"/>
        <v>0.21684766578582693</v>
      </c>
      <c r="W173" s="2"/>
      <c r="X173" s="2">
        <f t="shared" si="40"/>
        <v>-1316981.4699999997</v>
      </c>
      <c r="Y173" s="2"/>
      <c r="Z173" s="19">
        <f t="shared" si="41"/>
        <v>-0.33595305062250819</v>
      </c>
    </row>
    <row r="174" spans="1:26" s="24" customFormat="1" hidden="1" outlineLevel="1" x14ac:dyDescent="0.25">
      <c r="A174" s="44"/>
      <c r="B174" s="11" t="str">
        <f>CONCATENATE("          ", "5500", " - ", "FREIGHT-IN")</f>
        <v xml:space="preserve">          5500 - FREIGHT-IN</v>
      </c>
      <c r="C174" s="11"/>
      <c r="D174" s="2"/>
      <c r="E174" s="2"/>
      <c r="F174" s="19">
        <f t="shared" si="34"/>
        <v>0</v>
      </c>
      <c r="G174" s="2"/>
      <c r="H174" s="2">
        <v>80</v>
      </c>
      <c r="I174" s="2"/>
      <c r="J174" s="19">
        <f t="shared" si="35"/>
        <v>4.033434937071935E-5</v>
      </c>
      <c r="K174" s="2"/>
      <c r="L174" s="2">
        <f t="shared" si="36"/>
        <v>-80</v>
      </c>
      <c r="M174" s="2"/>
      <c r="N174" s="19">
        <f t="shared" si="37"/>
        <v>-1</v>
      </c>
      <c r="O174" s="11"/>
      <c r="P174" s="2"/>
      <c r="Q174" s="2"/>
      <c r="R174" s="19">
        <f t="shared" si="38"/>
        <v>0</v>
      </c>
      <c r="S174" s="2"/>
      <c r="T174" s="2">
        <v>115.23</v>
      </c>
      <c r="U174" s="2"/>
      <c r="V174" s="19">
        <f t="shared" si="39"/>
        <v>6.3741053643997768E-6</v>
      </c>
      <c r="W174" s="2"/>
      <c r="X174" s="2">
        <f t="shared" si="40"/>
        <v>-115.23</v>
      </c>
      <c r="Y174" s="2"/>
      <c r="Z174" s="19">
        <f t="shared" si="41"/>
        <v>-1</v>
      </c>
    </row>
    <row r="175" spans="1:26" s="24" customFormat="1" hidden="1" outlineLevel="1" x14ac:dyDescent="0.25">
      <c r="A175" s="44"/>
      <c r="B175" s="11" t="str">
        <f>CONCATENATE("          ", "5501", " - ", "FREIGHT-IN-NEW TEXT")</f>
        <v xml:space="preserve">          5501 - FREIGHT-IN-NEW TEXT</v>
      </c>
      <c r="C175" s="11"/>
      <c r="D175" s="2">
        <v>2414.77</v>
      </c>
      <c r="E175" s="2"/>
      <c r="F175" s="19">
        <f t="shared" si="34"/>
        <v>4.9938652329123787E-3</v>
      </c>
      <c r="G175" s="2"/>
      <c r="H175" s="2">
        <v>4162.3900000000003</v>
      </c>
      <c r="I175" s="2"/>
      <c r="J175" s="19">
        <f t="shared" si="35"/>
        <v>2.0985911559648568E-3</v>
      </c>
      <c r="K175" s="2"/>
      <c r="L175" s="2">
        <f t="shared" si="36"/>
        <v>-1747.6200000000003</v>
      </c>
      <c r="M175" s="2"/>
      <c r="N175" s="19">
        <f t="shared" si="37"/>
        <v>-0.41985974404128401</v>
      </c>
      <c r="O175" s="11"/>
      <c r="P175" s="2">
        <v>37463.58</v>
      </c>
      <c r="Q175" s="2"/>
      <c r="R175" s="19">
        <f t="shared" si="38"/>
        <v>7.2844796644005831E-3</v>
      </c>
      <c r="S175" s="2"/>
      <c r="T175" s="2">
        <v>38669.939999999995</v>
      </c>
      <c r="U175" s="2"/>
      <c r="V175" s="19">
        <f t="shared" si="39"/>
        <v>2.1390807254622708E-3</v>
      </c>
      <c r="W175" s="2"/>
      <c r="X175" s="2">
        <f t="shared" si="40"/>
        <v>-1206.3599999999933</v>
      </c>
      <c r="Y175" s="2"/>
      <c r="Z175" s="19">
        <f t="shared" si="41"/>
        <v>-3.1196324587004619E-2</v>
      </c>
    </row>
    <row r="176" spans="1:26" s="24" customFormat="1" hidden="1" outlineLevel="1" x14ac:dyDescent="0.25">
      <c r="A176" s="44"/>
      <c r="B176" s="11" t="str">
        <f>CONCATENATE("          ", "5502", " - ", "FREIGHT-IN-USED TEXT")</f>
        <v xml:space="preserve">          5502 - FREIGHT-IN-USED TEXT</v>
      </c>
      <c r="C176" s="11"/>
      <c r="D176" s="2">
        <v>2389.48</v>
      </c>
      <c r="E176" s="2"/>
      <c r="F176" s="19">
        <f t="shared" si="34"/>
        <v>4.9415642470046718E-3</v>
      </c>
      <c r="G176" s="2"/>
      <c r="H176" s="2">
        <v>563.29999999999995</v>
      </c>
      <c r="I176" s="2"/>
      <c r="J176" s="19">
        <f t="shared" si="35"/>
        <v>2.8400423750657758E-4</v>
      </c>
      <c r="K176" s="2"/>
      <c r="L176" s="2">
        <f t="shared" si="36"/>
        <v>1826.18</v>
      </c>
      <c r="M176" s="2"/>
      <c r="N176" s="19">
        <f t="shared" si="37"/>
        <v>3.2419314752352215</v>
      </c>
      <c r="O176" s="11"/>
      <c r="P176" s="2">
        <v>13522.57</v>
      </c>
      <c r="Q176" s="2"/>
      <c r="R176" s="19">
        <f t="shared" si="38"/>
        <v>2.6293505899712038E-3</v>
      </c>
      <c r="S176" s="2"/>
      <c r="T176" s="2">
        <v>7653.42</v>
      </c>
      <c r="U176" s="2"/>
      <c r="V176" s="19">
        <f t="shared" si="39"/>
        <v>4.2335941575982413E-4</v>
      </c>
      <c r="W176" s="2"/>
      <c r="X176" s="2">
        <f t="shared" si="40"/>
        <v>5869.15</v>
      </c>
      <c r="Y176" s="2"/>
      <c r="Z176" s="19">
        <f t="shared" si="41"/>
        <v>0.76686631597377375</v>
      </c>
    </row>
    <row r="177" spans="1:26" s="24" customFormat="1" hidden="1" outlineLevel="1" x14ac:dyDescent="0.25">
      <c r="A177" s="44"/>
      <c r="B177" s="11" t="str">
        <f>CONCATENATE("          ", "5504", " - ", "FREIGHT-IN-DIGITAL TEXT")</f>
        <v xml:space="preserve">          5504 - FREIGHT-IN-DIGITAL TEXT</v>
      </c>
      <c r="C177" s="11"/>
      <c r="D177" s="2"/>
      <c r="E177" s="2"/>
      <c r="F177" s="19">
        <f t="shared" si="34"/>
        <v>0</v>
      </c>
      <c r="G177" s="2"/>
      <c r="H177" s="2"/>
      <c r="I177" s="2"/>
      <c r="J177" s="19">
        <f t="shared" si="35"/>
        <v>0</v>
      </c>
      <c r="K177" s="2"/>
      <c r="L177" s="2">
        <f t="shared" si="36"/>
        <v>0</v>
      </c>
      <c r="M177" s="2"/>
      <c r="N177" s="19">
        <f t="shared" si="37"/>
        <v>0</v>
      </c>
      <c r="O177" s="11"/>
      <c r="P177" s="2">
        <v>21.98</v>
      </c>
      <c r="Q177" s="2"/>
      <c r="R177" s="19">
        <f t="shared" si="38"/>
        <v>4.2738270881620176E-6</v>
      </c>
      <c r="S177" s="2"/>
      <c r="T177" s="2">
        <v>105.97</v>
      </c>
      <c r="U177" s="2"/>
      <c r="V177" s="19">
        <f t="shared" si="39"/>
        <v>5.8618757742379961E-6</v>
      </c>
      <c r="W177" s="2"/>
      <c r="X177" s="2">
        <f t="shared" si="40"/>
        <v>-83.99</v>
      </c>
      <c r="Y177" s="2"/>
      <c r="Z177" s="19">
        <f t="shared" si="41"/>
        <v>-0.79258280645465695</v>
      </c>
    </row>
    <row r="178" spans="1:26" s="24" customFormat="1" hidden="1" outlineLevel="1" x14ac:dyDescent="0.25">
      <c r="A178" s="44"/>
      <c r="B178" s="11" t="str">
        <f>CONCATENATE("          ", "5513", " - ", "FREIGHT-IN-TRADE BOOKS")</f>
        <v xml:space="preserve">          5513 - FREIGHT-IN-TRADE BOOKS</v>
      </c>
      <c r="C178" s="11"/>
      <c r="D178" s="2"/>
      <c r="E178" s="2"/>
      <c r="F178" s="19">
        <f t="shared" si="34"/>
        <v>0</v>
      </c>
      <c r="G178" s="2"/>
      <c r="H178" s="2">
        <v>9.08</v>
      </c>
      <c r="I178" s="2"/>
      <c r="J178" s="19">
        <f t="shared" si="35"/>
        <v>4.5779486535766465E-6</v>
      </c>
      <c r="K178" s="2"/>
      <c r="L178" s="2">
        <f t="shared" si="36"/>
        <v>-9.08</v>
      </c>
      <c r="M178" s="2"/>
      <c r="N178" s="19">
        <f t="shared" si="37"/>
        <v>-1</v>
      </c>
      <c r="O178" s="11"/>
      <c r="P178" s="2">
        <v>26.46</v>
      </c>
      <c r="Q178" s="2"/>
      <c r="R178" s="19">
        <f t="shared" si="38"/>
        <v>5.144925602946633E-6</v>
      </c>
      <c r="S178" s="2"/>
      <c r="T178" s="2">
        <v>21.41</v>
      </c>
      <c r="U178" s="2"/>
      <c r="V178" s="19">
        <f t="shared" si="39"/>
        <v>1.1843234908600124E-6</v>
      </c>
      <c r="W178" s="2"/>
      <c r="X178" s="2">
        <f t="shared" si="40"/>
        <v>5.0500000000000007</v>
      </c>
      <c r="Y178" s="2"/>
      <c r="Z178" s="19">
        <f t="shared" si="41"/>
        <v>0.23587108827650632</v>
      </c>
    </row>
    <row r="179" spans="1:26" s="24" customFormat="1" hidden="1" outlineLevel="1" x14ac:dyDescent="0.25">
      <c r="A179" s="44"/>
      <c r="B179" s="11" t="str">
        <f>CONCATENATE("          ", "5518", " - ", "FREIGHT-IN-STUDY GUIDES")</f>
        <v xml:space="preserve">          5518 - FREIGHT-IN-STUDY GUIDES</v>
      </c>
      <c r="C179" s="11"/>
      <c r="D179" s="2"/>
      <c r="E179" s="2"/>
      <c r="F179" s="19">
        <f t="shared" si="34"/>
        <v>0</v>
      </c>
      <c r="G179" s="2"/>
      <c r="H179" s="2">
        <v>8.8699999999999992</v>
      </c>
      <c r="I179" s="2"/>
      <c r="J179" s="19">
        <f t="shared" si="35"/>
        <v>4.4720709864785079E-6</v>
      </c>
      <c r="K179" s="2"/>
      <c r="L179" s="2">
        <f t="shared" si="36"/>
        <v>-8.8699999999999992</v>
      </c>
      <c r="M179" s="2"/>
      <c r="N179" s="19">
        <f t="shared" si="37"/>
        <v>-1</v>
      </c>
      <c r="O179" s="11"/>
      <c r="P179" s="2"/>
      <c r="Q179" s="2"/>
      <c r="R179" s="19">
        <f t="shared" si="38"/>
        <v>0</v>
      </c>
      <c r="S179" s="2"/>
      <c r="T179" s="2">
        <v>21.13</v>
      </c>
      <c r="U179" s="2"/>
      <c r="V179" s="19">
        <f t="shared" si="39"/>
        <v>1.1688349071402177E-6</v>
      </c>
      <c r="W179" s="2"/>
      <c r="X179" s="2">
        <f t="shared" si="40"/>
        <v>-21.13</v>
      </c>
      <c r="Y179" s="2"/>
      <c r="Z179" s="19">
        <f t="shared" si="41"/>
        <v>-1</v>
      </c>
    </row>
    <row r="180" spans="1:26" s="24" customFormat="1" hidden="1" outlineLevel="1" x14ac:dyDescent="0.25">
      <c r="A180" s="44"/>
      <c r="B180" s="11" t="str">
        <f>CONCATENATE("          ", "5525", " - ", "FREIGHT-IN-TEST FORMS")</f>
        <v xml:space="preserve">          5525 - FREIGHT-IN-TEST FORMS</v>
      </c>
      <c r="C180" s="11"/>
      <c r="D180" s="2"/>
      <c r="E180" s="2"/>
      <c r="F180" s="19">
        <f t="shared" si="34"/>
        <v>0</v>
      </c>
      <c r="G180" s="2"/>
      <c r="H180" s="2">
        <v>247.49</v>
      </c>
      <c r="I180" s="2"/>
      <c r="J180" s="19">
        <f t="shared" si="35"/>
        <v>1.2477935157199164E-4</v>
      </c>
      <c r="K180" s="2"/>
      <c r="L180" s="2">
        <f t="shared" si="36"/>
        <v>-247.49</v>
      </c>
      <c r="M180" s="2"/>
      <c r="N180" s="19">
        <f t="shared" si="37"/>
        <v>-1</v>
      </c>
      <c r="O180" s="11"/>
      <c r="P180" s="2">
        <v>48.14</v>
      </c>
      <c r="Q180" s="2"/>
      <c r="R180" s="19">
        <f t="shared" si="38"/>
        <v>9.3604202012793236E-6</v>
      </c>
      <c r="S180" s="2"/>
      <c r="T180" s="2">
        <v>622.41</v>
      </c>
      <c r="U180" s="2"/>
      <c r="V180" s="19">
        <f t="shared" si="39"/>
        <v>3.4429462117990669E-5</v>
      </c>
      <c r="W180" s="2"/>
      <c r="X180" s="2">
        <f t="shared" si="40"/>
        <v>-574.27</v>
      </c>
      <c r="Y180" s="2"/>
      <c r="Z180" s="19">
        <f t="shared" si="41"/>
        <v>-0.92265548432705136</v>
      </c>
    </row>
    <row r="181" spans="1:26" s="24" customFormat="1" hidden="1" outlineLevel="1" x14ac:dyDescent="0.25">
      <c r="A181" s="44"/>
      <c r="B181" s="11" t="str">
        <f>CONCATENATE("          ", "5526", " - ", "FREIGHT-IN-WRITING INSTRUMENTS")</f>
        <v xml:space="preserve">          5526 - FREIGHT-IN-WRITING INSTRUMENTS</v>
      </c>
      <c r="C181" s="11"/>
      <c r="D181" s="2"/>
      <c r="E181" s="2"/>
      <c r="F181" s="19">
        <f t="shared" si="34"/>
        <v>0</v>
      </c>
      <c r="G181" s="2"/>
      <c r="H181" s="2">
        <v>42.86</v>
      </c>
      <c r="I181" s="2"/>
      <c r="J181" s="19">
        <f t="shared" si="35"/>
        <v>2.1609127675362893E-5</v>
      </c>
      <c r="K181" s="2"/>
      <c r="L181" s="2">
        <f t="shared" si="36"/>
        <v>-42.86</v>
      </c>
      <c r="M181" s="2"/>
      <c r="N181" s="19">
        <f t="shared" si="37"/>
        <v>-1</v>
      </c>
      <c r="O181" s="11"/>
      <c r="P181" s="2"/>
      <c r="Q181" s="2"/>
      <c r="R181" s="19">
        <f t="shared" si="38"/>
        <v>0</v>
      </c>
      <c r="S181" s="2"/>
      <c r="T181" s="2">
        <v>260.35000000000002</v>
      </c>
      <c r="U181" s="2"/>
      <c r="V181" s="19">
        <f t="shared" si="39"/>
        <v>1.4401617040887633E-5</v>
      </c>
      <c r="W181" s="2"/>
      <c r="X181" s="2">
        <f t="shared" si="40"/>
        <v>-260.35000000000002</v>
      </c>
      <c r="Y181" s="2"/>
      <c r="Z181" s="19">
        <f t="shared" si="41"/>
        <v>-1</v>
      </c>
    </row>
    <row r="182" spans="1:26" s="24" customFormat="1" hidden="1" outlineLevel="1" x14ac:dyDescent="0.25">
      <c r="A182" s="44"/>
      <c r="B182" s="11" t="str">
        <f>CONCATENATE("          ", "5527", " - ", "FREIGHT-IN-SCHOOL SUPPLIES")</f>
        <v xml:space="preserve">          5527 - FREIGHT-IN-SCHOOL SUPPLIES</v>
      </c>
      <c r="C182" s="11"/>
      <c r="D182" s="2">
        <v>121.5</v>
      </c>
      <c r="E182" s="2"/>
      <c r="F182" s="19">
        <f t="shared" si="34"/>
        <v>2.51268081763006E-4</v>
      </c>
      <c r="G182" s="2"/>
      <c r="H182" s="2">
        <v>25.34</v>
      </c>
      <c r="I182" s="2"/>
      <c r="J182" s="19">
        <f t="shared" si="35"/>
        <v>1.2775905163175354E-5</v>
      </c>
      <c r="K182" s="2"/>
      <c r="L182" s="2">
        <f t="shared" si="36"/>
        <v>96.16</v>
      </c>
      <c r="M182" s="2"/>
      <c r="N182" s="19">
        <f t="shared" si="37"/>
        <v>3.7947908445146012</v>
      </c>
      <c r="O182" s="11"/>
      <c r="P182" s="2">
        <v>177.5</v>
      </c>
      <c r="Q182" s="2"/>
      <c r="R182" s="19">
        <f t="shared" si="38"/>
        <v>3.4513389815685082E-5</v>
      </c>
      <c r="S182" s="2"/>
      <c r="T182" s="2">
        <v>897.92</v>
      </c>
      <c r="U182" s="2"/>
      <c r="V182" s="19">
        <f t="shared" si="39"/>
        <v>4.9669675334564321E-5</v>
      </c>
      <c r="W182" s="2"/>
      <c r="X182" s="2">
        <f t="shared" si="40"/>
        <v>-720.42</v>
      </c>
      <c r="Y182" s="2"/>
      <c r="Z182" s="19">
        <f t="shared" si="41"/>
        <v>-0.80232091945830364</v>
      </c>
    </row>
    <row r="183" spans="1:26" s="24" customFormat="1" hidden="1" outlineLevel="1" x14ac:dyDescent="0.25">
      <c r="A183" s="44"/>
      <c r="B183" s="11" t="str">
        <f>CONCATENATE("          ", "5528", " - ", "FREIGHT-IN-ART/TECH")</f>
        <v xml:space="preserve">          5528 - FREIGHT-IN-ART/TECH</v>
      </c>
      <c r="C183" s="11"/>
      <c r="D183" s="2">
        <v>4.29</v>
      </c>
      <c r="E183" s="2"/>
      <c r="F183" s="19">
        <f t="shared" si="34"/>
        <v>8.871934738792557E-6</v>
      </c>
      <c r="G183" s="2"/>
      <c r="H183" s="2">
        <v>187.14</v>
      </c>
      <c r="I183" s="2"/>
      <c r="J183" s="19">
        <f t="shared" si="35"/>
        <v>9.4352126765455237E-5</v>
      </c>
      <c r="K183" s="2"/>
      <c r="L183" s="2">
        <f t="shared" si="36"/>
        <v>-182.85</v>
      </c>
      <c r="M183" s="2"/>
      <c r="N183" s="19">
        <f t="shared" si="37"/>
        <v>-0.97707598589291444</v>
      </c>
      <c r="O183" s="11"/>
      <c r="P183" s="2">
        <v>290.20999999999998</v>
      </c>
      <c r="Q183" s="2"/>
      <c r="R183" s="19">
        <f t="shared" si="38"/>
        <v>5.64289062445632E-5</v>
      </c>
      <c r="S183" s="2"/>
      <c r="T183" s="2">
        <v>1110.6400000000001</v>
      </c>
      <c r="U183" s="2"/>
      <c r="V183" s="19">
        <f t="shared" si="39"/>
        <v>6.143657365197404E-5</v>
      </c>
      <c r="W183" s="2"/>
      <c r="X183" s="2">
        <f t="shared" si="40"/>
        <v>-820.43000000000006</v>
      </c>
      <c r="Y183" s="2"/>
      <c r="Z183" s="19">
        <f t="shared" si="41"/>
        <v>-0.7387002088885688</v>
      </c>
    </row>
    <row r="184" spans="1:26" s="24" customFormat="1" hidden="1" outlineLevel="1" x14ac:dyDescent="0.25">
      <c r="A184" s="44"/>
      <c r="B184" s="11" t="str">
        <f>CONCATENATE("          ", "5540", " - ", "FREIGHT-IN-LOGO CLOTHING")</f>
        <v xml:space="preserve">          5540 - FREIGHT-IN-LOGO CLOTHING</v>
      </c>
      <c r="C184" s="11"/>
      <c r="D184" s="2">
        <v>907.48</v>
      </c>
      <c r="E184" s="2"/>
      <c r="F184" s="19">
        <f t="shared" si="34"/>
        <v>1.8767140645126971E-3</v>
      </c>
      <c r="G184" s="2"/>
      <c r="H184" s="2">
        <v>4036.06</v>
      </c>
      <c r="I184" s="2"/>
      <c r="J184" s="19">
        <f t="shared" si="35"/>
        <v>2.0348981765148191E-3</v>
      </c>
      <c r="K184" s="2"/>
      <c r="L184" s="2">
        <f t="shared" si="36"/>
        <v>-3128.58</v>
      </c>
      <c r="M184" s="2"/>
      <c r="N184" s="19">
        <f t="shared" si="37"/>
        <v>-0.77515696000555001</v>
      </c>
      <c r="O184" s="11"/>
      <c r="P184" s="2">
        <v>5442.96</v>
      </c>
      <c r="Q184" s="2"/>
      <c r="R184" s="19">
        <f t="shared" si="38"/>
        <v>1.0583380294714438E-3</v>
      </c>
      <c r="S184" s="2"/>
      <c r="T184" s="2">
        <v>24277.390000000003</v>
      </c>
      <c r="U184" s="2"/>
      <c r="V184" s="19">
        <f t="shared" si="39"/>
        <v>1.3429370982610909E-3</v>
      </c>
      <c r="W184" s="2"/>
      <c r="X184" s="2">
        <f t="shared" si="40"/>
        <v>-18834.430000000004</v>
      </c>
      <c r="Y184" s="2"/>
      <c r="Z184" s="19">
        <f t="shared" si="41"/>
        <v>-0.77580127023539192</v>
      </c>
    </row>
    <row r="185" spans="1:26" s="24" customFormat="1" hidden="1" outlineLevel="1" x14ac:dyDescent="0.25">
      <c r="A185" s="44"/>
      <c r="B185" s="11" t="str">
        <f>CONCATENATE("          ", "5541", " - ", "FREIGHT-IN-LOGO GIFTS")</f>
        <v xml:space="preserve">          5541 - FREIGHT-IN-LOGO GIFTS</v>
      </c>
      <c r="C185" s="11"/>
      <c r="D185" s="2">
        <v>84.07</v>
      </c>
      <c r="E185" s="2"/>
      <c r="F185" s="19">
        <f t="shared" si="34"/>
        <v>1.7386096817955483E-4</v>
      </c>
      <c r="G185" s="2"/>
      <c r="H185" s="2">
        <v>709.94</v>
      </c>
      <c r="I185" s="2"/>
      <c r="J185" s="19">
        <f t="shared" si="35"/>
        <v>3.5793709990310625E-4</v>
      </c>
      <c r="K185" s="2"/>
      <c r="L185" s="2">
        <f t="shared" si="36"/>
        <v>-625.87000000000012</v>
      </c>
      <c r="M185" s="2"/>
      <c r="N185" s="19">
        <f t="shared" si="37"/>
        <v>-0.88158154210214956</v>
      </c>
      <c r="O185" s="11"/>
      <c r="P185" s="2">
        <v>1519.94</v>
      </c>
      <c r="Q185" s="2"/>
      <c r="R185" s="19">
        <f t="shared" si="38"/>
        <v>2.9553961530395714E-4</v>
      </c>
      <c r="S185" s="2"/>
      <c r="T185" s="2">
        <v>3562.77</v>
      </c>
      <c r="U185" s="2"/>
      <c r="V185" s="19">
        <f t="shared" si="39"/>
        <v>1.970795050691885E-4</v>
      </c>
      <c r="W185" s="2"/>
      <c r="X185" s="2">
        <f t="shared" si="40"/>
        <v>-2042.83</v>
      </c>
      <c r="Y185" s="2"/>
      <c r="Z185" s="19">
        <f t="shared" si="41"/>
        <v>-0.57338250855373762</v>
      </c>
    </row>
    <row r="186" spans="1:26" s="24" customFormat="1" hidden="1" outlineLevel="1" x14ac:dyDescent="0.25">
      <c r="A186" s="44"/>
      <c r="B186" s="11" t="str">
        <f>CONCATENATE("          ", "5542", " - ", "FREIGHT-IN-EVERYDAY GIFTS")</f>
        <v xml:space="preserve">          5542 - FREIGHT-IN-EVERYDAY GIFTS</v>
      </c>
      <c r="C186" s="11"/>
      <c r="D186" s="2"/>
      <c r="E186" s="2"/>
      <c r="F186" s="19">
        <f t="shared" si="34"/>
        <v>0</v>
      </c>
      <c r="G186" s="2"/>
      <c r="H186" s="2">
        <v>194.82</v>
      </c>
      <c r="I186" s="2"/>
      <c r="J186" s="19">
        <f t="shared" si="35"/>
        <v>9.8224224305044292E-5</v>
      </c>
      <c r="K186" s="2"/>
      <c r="L186" s="2">
        <f t="shared" si="36"/>
        <v>-194.82</v>
      </c>
      <c r="M186" s="2"/>
      <c r="N186" s="19">
        <f t="shared" si="37"/>
        <v>-1</v>
      </c>
      <c r="O186" s="11"/>
      <c r="P186" s="2">
        <v>196.55</v>
      </c>
      <c r="Q186" s="2"/>
      <c r="R186" s="19">
        <f t="shared" si="38"/>
        <v>3.8217502919847345E-5</v>
      </c>
      <c r="S186" s="2"/>
      <c r="T186" s="2">
        <v>1708.33</v>
      </c>
      <c r="U186" s="2"/>
      <c r="V186" s="19">
        <f t="shared" si="39"/>
        <v>9.4498615092988535E-5</v>
      </c>
      <c r="W186" s="2"/>
      <c r="X186" s="2">
        <f t="shared" si="40"/>
        <v>-1511.78</v>
      </c>
      <c r="Y186" s="2"/>
      <c r="Z186" s="19">
        <f t="shared" si="41"/>
        <v>-0.88494611696803316</v>
      </c>
    </row>
    <row r="187" spans="1:26" s="24" customFormat="1" hidden="1" outlineLevel="1" x14ac:dyDescent="0.25">
      <c r="A187" s="44"/>
      <c r="B187" s="11" t="str">
        <f>CONCATENATE("          ", "5543", " - ", "FREIGHT-IN-CARDS")</f>
        <v xml:space="preserve">          5543 - FREIGHT-IN-CARDS</v>
      </c>
      <c r="C187" s="11"/>
      <c r="D187" s="2">
        <v>605.41</v>
      </c>
      <c r="E187" s="2"/>
      <c r="F187" s="19">
        <f t="shared" si="34"/>
        <v>1.2520181841986951E-3</v>
      </c>
      <c r="G187" s="2"/>
      <c r="H187" s="2">
        <v>77.760000000000005</v>
      </c>
      <c r="I187" s="2"/>
      <c r="J187" s="19">
        <f t="shared" si="35"/>
        <v>3.9204987588339211E-5</v>
      </c>
      <c r="K187" s="2"/>
      <c r="L187" s="2">
        <f t="shared" si="36"/>
        <v>527.65</v>
      </c>
      <c r="M187" s="2"/>
      <c r="N187" s="19">
        <f t="shared" si="37"/>
        <v>6.7856224279835384</v>
      </c>
      <c r="O187" s="11"/>
      <c r="P187" s="2">
        <v>7117.72</v>
      </c>
      <c r="Q187" s="2"/>
      <c r="R187" s="19">
        <f t="shared" si="38"/>
        <v>1.383981098359989E-3</v>
      </c>
      <c r="S187" s="2"/>
      <c r="T187" s="2">
        <v>121.35</v>
      </c>
      <c r="U187" s="2"/>
      <c r="V187" s="19">
        <f t="shared" si="39"/>
        <v>6.712641551418145E-6</v>
      </c>
      <c r="W187" s="2"/>
      <c r="X187" s="2">
        <f t="shared" si="40"/>
        <v>6996.37</v>
      </c>
      <c r="Y187" s="2"/>
      <c r="Z187" s="19">
        <f t="shared" si="41"/>
        <v>57.654470539761022</v>
      </c>
    </row>
    <row r="188" spans="1:26" s="24" customFormat="1" hidden="1" outlineLevel="1" x14ac:dyDescent="0.25">
      <c r="A188" s="44"/>
      <c r="B188" s="11" t="str">
        <f>CONCATENATE("          ", "5544", " - ", "FREIGHT-IN-ACCESSORIES")</f>
        <v xml:space="preserve">          5544 - FREIGHT-IN-ACCESSORIES</v>
      </c>
      <c r="C188" s="11"/>
      <c r="D188" s="2"/>
      <c r="E188" s="2"/>
      <c r="F188" s="19">
        <f t="shared" si="34"/>
        <v>0</v>
      </c>
      <c r="G188" s="2"/>
      <c r="H188" s="2">
        <v>28.4</v>
      </c>
      <c r="I188" s="2"/>
      <c r="J188" s="19">
        <f t="shared" si="35"/>
        <v>1.4318694026605368E-5</v>
      </c>
      <c r="K188" s="2"/>
      <c r="L188" s="2">
        <f t="shared" si="36"/>
        <v>-28.4</v>
      </c>
      <c r="M188" s="2"/>
      <c r="N188" s="19">
        <f t="shared" si="37"/>
        <v>-1</v>
      </c>
      <c r="O188" s="11"/>
      <c r="P188" s="2"/>
      <c r="Q188" s="2"/>
      <c r="R188" s="19">
        <f t="shared" si="38"/>
        <v>0</v>
      </c>
      <c r="S188" s="2"/>
      <c r="T188" s="2">
        <v>442.31</v>
      </c>
      <c r="U188" s="2"/>
      <c r="V188" s="19">
        <f t="shared" si="39"/>
        <v>2.4466983803937041E-5</v>
      </c>
      <c r="W188" s="2"/>
      <c r="X188" s="2">
        <f t="shared" si="40"/>
        <v>-442.31</v>
      </c>
      <c r="Y188" s="2"/>
      <c r="Z188" s="19">
        <f t="shared" si="41"/>
        <v>-1</v>
      </c>
    </row>
    <row r="189" spans="1:26" s="24" customFormat="1" hidden="1" outlineLevel="1" x14ac:dyDescent="0.25">
      <c r="A189" s="44"/>
      <c r="B189" s="11" t="str">
        <f>CONCATENATE("          ", "5545", " - ", "FREIGHT-IN-SPECIAL ORDERS")</f>
        <v xml:space="preserve">          5545 - FREIGHT-IN-SPECIAL ORDERS</v>
      </c>
      <c r="C189" s="11"/>
      <c r="D189" s="2">
        <v>225.93</v>
      </c>
      <c r="E189" s="2"/>
      <c r="F189" s="19">
        <f t="shared" si="34"/>
        <v>4.6723454907585143E-4</v>
      </c>
      <c r="G189" s="2"/>
      <c r="H189" s="2">
        <v>322.61</v>
      </c>
      <c r="I189" s="2"/>
      <c r="J189" s="19">
        <f t="shared" si="35"/>
        <v>1.6265330563109713E-4</v>
      </c>
      <c r="K189" s="2"/>
      <c r="L189" s="2">
        <f t="shared" si="36"/>
        <v>-96.68</v>
      </c>
      <c r="M189" s="2"/>
      <c r="N189" s="19">
        <f t="shared" si="37"/>
        <v>-0.29968072905365611</v>
      </c>
      <c r="O189" s="11"/>
      <c r="P189" s="2">
        <v>1113.79</v>
      </c>
      <c r="Q189" s="2"/>
      <c r="R189" s="19">
        <f t="shared" si="38"/>
        <v>2.1656714615668669E-4</v>
      </c>
      <c r="S189" s="2"/>
      <c r="T189" s="2">
        <v>827.67</v>
      </c>
      <c r="U189" s="2"/>
      <c r="V189" s="19">
        <f t="shared" si="39"/>
        <v>4.5783700312008699E-5</v>
      </c>
      <c r="W189" s="2"/>
      <c r="X189" s="2">
        <f t="shared" si="40"/>
        <v>286.12</v>
      </c>
      <c r="Y189" s="2"/>
      <c r="Z189" s="19">
        <f t="shared" si="41"/>
        <v>0.34569333188348017</v>
      </c>
    </row>
    <row r="190" spans="1:26" s="24" customFormat="1" hidden="1" outlineLevel="1" x14ac:dyDescent="0.25">
      <c r="A190" s="44"/>
      <c r="B190" s="11" t="str">
        <f>CONCATENATE("          ", "5581", " - ", "FREIGHT-IN-ELECTRONICS")</f>
        <v xml:space="preserve">          5581 - FREIGHT-IN-ELECTRONICS</v>
      </c>
      <c r="C190" s="11"/>
      <c r="D190" s="2">
        <v>31</v>
      </c>
      <c r="E190" s="2"/>
      <c r="F190" s="19">
        <f t="shared" si="34"/>
        <v>6.4109551725540626E-5</v>
      </c>
      <c r="G190" s="2"/>
      <c r="H190" s="2"/>
      <c r="I190" s="2"/>
      <c r="J190" s="19">
        <f t="shared" si="35"/>
        <v>0</v>
      </c>
      <c r="K190" s="2"/>
      <c r="L190" s="2">
        <f t="shared" si="36"/>
        <v>31</v>
      </c>
      <c r="M190" s="2"/>
      <c r="N190" s="19">
        <f t="shared" si="37"/>
        <v>0</v>
      </c>
      <c r="O190" s="11"/>
      <c r="P190" s="2">
        <v>31</v>
      </c>
      <c r="Q190" s="2"/>
      <c r="R190" s="19">
        <f t="shared" si="38"/>
        <v>6.0276906156971135E-6</v>
      </c>
      <c r="S190" s="2"/>
      <c r="T190" s="2">
        <v>105.75</v>
      </c>
      <c r="U190" s="2"/>
      <c r="V190" s="19">
        <f t="shared" si="39"/>
        <v>5.849706172743872E-6</v>
      </c>
      <c r="W190" s="2"/>
      <c r="X190" s="2">
        <f t="shared" si="40"/>
        <v>-74.75</v>
      </c>
      <c r="Y190" s="2"/>
      <c r="Z190" s="19">
        <f t="shared" si="41"/>
        <v>-0.70685579196217496</v>
      </c>
    </row>
    <row r="191" spans="1:26" s="24" customFormat="1" hidden="1" outlineLevel="1" x14ac:dyDescent="0.25">
      <c r="A191" s="44"/>
      <c r="B191" s="11" t="str">
        <f>CONCATENATE("          ", "5582", " - ", "FREIGHT-IN-COMPUTER HARDWARE")</f>
        <v xml:space="preserve">          5582 - FREIGHT-IN-COMPUTER HARDWARE</v>
      </c>
      <c r="C191" s="11"/>
      <c r="D191" s="2"/>
      <c r="E191" s="2"/>
      <c r="F191" s="19">
        <f t="shared" si="34"/>
        <v>0</v>
      </c>
      <c r="G191" s="2"/>
      <c r="H191" s="2"/>
      <c r="I191" s="2"/>
      <c r="J191" s="19">
        <f t="shared" si="35"/>
        <v>0</v>
      </c>
      <c r="K191" s="2"/>
      <c r="L191" s="2">
        <f t="shared" si="36"/>
        <v>0</v>
      </c>
      <c r="M191" s="2"/>
      <c r="N191" s="19">
        <f t="shared" si="37"/>
        <v>0</v>
      </c>
      <c r="O191" s="11"/>
      <c r="P191" s="2">
        <v>94</v>
      </c>
      <c r="Q191" s="2"/>
      <c r="R191" s="19">
        <f t="shared" si="38"/>
        <v>1.8277513479855764E-5</v>
      </c>
      <c r="S191" s="2"/>
      <c r="T191" s="2">
        <v>4.84</v>
      </c>
      <c r="U191" s="2"/>
      <c r="V191" s="19">
        <f t="shared" si="39"/>
        <v>2.6773123287073605E-7</v>
      </c>
      <c r="W191" s="2"/>
      <c r="X191" s="2">
        <f t="shared" si="40"/>
        <v>89.16</v>
      </c>
      <c r="Y191" s="2"/>
      <c r="Z191" s="19">
        <f t="shared" si="41"/>
        <v>18.421487603305785</v>
      </c>
    </row>
    <row r="192" spans="1:26" s="24" customFormat="1" hidden="1" outlineLevel="1" x14ac:dyDescent="0.25">
      <c r="A192" s="44"/>
      <c r="B192" s="11" t="str">
        <f>CONCATENATE("          ", "5583", " - ", "FREIGHT-IN-COMPUTER EQUIPMENT")</f>
        <v xml:space="preserve">          5583 - FREIGHT-IN-COMPUTER EQUIPMENT</v>
      </c>
      <c r="C192" s="11"/>
      <c r="D192" s="2">
        <v>7.23</v>
      </c>
      <c r="E192" s="2"/>
      <c r="F192" s="19">
        <f t="shared" si="34"/>
        <v>1.4952001902440606E-5</v>
      </c>
      <c r="G192" s="2"/>
      <c r="H192" s="2">
        <v>8.1199999999999992</v>
      </c>
      <c r="I192" s="2"/>
      <c r="J192" s="19">
        <f t="shared" si="35"/>
        <v>4.0939364611280137E-6</v>
      </c>
      <c r="K192" s="2"/>
      <c r="L192" s="2">
        <f t="shared" si="36"/>
        <v>-0.88999999999999879</v>
      </c>
      <c r="M192" s="2"/>
      <c r="N192" s="19">
        <f t="shared" si="37"/>
        <v>-0.10960591133004913</v>
      </c>
      <c r="O192" s="11"/>
      <c r="P192" s="2">
        <v>232.4</v>
      </c>
      <c r="Q192" s="2"/>
      <c r="R192" s="19">
        <f t="shared" si="38"/>
        <v>4.518823545445191E-5</v>
      </c>
      <c r="S192" s="2"/>
      <c r="T192" s="2">
        <v>49.12</v>
      </c>
      <c r="U192" s="2"/>
      <c r="V192" s="19">
        <f t="shared" si="39"/>
        <v>2.7171401154154042E-6</v>
      </c>
      <c r="W192" s="2"/>
      <c r="X192" s="2">
        <f t="shared" si="40"/>
        <v>183.28</v>
      </c>
      <c r="Y192" s="2"/>
      <c r="Z192" s="19">
        <f t="shared" si="41"/>
        <v>3.731270358306189</v>
      </c>
    </row>
    <row r="193" spans="1:26" s="24" customFormat="1" hidden="1" outlineLevel="1" x14ac:dyDescent="0.25">
      <c r="A193" s="44"/>
      <c r="B193" s="11" t="str">
        <f>CONCATENATE("          ", "5586", " - ", "FREIGHT-IN-COMPUTER SUPPLIES")</f>
        <v xml:space="preserve">          5586 - FREIGHT-IN-COMPUTER SUPPLIES</v>
      </c>
      <c r="C193" s="11"/>
      <c r="D193" s="2"/>
      <c r="E193" s="2"/>
      <c r="F193" s="19">
        <f t="shared" si="34"/>
        <v>0</v>
      </c>
      <c r="G193" s="2"/>
      <c r="H193" s="2"/>
      <c r="I193" s="2"/>
      <c r="J193" s="19">
        <f t="shared" si="35"/>
        <v>0</v>
      </c>
      <c r="K193" s="2"/>
      <c r="L193" s="2">
        <f t="shared" si="36"/>
        <v>0</v>
      </c>
      <c r="M193" s="2"/>
      <c r="N193" s="19">
        <f t="shared" si="37"/>
        <v>0</v>
      </c>
      <c r="O193" s="11"/>
      <c r="P193" s="2">
        <v>24.12</v>
      </c>
      <c r="Q193" s="2"/>
      <c r="R193" s="19">
        <f t="shared" si="38"/>
        <v>4.6899321822778834E-6</v>
      </c>
      <c r="S193" s="2"/>
      <c r="T193" s="2">
        <v>162.51</v>
      </c>
      <c r="U193" s="2"/>
      <c r="V193" s="19">
        <f t="shared" si="39"/>
        <v>8.9894633582279581E-6</v>
      </c>
      <c r="W193" s="2"/>
      <c r="X193" s="2">
        <f t="shared" si="40"/>
        <v>-138.38999999999999</v>
      </c>
      <c r="Y193" s="2"/>
      <c r="Z193" s="19">
        <f t="shared" si="41"/>
        <v>-0.85157836440834411</v>
      </c>
    </row>
    <row r="194" spans="1:26" s="24" customFormat="1" hidden="1" outlineLevel="1" x14ac:dyDescent="0.25">
      <c r="A194" s="44"/>
      <c r="B194" s="11" t="str">
        <f>CONCATENATE("          ", "5592", " - ", "FREIGHT-IN-GRAD MERCH")</f>
        <v xml:space="preserve">          5592 - FREIGHT-IN-GRAD MERCH</v>
      </c>
      <c r="C194" s="11"/>
      <c r="D194" s="2"/>
      <c r="E194" s="2"/>
      <c r="F194" s="19">
        <f t="shared" si="34"/>
        <v>0</v>
      </c>
      <c r="G194" s="2"/>
      <c r="H194" s="2"/>
      <c r="I194" s="2"/>
      <c r="J194" s="19">
        <f t="shared" si="35"/>
        <v>0</v>
      </c>
      <c r="K194" s="2"/>
      <c r="L194" s="2">
        <f t="shared" si="36"/>
        <v>0</v>
      </c>
      <c r="M194" s="2"/>
      <c r="N194" s="19">
        <f t="shared" si="37"/>
        <v>0</v>
      </c>
      <c r="O194" s="11"/>
      <c r="P194" s="2"/>
      <c r="Q194" s="2"/>
      <c r="R194" s="19">
        <f t="shared" si="38"/>
        <v>0</v>
      </c>
      <c r="S194" s="2"/>
      <c r="T194" s="2">
        <v>105.78</v>
      </c>
      <c r="U194" s="2"/>
      <c r="V194" s="19">
        <f t="shared" si="39"/>
        <v>5.851365663856707E-6</v>
      </c>
      <c r="W194" s="2"/>
      <c r="X194" s="2">
        <f t="shared" si="40"/>
        <v>-105.78</v>
      </c>
      <c r="Y194" s="2"/>
      <c r="Z194" s="19">
        <f t="shared" si="41"/>
        <v>-1</v>
      </c>
    </row>
    <row r="195" spans="1:26" x14ac:dyDescent="0.25">
      <c r="A195" s="9"/>
      <c r="B195" s="10"/>
      <c r="C195" s="10"/>
      <c r="D195" s="3"/>
      <c r="E195" s="3"/>
      <c r="F195" s="8"/>
      <c r="G195" s="3"/>
      <c r="H195" s="3"/>
      <c r="I195" s="3"/>
      <c r="J195" s="8"/>
      <c r="K195" s="3"/>
      <c r="L195" s="3"/>
      <c r="M195" s="3"/>
      <c r="N195" s="8"/>
      <c r="O195" s="10"/>
      <c r="P195" s="3"/>
      <c r="Q195" s="3"/>
      <c r="R195" s="8"/>
      <c r="S195" s="3"/>
      <c r="T195" s="3"/>
      <c r="U195" s="3"/>
      <c r="V195" s="8"/>
      <c r="W195" s="3"/>
      <c r="X195" s="3"/>
      <c r="Y195" s="3"/>
      <c r="Z195" s="8"/>
    </row>
    <row r="196" spans="1:26" s="23" customFormat="1" x14ac:dyDescent="0.25">
      <c r="A196" s="10"/>
      <c r="B196" s="28" t="s">
        <v>6</v>
      </c>
      <c r="C196" s="28"/>
      <c r="D196" s="20">
        <f>D12-D135</f>
        <v>237270.65000000008</v>
      </c>
      <c r="E196" s="14"/>
      <c r="F196" s="21">
        <f>IF(D$12=0,0,D196/D$12)</f>
        <v>0.49068758093960163</v>
      </c>
      <c r="G196" s="14"/>
      <c r="H196" s="20">
        <f>H12-H135</f>
        <v>1289333.3000000007</v>
      </c>
      <c r="I196" s="14"/>
      <c r="J196" s="21">
        <f>IF(H$12=0,0,H196/H$12)</f>
        <v>0.65005524721878172</v>
      </c>
      <c r="K196" s="15"/>
      <c r="L196" s="20">
        <f>+D196-H196</f>
        <v>-1052062.6500000006</v>
      </c>
      <c r="M196" s="15"/>
      <c r="N196" s="21">
        <f>IF(H196=0,0,L196/H196)</f>
        <v>-0.81597415501484372</v>
      </c>
      <c r="O196" s="29"/>
      <c r="P196" s="20">
        <f>P12-P135</f>
        <v>1913490.2400000026</v>
      </c>
      <c r="Q196" s="14"/>
      <c r="R196" s="21">
        <f>IF(P$12=0,0,P196/P$12)</f>
        <v>0.37206216654438812</v>
      </c>
      <c r="S196" s="14"/>
      <c r="T196" s="20">
        <f>T12-T135</f>
        <v>10196029.080000009</v>
      </c>
      <c r="U196" s="14"/>
      <c r="V196" s="21">
        <f>IF(T$12=0,0,T196/T$12)</f>
        <v>0.56400732148228916</v>
      </c>
      <c r="W196" s="15"/>
      <c r="X196" s="20">
        <f>+P196-T196</f>
        <v>-8282538.8400000073</v>
      </c>
      <c r="Y196" s="15"/>
      <c r="Z196" s="21">
        <f>IF(T196=0,0,X196/T196)</f>
        <v>-0.8123298565562741</v>
      </c>
    </row>
    <row r="197" spans="1:26" x14ac:dyDescent="0.25">
      <c r="A197" s="9"/>
      <c r="B197" s="10"/>
      <c r="C197" s="9"/>
      <c r="D197" s="1"/>
      <c r="E197" s="1"/>
      <c r="F197" s="5"/>
      <c r="G197" s="1"/>
      <c r="H197" s="1"/>
      <c r="I197" s="1"/>
      <c r="J197" s="5"/>
      <c r="K197" s="1"/>
      <c r="L197" s="1"/>
      <c r="M197" s="1"/>
      <c r="N197" s="5"/>
      <c r="O197" s="37"/>
      <c r="P197" s="1"/>
      <c r="Q197" s="1"/>
      <c r="R197" s="5"/>
      <c r="S197" s="1"/>
      <c r="T197" s="1"/>
      <c r="U197" s="1"/>
      <c r="V197" s="5"/>
      <c r="W197" s="1"/>
      <c r="X197" s="1"/>
      <c r="Y197" s="1"/>
      <c r="Z197" s="5"/>
    </row>
    <row r="198" spans="1:26" s="23" customFormat="1" x14ac:dyDescent="0.25">
      <c r="A198" s="10"/>
      <c r="B198" s="29" t="s">
        <v>9</v>
      </c>
      <c r="C198" s="10"/>
      <c r="D198" s="22">
        <f>SUM(OSRRefD22x_0)</f>
        <v>667513.45000000007</v>
      </c>
      <c r="E198" s="22"/>
      <c r="F198" s="36">
        <f t="shared" ref="F198:F209" si="42">IF(D$12=0,0,D198/D$12)</f>
        <v>1.3804512274280349</v>
      </c>
      <c r="G198" s="22"/>
      <c r="H198" s="22">
        <f>SUM(OSRRefH22x_0)</f>
        <v>1373997.77</v>
      </c>
      <c r="I198" s="22"/>
      <c r="J198" s="36">
        <f t="shared" ref="J198:J209" si="43">IF(H$12=0,0,H198/H$12)</f>
        <v>0.69274132612211614</v>
      </c>
      <c r="K198" s="4"/>
      <c r="L198" s="22">
        <f t="shared" ref="L198:L209" si="44">+D198-H198</f>
        <v>-706484.32</v>
      </c>
      <c r="M198" s="4"/>
      <c r="N198" s="36">
        <f t="shared" ref="N198:N209" si="45">IF(H198=0,0,L198/H198)</f>
        <v>-0.51418156231796497</v>
      </c>
      <c r="O198" s="10"/>
      <c r="P198" s="22">
        <f>SUM(OSRRefP22x_0)</f>
        <v>4223667.6599999992</v>
      </c>
      <c r="Q198" s="22"/>
      <c r="R198" s="36">
        <f t="shared" ref="R198:R209" si="46">IF(P$12=0,0,P198/P$12)</f>
        <v>0.82125683606468969</v>
      </c>
      <c r="S198" s="22"/>
      <c r="T198" s="22">
        <f>SUM(OSRRefT22x_0)</f>
        <v>8987127.5800000001</v>
      </c>
      <c r="U198" s="22"/>
      <c r="V198" s="36">
        <f t="shared" ref="V198:V209" si="47">IF(T$12=0,0,T198/T$12)</f>
        <v>0.49713527829751958</v>
      </c>
      <c r="W198" s="4"/>
      <c r="X198" s="22">
        <f t="shared" ref="X198:X209" si="48">+P198-T198</f>
        <v>-4763459.9200000009</v>
      </c>
      <c r="Y198" s="4"/>
      <c r="Z198" s="36">
        <f t="shared" ref="Z198:Z209" si="49">IF(T198=0,0,X198/T198)</f>
        <v>-0.53003141188299463</v>
      </c>
    </row>
    <row r="199" spans="1:26" s="25" customFormat="1" outlineLevel="1" collapsed="1" x14ac:dyDescent="0.25">
      <c r="A199" s="26"/>
      <c r="B199" s="13" t="str">
        <f>CONCATENATE("     ","*Benefits                                         ")</f>
        <v xml:space="preserve">     *Benefits                                         </v>
      </c>
      <c r="C199" s="13"/>
      <c r="D199" s="1">
        <f>SUM(OSRRefD22_0x_0)</f>
        <v>149567.71000000002</v>
      </c>
      <c r="E199" s="1"/>
      <c r="F199" s="5">
        <f t="shared" si="42"/>
        <v>0.30931351099082777</v>
      </c>
      <c r="G199" s="1"/>
      <c r="H199" s="1">
        <f>SUM(OSRRefH22_0x_0)</f>
        <v>225463.8</v>
      </c>
      <c r="I199" s="1"/>
      <c r="J199" s="5">
        <f t="shared" si="43"/>
        <v>0.11367419599562492</v>
      </c>
      <c r="K199" s="1"/>
      <c r="L199" s="1">
        <f t="shared" si="44"/>
        <v>-75896.089999999967</v>
      </c>
      <c r="M199" s="1"/>
      <c r="N199" s="5">
        <f t="shared" si="45"/>
        <v>-0.33662206527167543</v>
      </c>
      <c r="O199" s="13"/>
      <c r="P199" s="1">
        <f>SUM(OSRRefP22_0x_0)</f>
        <v>943831.68999999971</v>
      </c>
      <c r="Q199" s="1"/>
      <c r="R199" s="5">
        <f t="shared" si="46"/>
        <v>0.18352017485840469</v>
      </c>
      <c r="S199" s="1"/>
      <c r="T199" s="1">
        <f>SUM(OSRRefT22_0x_0)</f>
        <v>1407480.5399999998</v>
      </c>
      <c r="U199" s="1"/>
      <c r="V199" s="5">
        <f t="shared" si="47"/>
        <v>7.7856714920613496E-2</v>
      </c>
      <c r="W199" s="1"/>
      <c r="X199" s="1">
        <f t="shared" si="48"/>
        <v>-463648.85000000009</v>
      </c>
      <c r="Y199" s="1"/>
      <c r="Z199" s="5">
        <f t="shared" si="49"/>
        <v>-0.32941759180556779</v>
      </c>
    </row>
    <row r="200" spans="1:26" s="24" customFormat="1" hidden="1" outlineLevel="2" x14ac:dyDescent="0.25">
      <c r="A200" s="27"/>
      <c r="B200" s="11" t="str">
        <f>CONCATENATE("          ", "6111", " - ", "F.I.C.A.")</f>
        <v xml:space="preserve">          6111 - F.I.C.A.</v>
      </c>
      <c r="C200" s="11"/>
      <c r="D200" s="7">
        <v>17455.38</v>
      </c>
      <c r="E200" s="2"/>
      <c r="F200" s="6">
        <f t="shared" si="42"/>
        <v>3.6098599580611852E-2</v>
      </c>
      <c r="G200" s="2"/>
      <c r="H200" s="7">
        <v>32292.85</v>
      </c>
      <c r="I200" s="2"/>
      <c r="J200" s="6">
        <f t="shared" si="43"/>
        <v>1.628138867595293E-2</v>
      </c>
      <c r="K200" s="2"/>
      <c r="L200" s="7">
        <f t="shared" si="44"/>
        <v>-14837.469999999998</v>
      </c>
      <c r="M200" s="2"/>
      <c r="N200" s="6">
        <f t="shared" si="45"/>
        <v>-0.45946610472596872</v>
      </c>
      <c r="O200" s="11"/>
      <c r="P200" s="7">
        <v>133858.97</v>
      </c>
      <c r="Q200" s="2"/>
      <c r="R200" s="6">
        <f t="shared" si="46"/>
        <v>2.6027756686963915E-2</v>
      </c>
      <c r="S200" s="2"/>
      <c r="T200" s="7">
        <v>252165.62999999998</v>
      </c>
      <c r="U200" s="2"/>
      <c r="V200" s="6">
        <f t="shared" si="47"/>
        <v>1.3948887398249146E-2</v>
      </c>
      <c r="W200" s="2"/>
      <c r="X200" s="7">
        <f t="shared" si="48"/>
        <v>-118306.65999999997</v>
      </c>
      <c r="Y200" s="2"/>
      <c r="Z200" s="6">
        <f t="shared" si="49"/>
        <v>-0.46916251037066387</v>
      </c>
    </row>
    <row r="201" spans="1:26" s="24" customFormat="1" hidden="1" outlineLevel="2" x14ac:dyDescent="0.25">
      <c r="A201" s="27"/>
      <c r="B201" s="11" t="str">
        <f>CONCATENATE("          ", "6112", " - ", "COMPENSATION INSURANCE")</f>
        <v xml:space="preserve">          6112 - COMPENSATION INSURANCE</v>
      </c>
      <c r="C201" s="11"/>
      <c r="D201" s="7">
        <v>12807.21</v>
      </c>
      <c r="E201" s="2"/>
      <c r="F201" s="6">
        <f t="shared" si="42"/>
        <v>2.6485951353382615E-2</v>
      </c>
      <c r="G201" s="2"/>
      <c r="H201" s="7">
        <v>29022.57</v>
      </c>
      <c r="I201" s="2"/>
      <c r="J201" s="6">
        <f t="shared" si="43"/>
        <v>1.4632580975201979E-2</v>
      </c>
      <c r="K201" s="2"/>
      <c r="L201" s="7">
        <f t="shared" si="44"/>
        <v>-16215.36</v>
      </c>
      <c r="M201" s="2"/>
      <c r="N201" s="6">
        <f t="shared" si="45"/>
        <v>-0.55871551003236453</v>
      </c>
      <c r="O201" s="11"/>
      <c r="P201" s="7">
        <v>57230.2</v>
      </c>
      <c r="Q201" s="2"/>
      <c r="R201" s="6">
        <f t="shared" si="46"/>
        <v>1.1127933531434481E-2</v>
      </c>
      <c r="S201" s="2"/>
      <c r="T201" s="7">
        <v>106319.95</v>
      </c>
      <c r="U201" s="2"/>
      <c r="V201" s="6">
        <f t="shared" si="47"/>
        <v>5.8812337380692182E-3</v>
      </c>
      <c r="W201" s="2"/>
      <c r="X201" s="7">
        <f t="shared" si="48"/>
        <v>-49089.75</v>
      </c>
      <c r="Y201" s="2"/>
      <c r="Z201" s="6">
        <f t="shared" si="49"/>
        <v>-0.46171720359161195</v>
      </c>
    </row>
    <row r="202" spans="1:26" s="24" customFormat="1" hidden="1" outlineLevel="2" x14ac:dyDescent="0.25">
      <c r="A202" s="27"/>
      <c r="B202" s="11" t="str">
        <f>CONCATENATE("          ", "6113", " - ", "GROUP INSURANCE")</f>
        <v xml:space="preserve">          6113 - GROUP INSURANCE</v>
      </c>
      <c r="C202" s="11"/>
      <c r="D202" s="7">
        <v>74273.73000000001</v>
      </c>
      <c r="E202" s="2"/>
      <c r="F202" s="6">
        <f t="shared" si="42"/>
        <v>0.15360179146076902</v>
      </c>
      <c r="G202" s="2"/>
      <c r="H202" s="7">
        <v>96429.440000000002</v>
      </c>
      <c r="I202" s="2"/>
      <c r="J202" s="6">
        <f t="shared" si="43"/>
        <v>4.8617734032285247E-2</v>
      </c>
      <c r="K202" s="2"/>
      <c r="L202" s="7">
        <f t="shared" si="44"/>
        <v>-22155.709999999992</v>
      </c>
      <c r="M202" s="2"/>
      <c r="N202" s="6">
        <f t="shared" si="45"/>
        <v>-0.2297608489689455</v>
      </c>
      <c r="O202" s="11"/>
      <c r="P202" s="7">
        <v>448606.98</v>
      </c>
      <c r="Q202" s="2"/>
      <c r="R202" s="6">
        <f t="shared" si="46"/>
        <v>8.7227873660716854E-2</v>
      </c>
      <c r="S202" s="2"/>
      <c r="T202" s="7">
        <v>568599.6399999999</v>
      </c>
      <c r="U202" s="2"/>
      <c r="V202" s="6">
        <f t="shared" si="47"/>
        <v>3.1452868311375344E-2</v>
      </c>
      <c r="W202" s="2"/>
      <c r="X202" s="7">
        <f t="shared" si="48"/>
        <v>-119992.65999999992</v>
      </c>
      <c r="Y202" s="2"/>
      <c r="Z202" s="6">
        <f t="shared" si="49"/>
        <v>-0.21103189583447493</v>
      </c>
    </row>
    <row r="203" spans="1:26" s="24" customFormat="1" hidden="1" outlineLevel="2" x14ac:dyDescent="0.25">
      <c r="A203" s="27"/>
      <c r="B203" s="11" t="str">
        <f>CONCATENATE("          ", "6114", " - ", "STATE UNEMPLOYMENT INSURANCE")</f>
        <v xml:space="preserve">          6114 - STATE UNEMPLOYMENT INSURANCE</v>
      </c>
      <c r="C203" s="11"/>
      <c r="D203" s="7"/>
      <c r="E203" s="2"/>
      <c r="F203" s="6">
        <f t="shared" si="42"/>
        <v>0</v>
      </c>
      <c r="G203" s="2"/>
      <c r="H203" s="7">
        <v>2516.29</v>
      </c>
      <c r="I203" s="2"/>
      <c r="J203" s="6">
        <f t="shared" si="43"/>
        <v>1.2686614997255924E-3</v>
      </c>
      <c r="K203" s="2"/>
      <c r="L203" s="7">
        <f t="shared" si="44"/>
        <v>-2516.29</v>
      </c>
      <c r="M203" s="2"/>
      <c r="N203" s="6">
        <f t="shared" si="45"/>
        <v>-1</v>
      </c>
      <c r="O203" s="11"/>
      <c r="P203" s="7">
        <v>4565.84</v>
      </c>
      <c r="Q203" s="2"/>
      <c r="R203" s="6">
        <f t="shared" si="46"/>
        <v>8.8778938454111319E-4</v>
      </c>
      <c r="S203" s="2"/>
      <c r="T203" s="7">
        <v>12179.78</v>
      </c>
      <c r="U203" s="2"/>
      <c r="V203" s="6">
        <f t="shared" si="47"/>
        <v>6.7374122220957317E-4</v>
      </c>
      <c r="W203" s="2"/>
      <c r="X203" s="7">
        <f t="shared" si="48"/>
        <v>-7613.9400000000005</v>
      </c>
      <c r="Y203" s="2"/>
      <c r="Z203" s="6">
        <f t="shared" si="49"/>
        <v>-0.62512951793874771</v>
      </c>
    </row>
    <row r="204" spans="1:26" s="24" customFormat="1" hidden="1" outlineLevel="2" x14ac:dyDescent="0.25">
      <c r="A204" s="27"/>
      <c r="B204" s="11" t="str">
        <f>CONCATENATE("          ", "6115", " - ", "P.E.R.S.")</f>
        <v xml:space="preserve">          6115 - P.E.R.S.</v>
      </c>
      <c r="C204" s="11"/>
      <c r="D204" s="7">
        <v>13525.61</v>
      </c>
      <c r="E204" s="2"/>
      <c r="F204" s="6">
        <f t="shared" si="42"/>
        <v>2.7971638513370631E-2</v>
      </c>
      <c r="G204" s="2"/>
      <c r="H204" s="7">
        <v>18967.439999999999</v>
      </c>
      <c r="I204" s="2"/>
      <c r="J204" s="6">
        <f t="shared" si="43"/>
        <v>9.5629918953519626E-3</v>
      </c>
      <c r="K204" s="2"/>
      <c r="L204" s="7">
        <f t="shared" si="44"/>
        <v>-5441.8299999999981</v>
      </c>
      <c r="M204" s="2"/>
      <c r="N204" s="6">
        <f t="shared" si="45"/>
        <v>-0.28690376771983983</v>
      </c>
      <c r="O204" s="11"/>
      <c r="P204" s="7">
        <v>95424.63</v>
      </c>
      <c r="Q204" s="2"/>
      <c r="R204" s="6">
        <f t="shared" si="46"/>
        <v>1.8554520863140942E-2</v>
      </c>
      <c r="S204" s="2"/>
      <c r="T204" s="7">
        <v>125527.29</v>
      </c>
      <c r="U204" s="2"/>
      <c r="V204" s="6">
        <f t="shared" si="47"/>
        <v>6.9437140724426484E-3</v>
      </c>
      <c r="W204" s="2"/>
      <c r="X204" s="7">
        <f t="shared" si="48"/>
        <v>-30102.659999999989</v>
      </c>
      <c r="Y204" s="2"/>
      <c r="Z204" s="6">
        <f t="shared" si="49"/>
        <v>-0.23980968600532993</v>
      </c>
    </row>
    <row r="205" spans="1:26" s="24" customFormat="1" hidden="1" outlineLevel="2" x14ac:dyDescent="0.25">
      <c r="A205" s="27"/>
      <c r="B205" s="11" t="str">
        <f>CONCATENATE("          ", "6116", " - ", "EDUCATIONAL BENEFITS")</f>
        <v xml:space="preserve">          6116 - EDUCATIONAL BENEFITS</v>
      </c>
      <c r="C205" s="11"/>
      <c r="D205" s="7"/>
      <c r="E205" s="2"/>
      <c r="F205" s="6">
        <f t="shared" si="42"/>
        <v>0</v>
      </c>
      <c r="G205" s="2"/>
      <c r="H205" s="7"/>
      <c r="I205" s="2"/>
      <c r="J205" s="6">
        <f t="shared" si="43"/>
        <v>0</v>
      </c>
      <c r="K205" s="2"/>
      <c r="L205" s="7">
        <f t="shared" si="44"/>
        <v>0</v>
      </c>
      <c r="M205" s="2"/>
      <c r="N205" s="6">
        <f t="shared" si="45"/>
        <v>0</v>
      </c>
      <c r="O205" s="11"/>
      <c r="P205" s="7">
        <v>0</v>
      </c>
      <c r="Q205" s="2"/>
      <c r="R205" s="6">
        <f t="shared" si="46"/>
        <v>0</v>
      </c>
      <c r="S205" s="2"/>
      <c r="T205" s="7"/>
      <c r="U205" s="2"/>
      <c r="V205" s="6">
        <f t="shared" si="47"/>
        <v>0</v>
      </c>
      <c r="W205" s="2"/>
      <c r="X205" s="7">
        <f t="shared" si="48"/>
        <v>0</v>
      </c>
      <c r="Y205" s="2"/>
      <c r="Z205" s="6">
        <f t="shared" si="49"/>
        <v>0</v>
      </c>
    </row>
    <row r="206" spans="1:26" s="24" customFormat="1" hidden="1" outlineLevel="2" x14ac:dyDescent="0.25">
      <c r="A206" s="27"/>
      <c r="B206" s="11" t="str">
        <f>CONCATENATE("          ", "6117", " - ", "RETIREMENT STAFF HOURLY")</f>
        <v xml:space="preserve">          6117 - RETIREMENT STAFF HOURLY</v>
      </c>
      <c r="C206" s="11"/>
      <c r="D206" s="7">
        <v>2029.24</v>
      </c>
      <c r="E206" s="2"/>
      <c r="F206" s="6">
        <f t="shared" si="42"/>
        <v>4.1965698949527758E-3</v>
      </c>
      <c r="G206" s="2"/>
      <c r="H206" s="7">
        <v>2511.69</v>
      </c>
      <c r="I206" s="2"/>
      <c r="J206" s="6">
        <f t="shared" si="43"/>
        <v>1.2663422746367762E-3</v>
      </c>
      <c r="K206" s="2"/>
      <c r="L206" s="7">
        <f t="shared" si="44"/>
        <v>-482.45000000000005</v>
      </c>
      <c r="M206" s="2"/>
      <c r="N206" s="6">
        <f t="shared" si="45"/>
        <v>-0.19208182538450208</v>
      </c>
      <c r="O206" s="11"/>
      <c r="P206" s="7">
        <v>12396.57</v>
      </c>
      <c r="Q206" s="2"/>
      <c r="R206" s="6">
        <f t="shared" si="46"/>
        <v>2.4104093114784633E-3</v>
      </c>
      <c r="S206" s="2"/>
      <c r="T206" s="7">
        <v>12602.98</v>
      </c>
      <c r="U206" s="2"/>
      <c r="V206" s="6">
        <f t="shared" si="47"/>
        <v>6.9715111017463409E-4</v>
      </c>
      <c r="W206" s="2"/>
      <c r="X206" s="7">
        <f t="shared" si="48"/>
        <v>-206.40999999999985</v>
      </c>
      <c r="Y206" s="2"/>
      <c r="Z206" s="6">
        <f t="shared" si="49"/>
        <v>-1.63778725349084E-2</v>
      </c>
    </row>
    <row r="207" spans="1:26" s="24" customFormat="1" hidden="1" outlineLevel="2" x14ac:dyDescent="0.25">
      <c r="A207" s="27"/>
      <c r="B207" s="11" t="str">
        <f>CONCATENATE("          ", "6118", " - ", "VACATION")</f>
        <v xml:space="preserve">          6118 - VACATION</v>
      </c>
      <c r="C207" s="11"/>
      <c r="D207" s="7">
        <v>15483.12</v>
      </c>
      <c r="E207" s="2"/>
      <c r="F207" s="6">
        <f t="shared" si="42"/>
        <v>3.201986717783073E-2</v>
      </c>
      <c r="G207" s="2"/>
      <c r="H207" s="7">
        <v>20062.96</v>
      </c>
      <c r="I207" s="2"/>
      <c r="J207" s="6">
        <f t="shared" si="43"/>
        <v>1.0115330475634593E-2</v>
      </c>
      <c r="K207" s="2"/>
      <c r="L207" s="7">
        <f t="shared" si="44"/>
        <v>-4579.8399999999983</v>
      </c>
      <c r="M207" s="2"/>
      <c r="N207" s="6">
        <f t="shared" si="45"/>
        <v>-0.22827339535143362</v>
      </c>
      <c r="O207" s="11"/>
      <c r="P207" s="7">
        <v>96895.22</v>
      </c>
      <c r="Q207" s="2"/>
      <c r="R207" s="6">
        <f t="shared" si="46"/>
        <v>1.8840464783867975E-2</v>
      </c>
      <c r="S207" s="2"/>
      <c r="T207" s="7">
        <v>146190.5</v>
      </c>
      <c r="U207" s="2"/>
      <c r="V207" s="6">
        <f t="shared" si="47"/>
        <v>8.0867278510308553E-3</v>
      </c>
      <c r="W207" s="2"/>
      <c r="X207" s="7">
        <f t="shared" si="48"/>
        <v>-49295.28</v>
      </c>
      <c r="Y207" s="2"/>
      <c r="Z207" s="6">
        <f t="shared" si="49"/>
        <v>-0.33719892879496272</v>
      </c>
    </row>
    <row r="208" spans="1:26" s="24" customFormat="1" hidden="1" outlineLevel="2" x14ac:dyDescent="0.25">
      <c r="A208" s="27"/>
      <c r="B208" s="11" t="str">
        <f>CONCATENATE("          ", "6119", " - ", "SICK LEAVE")</f>
        <v xml:space="preserve">          6119 - SICK LEAVE</v>
      </c>
      <c r="C208" s="11"/>
      <c r="D208" s="7">
        <v>10174.76</v>
      </c>
      <c r="E208" s="2"/>
      <c r="F208" s="6">
        <f t="shared" si="42"/>
        <v>2.1041912984353605E-2</v>
      </c>
      <c r="G208" s="2"/>
      <c r="H208" s="7">
        <v>14414.75</v>
      </c>
      <c r="I208" s="2"/>
      <c r="J208" s="6">
        <f t="shared" si="43"/>
        <v>7.2676195323947094E-3</v>
      </c>
      <c r="K208" s="2"/>
      <c r="L208" s="7">
        <f t="shared" si="44"/>
        <v>-4239.99</v>
      </c>
      <c r="M208" s="2"/>
      <c r="N208" s="6">
        <f t="shared" si="45"/>
        <v>-0.29414245824589397</v>
      </c>
      <c r="O208" s="11"/>
      <c r="P208" s="7">
        <v>65481.570000000007</v>
      </c>
      <c r="Q208" s="2"/>
      <c r="R208" s="6">
        <f t="shared" si="46"/>
        <v>1.273234338677786E-2</v>
      </c>
      <c r="S208" s="2"/>
      <c r="T208" s="7">
        <v>129523.47</v>
      </c>
      <c r="U208" s="2"/>
      <c r="V208" s="6">
        <f t="shared" si="47"/>
        <v>7.1647682456189663E-3</v>
      </c>
      <c r="W208" s="2"/>
      <c r="X208" s="7">
        <f t="shared" si="48"/>
        <v>-64041.899999999994</v>
      </c>
      <c r="Y208" s="2"/>
      <c r="Z208" s="6">
        <f t="shared" si="49"/>
        <v>-0.49444243579947322</v>
      </c>
    </row>
    <row r="209" spans="1:26" s="24" customFormat="1" hidden="1" outlineLevel="2" x14ac:dyDescent="0.25">
      <c r="A209" s="27"/>
      <c r="B209" s="11" t="str">
        <f>CONCATENATE("          ", "6156", " - ", "EMPLOYEE MEALS")</f>
        <v xml:space="preserve">          6156 - EMPLOYEE MEALS</v>
      </c>
      <c r="C209" s="11"/>
      <c r="D209" s="7">
        <v>3818.66</v>
      </c>
      <c r="E209" s="2"/>
      <c r="F209" s="6">
        <f t="shared" si="42"/>
        <v>7.8971800255565466E-3</v>
      </c>
      <c r="G209" s="2"/>
      <c r="H209" s="7">
        <v>9245.81</v>
      </c>
      <c r="I209" s="2"/>
      <c r="J209" s="6">
        <f t="shared" si="43"/>
        <v>4.6615466344411332E-3</v>
      </c>
      <c r="K209" s="2"/>
      <c r="L209" s="7">
        <f t="shared" si="44"/>
        <v>-5427.15</v>
      </c>
      <c r="M209" s="2"/>
      <c r="N209" s="6">
        <f t="shared" si="45"/>
        <v>-0.58698480717211365</v>
      </c>
      <c r="O209" s="11"/>
      <c r="P209" s="7">
        <v>29371.710000000003</v>
      </c>
      <c r="Q209" s="2"/>
      <c r="R209" s="6">
        <f t="shared" si="46"/>
        <v>5.7110832494831317E-3</v>
      </c>
      <c r="S209" s="2"/>
      <c r="T209" s="7">
        <v>54371.299999999996</v>
      </c>
      <c r="U209" s="2"/>
      <c r="V209" s="6">
        <f t="shared" si="47"/>
        <v>3.0076229714431097E-3</v>
      </c>
      <c r="W209" s="2"/>
      <c r="X209" s="7">
        <f t="shared" si="48"/>
        <v>-24999.589999999993</v>
      </c>
      <c r="Y209" s="2"/>
      <c r="Z209" s="6">
        <f t="shared" si="49"/>
        <v>-0.45979386183519605</v>
      </c>
    </row>
    <row r="210" spans="1:26" s="25" customFormat="1" outlineLevel="1" collapsed="1" x14ac:dyDescent="0.25">
      <c r="A210" s="26"/>
      <c r="B210" s="13" t="str">
        <f>CONCATENATE("     ","*Payroll                                          ")</f>
        <v xml:space="preserve">     *Payroll                                          </v>
      </c>
      <c r="C210" s="13"/>
      <c r="D210" s="1">
        <f>SUM(OSRRefD22_1x_0)</f>
        <v>257345.03</v>
      </c>
      <c r="E210" s="1"/>
      <c r="F210" s="5">
        <f t="shared" ref="F210:F217" si="50">IF(D$12=0,0,D210/D$12)</f>
        <v>0.53220240361599369</v>
      </c>
      <c r="G210" s="1"/>
      <c r="H210" s="1">
        <f>SUM(OSRRefH22_1x_0)</f>
        <v>611496.61</v>
      </c>
      <c r="I210" s="1"/>
      <c r="J210" s="5">
        <f t="shared" ref="J210:J217" si="51">IF(H$12=0,0,H210/H$12)</f>
        <v>0.30830397383438146</v>
      </c>
      <c r="K210" s="1"/>
      <c r="L210" s="1">
        <f t="shared" ref="L210:L217" si="52">+D210-H210</f>
        <v>-354151.57999999996</v>
      </c>
      <c r="M210" s="1"/>
      <c r="N210" s="5">
        <f t="shared" ref="N210:N217" si="53">IF(H210=0,0,L210/H210)</f>
        <v>-0.57915542655256902</v>
      </c>
      <c r="O210" s="13"/>
      <c r="P210" s="1">
        <f>SUM(OSRRefP22_1x_0)</f>
        <v>1724274.0599999998</v>
      </c>
      <c r="Q210" s="1"/>
      <c r="R210" s="5">
        <f t="shared" ref="R210:R217" si="54">IF(P$12=0,0,P210/P$12)</f>
        <v>0.33527066355974067</v>
      </c>
      <c r="S210" s="1"/>
      <c r="T210" s="1">
        <f>SUM(OSRRefT22_1x_0)</f>
        <v>4322862.0600000005</v>
      </c>
      <c r="U210" s="1"/>
      <c r="V210" s="5">
        <f t="shared" ref="V210:V217" si="55">IF(T$12=0,0,T210/T$12)</f>
        <v>0.23912503901940702</v>
      </c>
      <c r="W210" s="1"/>
      <c r="X210" s="1">
        <f t="shared" ref="X210:X217" si="56">+P210-T210</f>
        <v>-2598588.0000000009</v>
      </c>
      <c r="Y210" s="1"/>
      <c r="Z210" s="5">
        <f t="shared" ref="Z210:Z217" si="57">IF(T210=0,0,X210/T210)</f>
        <v>-0.60112674518233422</v>
      </c>
    </row>
    <row r="211" spans="1:26" s="24" customFormat="1" hidden="1" outlineLevel="2" x14ac:dyDescent="0.25">
      <c r="A211" s="27"/>
      <c r="B211" s="11" t="str">
        <f>CONCATENATE("          ", "6001", " - ", "ADMINISTRATIVE SALARIES")</f>
        <v xml:space="preserve">          6001 - ADMINISTRATIVE SALARIES</v>
      </c>
      <c r="C211" s="11"/>
      <c r="D211" s="7">
        <v>24449.32</v>
      </c>
      <c r="E211" s="2"/>
      <c r="F211" s="6">
        <f t="shared" si="50"/>
        <v>5.0562417586912739E-2</v>
      </c>
      <c r="G211" s="2"/>
      <c r="H211" s="7">
        <v>35004.140000000007</v>
      </c>
      <c r="I211" s="2"/>
      <c r="J211" s="6">
        <f t="shared" si="51"/>
        <v>1.7648365152269654E-2</v>
      </c>
      <c r="K211" s="2"/>
      <c r="L211" s="7">
        <f t="shared" si="52"/>
        <v>-10554.820000000007</v>
      </c>
      <c r="M211" s="2"/>
      <c r="N211" s="6">
        <f t="shared" si="53"/>
        <v>-0.30153061894964439</v>
      </c>
      <c r="O211" s="11"/>
      <c r="P211" s="7">
        <v>166527.06</v>
      </c>
      <c r="Q211" s="2"/>
      <c r="R211" s="6">
        <f t="shared" si="54"/>
        <v>3.2379793445859034E-2</v>
      </c>
      <c r="S211" s="2"/>
      <c r="T211" s="7">
        <v>216828.76</v>
      </c>
      <c r="U211" s="2"/>
      <c r="V211" s="6">
        <f t="shared" si="55"/>
        <v>1.1994180007568791E-2</v>
      </c>
      <c r="W211" s="2"/>
      <c r="X211" s="7">
        <f t="shared" si="56"/>
        <v>-50301.700000000012</v>
      </c>
      <c r="Y211" s="2"/>
      <c r="Z211" s="6">
        <f t="shared" si="57"/>
        <v>-0.23198813662910772</v>
      </c>
    </row>
    <row r="212" spans="1:26" s="24" customFormat="1" hidden="1" outlineLevel="2" x14ac:dyDescent="0.25">
      <c r="A212" s="27"/>
      <c r="B212" s="11" t="str">
        <f>CONCATENATE("          ", "6002", " - ", "STAFF SALARIES")</f>
        <v xml:space="preserve">          6002 - STAFF SALARIES</v>
      </c>
      <c r="C212" s="11"/>
      <c r="D212" s="7">
        <v>102039.22</v>
      </c>
      <c r="E212" s="2"/>
      <c r="F212" s="6">
        <f t="shared" si="50"/>
        <v>0.21102221460076837</v>
      </c>
      <c r="G212" s="2"/>
      <c r="H212" s="7">
        <v>168000.88</v>
      </c>
      <c r="I212" s="2"/>
      <c r="J212" s="6">
        <f t="shared" si="51"/>
        <v>8.4702577356353712E-2</v>
      </c>
      <c r="K212" s="2"/>
      <c r="L212" s="7">
        <f t="shared" si="52"/>
        <v>-65961.66</v>
      </c>
      <c r="M212" s="2"/>
      <c r="N212" s="6">
        <f t="shared" si="53"/>
        <v>-0.39262687195448026</v>
      </c>
      <c r="O212" s="11"/>
      <c r="P212" s="7">
        <v>665150.51</v>
      </c>
      <c r="Q212" s="2"/>
      <c r="R212" s="6">
        <f t="shared" si="54"/>
        <v>0.12933295119848867</v>
      </c>
      <c r="S212" s="2"/>
      <c r="T212" s="7">
        <v>1097813.4500000002</v>
      </c>
      <c r="U212" s="2"/>
      <c r="V212" s="6">
        <f t="shared" si="55"/>
        <v>6.0727055460862857E-2</v>
      </c>
      <c r="W212" s="2"/>
      <c r="X212" s="7">
        <f t="shared" si="56"/>
        <v>-432662.94000000018</v>
      </c>
      <c r="Y212" s="2"/>
      <c r="Z212" s="6">
        <f t="shared" si="57"/>
        <v>-0.39411335322954927</v>
      </c>
    </row>
    <row r="213" spans="1:26" s="24" customFormat="1" hidden="1" outlineLevel="2" x14ac:dyDescent="0.25">
      <c r="A213" s="27"/>
      <c r="B213" s="11" t="str">
        <f>CONCATENATE("          ", "6004", " - ", "STAFF HOURLY")</f>
        <v xml:space="preserve">          6004 - STAFF HOURLY</v>
      </c>
      <c r="C213" s="11"/>
      <c r="D213" s="7">
        <v>57921.77</v>
      </c>
      <c r="E213" s="2"/>
      <c r="F213" s="6">
        <f t="shared" si="50"/>
        <v>0.11978511967257637</v>
      </c>
      <c r="G213" s="2"/>
      <c r="H213" s="7">
        <v>80795.539999999994</v>
      </c>
      <c r="I213" s="2"/>
      <c r="J213" s="6">
        <f t="shared" si="51"/>
        <v>4.0735444224449122E-2</v>
      </c>
      <c r="K213" s="2"/>
      <c r="L213" s="7">
        <f t="shared" si="52"/>
        <v>-22873.769999999997</v>
      </c>
      <c r="M213" s="2"/>
      <c r="N213" s="6">
        <f t="shared" si="53"/>
        <v>-0.28310683980823692</v>
      </c>
      <c r="O213" s="11"/>
      <c r="P213" s="7">
        <v>408214.46</v>
      </c>
      <c r="Q213" s="2"/>
      <c r="R213" s="6">
        <f t="shared" si="54"/>
        <v>7.9373886120447254E-2</v>
      </c>
      <c r="S213" s="2"/>
      <c r="T213" s="7">
        <v>501564.13</v>
      </c>
      <c r="U213" s="2"/>
      <c r="V213" s="6">
        <f t="shared" si="55"/>
        <v>2.7744707208396311E-2</v>
      </c>
      <c r="W213" s="2"/>
      <c r="X213" s="7">
        <f t="shared" si="56"/>
        <v>-93349.669999999984</v>
      </c>
      <c r="Y213" s="2"/>
      <c r="Z213" s="6">
        <f t="shared" si="57"/>
        <v>-0.18611711726673913</v>
      </c>
    </row>
    <row r="214" spans="1:26" s="24" customFormat="1" hidden="1" outlineLevel="2" x14ac:dyDescent="0.25">
      <c r="A214" s="27"/>
      <c r="B214" s="11" t="str">
        <f>CONCATENATE("          ", "6005", " - ", "TEMPORARY WAGES-HOURLY")</f>
        <v xml:space="preserve">          6005 - TEMPORARY WAGES-HOURLY</v>
      </c>
      <c r="C214" s="11"/>
      <c r="D214" s="7">
        <v>27251.21</v>
      </c>
      <c r="E214" s="2"/>
      <c r="F214" s="6">
        <f t="shared" si="50"/>
        <v>5.6356866357373227E-2</v>
      </c>
      <c r="G214" s="2"/>
      <c r="H214" s="7">
        <v>106158.06</v>
      </c>
      <c r="I214" s="2"/>
      <c r="J214" s="6">
        <f t="shared" si="51"/>
        <v>5.3522703506972337E-2</v>
      </c>
      <c r="K214" s="2"/>
      <c r="L214" s="7">
        <f t="shared" si="52"/>
        <v>-78906.850000000006</v>
      </c>
      <c r="M214" s="2"/>
      <c r="N214" s="6">
        <f t="shared" si="53"/>
        <v>-0.74329589293549647</v>
      </c>
      <c r="O214" s="11"/>
      <c r="P214" s="7">
        <v>203842</v>
      </c>
      <c r="Q214" s="2"/>
      <c r="R214" s="6">
        <f t="shared" si="54"/>
        <v>3.9635371305965512E-2</v>
      </c>
      <c r="S214" s="2"/>
      <c r="T214" s="7">
        <v>763302.91</v>
      </c>
      <c r="U214" s="2"/>
      <c r="V214" s="6">
        <f t="shared" si="55"/>
        <v>4.2223146518206717E-2</v>
      </c>
      <c r="W214" s="2"/>
      <c r="X214" s="7">
        <f t="shared" si="56"/>
        <v>-559460.91</v>
      </c>
      <c r="Y214" s="2"/>
      <c r="Z214" s="6">
        <f t="shared" si="57"/>
        <v>-0.73294743498357684</v>
      </c>
    </row>
    <row r="215" spans="1:26" s="24" customFormat="1" hidden="1" outlineLevel="2" x14ac:dyDescent="0.25">
      <c r="A215" s="27"/>
      <c r="B215" s="11" t="str">
        <f>CONCATENATE("          ", "6006", " - ", "TEMPORARY PART TIME")</f>
        <v xml:space="preserve">          6006 - TEMPORARY PART TIME</v>
      </c>
      <c r="C215" s="11"/>
      <c r="D215" s="7">
        <v>1432.35</v>
      </c>
      <c r="E215" s="2"/>
      <c r="F215" s="6">
        <f t="shared" si="50"/>
        <v>2.9621714972283262E-3</v>
      </c>
      <c r="G215" s="2"/>
      <c r="H215" s="7">
        <v>5641.19</v>
      </c>
      <c r="I215" s="2"/>
      <c r="J215" s="6">
        <f t="shared" si="51"/>
        <v>2.8441716040826033E-3</v>
      </c>
      <c r="K215" s="2"/>
      <c r="L215" s="7">
        <f t="shared" si="52"/>
        <v>-4208.84</v>
      </c>
      <c r="M215" s="2"/>
      <c r="N215" s="6">
        <f t="shared" si="53"/>
        <v>-0.74609080708148467</v>
      </c>
      <c r="O215" s="11"/>
      <c r="P215" s="7">
        <v>9987.9599999999991</v>
      </c>
      <c r="Q215" s="2"/>
      <c r="R215" s="6">
        <f t="shared" si="54"/>
        <v>1.9420752503857463E-3</v>
      </c>
      <c r="S215" s="2"/>
      <c r="T215" s="7">
        <v>78971.59</v>
      </c>
      <c r="U215" s="2"/>
      <c r="V215" s="6">
        <f t="shared" si="55"/>
        <v>4.3684217257153497E-3</v>
      </c>
      <c r="W215" s="2"/>
      <c r="X215" s="7">
        <f t="shared" si="56"/>
        <v>-68983.63</v>
      </c>
      <c r="Y215" s="2"/>
      <c r="Z215" s="6">
        <f t="shared" si="57"/>
        <v>-0.87352464348254866</v>
      </c>
    </row>
    <row r="216" spans="1:26" s="24" customFormat="1" hidden="1" outlineLevel="2" x14ac:dyDescent="0.25">
      <c r="A216" s="27"/>
      <c r="B216" s="11" t="str">
        <f>CONCATENATE("          ", "6007", " - ", "STUDENT HOURLY")</f>
        <v xml:space="preserve">          6007 - STUDENT HOURLY</v>
      </c>
      <c r="C216" s="11"/>
      <c r="D216" s="7">
        <v>41668.49</v>
      </c>
      <c r="E216" s="2"/>
      <c r="F216" s="6">
        <f t="shared" si="50"/>
        <v>8.617252306387653E-2</v>
      </c>
      <c r="G216" s="2"/>
      <c r="H216" s="7">
        <v>195646.83</v>
      </c>
      <c r="I216" s="2"/>
      <c r="J216" s="6">
        <f t="shared" si="51"/>
        <v>9.8641094931171694E-2</v>
      </c>
      <c r="K216" s="2"/>
      <c r="L216" s="7">
        <f t="shared" si="52"/>
        <v>-153978.34</v>
      </c>
      <c r="M216" s="2"/>
      <c r="N216" s="6">
        <f t="shared" si="53"/>
        <v>-0.78702190063595723</v>
      </c>
      <c r="O216" s="11"/>
      <c r="P216" s="7">
        <v>252218.18</v>
      </c>
      <c r="Q216" s="2"/>
      <c r="R216" s="6">
        <f t="shared" si="54"/>
        <v>4.904171473207114E-2</v>
      </c>
      <c r="S216" s="2"/>
      <c r="T216" s="7">
        <v>1508463.68</v>
      </c>
      <c r="U216" s="2"/>
      <c r="V216" s="6">
        <f t="shared" si="55"/>
        <v>8.3442735699819734E-2</v>
      </c>
      <c r="W216" s="2"/>
      <c r="X216" s="7">
        <f t="shared" si="56"/>
        <v>-1256245.5</v>
      </c>
      <c r="Y216" s="2"/>
      <c r="Z216" s="6">
        <f t="shared" si="57"/>
        <v>-0.83279797628273033</v>
      </c>
    </row>
    <row r="217" spans="1:26" s="24" customFormat="1" hidden="1" outlineLevel="2" x14ac:dyDescent="0.25">
      <c r="A217" s="27"/>
      <c r="B217" s="11" t="str">
        <f>CONCATENATE("          ", "6008", " - ", "STUDENT HOURLY-FICA EXEMPT")</f>
        <v xml:space="preserve">          6008 - STUDENT HOURLY-FICA EXEMPT</v>
      </c>
      <c r="C217" s="11"/>
      <c r="D217" s="7">
        <v>2582.67</v>
      </c>
      <c r="E217" s="2"/>
      <c r="F217" s="6">
        <f t="shared" si="50"/>
        <v>5.3410908372581297E-3</v>
      </c>
      <c r="G217" s="2"/>
      <c r="H217" s="7">
        <v>20249.969999999998</v>
      </c>
      <c r="I217" s="2"/>
      <c r="J217" s="6">
        <f t="shared" si="51"/>
        <v>1.0209617059082321E-2</v>
      </c>
      <c r="K217" s="2"/>
      <c r="L217" s="7">
        <f t="shared" si="52"/>
        <v>-17667.299999999996</v>
      </c>
      <c r="M217" s="2"/>
      <c r="N217" s="6">
        <f t="shared" si="53"/>
        <v>-0.87246055179340998</v>
      </c>
      <c r="O217" s="11"/>
      <c r="P217" s="7">
        <v>18333.89</v>
      </c>
      <c r="Q217" s="2"/>
      <c r="R217" s="6">
        <f t="shared" si="54"/>
        <v>3.5648715065233275E-3</v>
      </c>
      <c r="S217" s="2"/>
      <c r="T217" s="7">
        <v>155917.54</v>
      </c>
      <c r="U217" s="2"/>
      <c r="V217" s="6">
        <f t="shared" si="55"/>
        <v>8.6247923988372541E-3</v>
      </c>
      <c r="W217" s="2"/>
      <c r="X217" s="7">
        <f t="shared" si="56"/>
        <v>-137583.65000000002</v>
      </c>
      <c r="Y217" s="2"/>
      <c r="Z217" s="6">
        <f t="shared" si="57"/>
        <v>-0.88241290877216261</v>
      </c>
    </row>
    <row r="218" spans="1:26" s="25" customFormat="1" outlineLevel="1" collapsed="1" x14ac:dyDescent="0.25">
      <c r="A218" s="26"/>
      <c r="B218" s="13" t="str">
        <f>CONCATENATE("     ","Advertising/Promo                                 ")</f>
        <v xml:space="preserve">     Advertising/Promo                                 </v>
      </c>
      <c r="C218" s="13"/>
      <c r="D218" s="1">
        <f>SUM(OSRRefD22_2x_0)</f>
        <v>351.4</v>
      </c>
      <c r="E218" s="1"/>
      <c r="F218" s="5">
        <f t="shared" ref="F218:F222" si="58">IF(D$12=0,0,D218/D$12)</f>
        <v>7.2671278955983788E-4</v>
      </c>
      <c r="G218" s="1"/>
      <c r="H218" s="1">
        <f>SUM(OSRRefH22_2x_0)</f>
        <v>8083.59</v>
      </c>
      <c r="I218" s="1"/>
      <c r="J218" s="5">
        <f t="shared" ref="J218:J222" si="59">IF(H$12=0,0,H218/H$12)</f>
        <v>4.0755792903706652E-3</v>
      </c>
      <c r="K218" s="1"/>
      <c r="L218" s="1">
        <f t="shared" ref="L218:L222" si="60">+D218-H218</f>
        <v>-7732.1900000000005</v>
      </c>
      <c r="M218" s="1"/>
      <c r="N218" s="5">
        <f t="shared" ref="N218:N222" si="61">IF(H218=0,0,L218/H218)</f>
        <v>-0.95652921536099678</v>
      </c>
      <c r="O218" s="13"/>
      <c r="P218" s="1">
        <f>SUM(OSRRefP22_2x_0)</f>
        <v>16514.34</v>
      </c>
      <c r="Q218" s="1"/>
      <c r="R218" s="5">
        <f t="shared" ref="R218:R222" si="62">IF(P$12=0,0,P218/P$12)</f>
        <v>3.2110752336268213E-3</v>
      </c>
      <c r="S218" s="1"/>
      <c r="T218" s="1">
        <f>SUM(OSRRefT22_2x_0)</f>
        <v>68920.320000000007</v>
      </c>
      <c r="U218" s="1"/>
      <c r="V218" s="5">
        <f t="shared" ref="V218:V222" si="63">IF(T$12=0,0,T218/T$12)</f>
        <v>3.8124219511251347E-3</v>
      </c>
      <c r="W218" s="1"/>
      <c r="X218" s="1">
        <f t="shared" ref="X218:X222" si="64">+P218-T218</f>
        <v>-52405.98000000001</v>
      </c>
      <c r="Y218" s="1"/>
      <c r="Z218" s="5">
        <f t="shared" ref="Z218:Z222" si="65">IF(T218=0,0,X218/T218)</f>
        <v>-0.7603850359371519</v>
      </c>
    </row>
    <row r="219" spans="1:26" s="24" customFormat="1" hidden="1" outlineLevel="2" x14ac:dyDescent="0.25">
      <c r="A219" s="27"/>
      <c r="B219" s="11" t="str">
        <f>CONCATENATE("          ", "6362", " - ", "ADVERTISING EXPENSE")</f>
        <v xml:space="preserve">          6362 - ADVERTISING EXPENSE</v>
      </c>
      <c r="C219" s="11"/>
      <c r="D219" s="7">
        <v>351.4</v>
      </c>
      <c r="E219" s="2"/>
      <c r="F219" s="6">
        <f t="shared" si="58"/>
        <v>7.2671278955983788E-4</v>
      </c>
      <c r="G219" s="2"/>
      <c r="H219" s="7">
        <v>8083.59</v>
      </c>
      <c r="I219" s="2"/>
      <c r="J219" s="6">
        <f t="shared" si="59"/>
        <v>4.0755792903706652E-3</v>
      </c>
      <c r="K219" s="2"/>
      <c r="L219" s="7">
        <f t="shared" si="60"/>
        <v>-7732.1900000000005</v>
      </c>
      <c r="M219" s="2"/>
      <c r="N219" s="6">
        <f t="shared" si="61"/>
        <v>-0.95652921536099678</v>
      </c>
      <c r="O219" s="11"/>
      <c r="P219" s="7">
        <v>16514.34</v>
      </c>
      <c r="Q219" s="2"/>
      <c r="R219" s="6">
        <f t="shared" si="62"/>
        <v>3.2110752336268213E-3</v>
      </c>
      <c r="S219" s="2"/>
      <c r="T219" s="7">
        <v>68920.320000000007</v>
      </c>
      <c r="U219" s="2"/>
      <c r="V219" s="6">
        <f t="shared" si="63"/>
        <v>3.8124219511251347E-3</v>
      </c>
      <c r="W219" s="2"/>
      <c r="X219" s="7">
        <f t="shared" si="64"/>
        <v>-52405.98000000001</v>
      </c>
      <c r="Y219" s="2"/>
      <c r="Z219" s="6">
        <f t="shared" si="65"/>
        <v>-0.7603850359371519</v>
      </c>
    </row>
    <row r="220" spans="1:26" s="25" customFormat="1" outlineLevel="1" collapsed="1" x14ac:dyDescent="0.25">
      <c r="A220" s="26"/>
      <c r="B220" s="13" t="str">
        <f>CONCATENATE("     ","Bad Debts/Over/Short                              ")</f>
        <v xml:space="preserve">     Bad Debts/Over/Short                              </v>
      </c>
      <c r="C220" s="13"/>
      <c r="D220" s="1">
        <f>SUM(OSRRefD22_3x_0)</f>
        <v>-3.6</v>
      </c>
      <c r="E220" s="1"/>
      <c r="F220" s="5">
        <f t="shared" si="58"/>
        <v>-7.4449802003853636E-6</v>
      </c>
      <c r="G220" s="1"/>
      <c r="H220" s="1">
        <f>SUM(OSRRefH22_3x_0)</f>
        <v>-21.5</v>
      </c>
      <c r="I220" s="1"/>
      <c r="J220" s="5">
        <f t="shared" si="59"/>
        <v>-1.0839856393380826E-5</v>
      </c>
      <c r="K220" s="1"/>
      <c r="L220" s="1">
        <f t="shared" si="60"/>
        <v>17.899999999999999</v>
      </c>
      <c r="M220" s="1"/>
      <c r="N220" s="5">
        <f t="shared" si="61"/>
        <v>-0.83255813953488367</v>
      </c>
      <c r="O220" s="13"/>
      <c r="P220" s="1">
        <f>SUM(OSRRefP22_3x_0)</f>
        <v>127.8</v>
      </c>
      <c r="Q220" s="1"/>
      <c r="R220" s="5">
        <f t="shared" si="62"/>
        <v>2.484964066729326E-5</v>
      </c>
      <c r="S220" s="1"/>
      <c r="T220" s="1">
        <f>SUM(OSRRefT22_3x_0)</f>
        <v>-195.85000000000002</v>
      </c>
      <c r="U220" s="1"/>
      <c r="V220" s="5">
        <f t="shared" si="63"/>
        <v>-1.083371114829208E-5</v>
      </c>
      <c r="W220" s="1"/>
      <c r="X220" s="1">
        <f t="shared" si="64"/>
        <v>323.65000000000003</v>
      </c>
      <c r="Y220" s="1"/>
      <c r="Z220" s="5">
        <f t="shared" si="65"/>
        <v>-1.6525402093438857</v>
      </c>
    </row>
    <row r="221" spans="1:26" s="24" customFormat="1" hidden="1" outlineLevel="2" x14ac:dyDescent="0.25">
      <c r="A221" s="27"/>
      <c r="B221" s="11" t="str">
        <f>CONCATENATE("          ", "6272", " - ", "CASH (OVER/SHORT)")</f>
        <v xml:space="preserve">          6272 - CASH (OVER/SHORT)</v>
      </c>
      <c r="C221" s="11"/>
      <c r="D221" s="7">
        <v>-3.6</v>
      </c>
      <c r="E221" s="2"/>
      <c r="F221" s="6">
        <f t="shared" si="58"/>
        <v>-7.4449802003853636E-6</v>
      </c>
      <c r="G221" s="2"/>
      <c r="H221" s="7">
        <v>-21.5</v>
      </c>
      <c r="I221" s="2"/>
      <c r="J221" s="6">
        <f t="shared" si="59"/>
        <v>-1.0839856393380826E-5</v>
      </c>
      <c r="K221" s="2"/>
      <c r="L221" s="7">
        <f t="shared" si="60"/>
        <v>17.899999999999999</v>
      </c>
      <c r="M221" s="2"/>
      <c r="N221" s="6">
        <f t="shared" si="61"/>
        <v>-0.83255813953488367</v>
      </c>
      <c r="O221" s="11"/>
      <c r="P221" s="7">
        <v>127.8</v>
      </c>
      <c r="Q221" s="2"/>
      <c r="R221" s="6">
        <f t="shared" si="62"/>
        <v>2.484964066729326E-5</v>
      </c>
      <c r="S221" s="2"/>
      <c r="T221" s="7">
        <v>-240.65</v>
      </c>
      <c r="U221" s="2"/>
      <c r="V221" s="6">
        <f t="shared" si="63"/>
        <v>-1.3311884543459222E-5</v>
      </c>
      <c r="W221" s="2"/>
      <c r="X221" s="7">
        <f t="shared" si="64"/>
        <v>368.45</v>
      </c>
      <c r="Y221" s="2"/>
      <c r="Z221" s="6">
        <f t="shared" si="65"/>
        <v>-1.5310617078745066</v>
      </c>
    </row>
    <row r="222" spans="1:26" s="24" customFormat="1" hidden="1" outlineLevel="2" x14ac:dyDescent="0.25">
      <c r="A222" s="27"/>
      <c r="B222" s="11" t="str">
        <f>CONCATENATE("          ", "6342", " - ", "BAD DEBT")</f>
        <v xml:space="preserve">          6342 - BAD DEBT</v>
      </c>
      <c r="C222" s="11"/>
      <c r="D222" s="7"/>
      <c r="E222" s="2"/>
      <c r="F222" s="6">
        <f t="shared" si="58"/>
        <v>0</v>
      </c>
      <c r="G222" s="2"/>
      <c r="H222" s="7"/>
      <c r="I222" s="2"/>
      <c r="J222" s="6">
        <f t="shared" si="59"/>
        <v>0</v>
      </c>
      <c r="K222" s="2"/>
      <c r="L222" s="7">
        <f t="shared" si="60"/>
        <v>0</v>
      </c>
      <c r="M222" s="2"/>
      <c r="N222" s="6">
        <f t="shared" si="61"/>
        <v>0</v>
      </c>
      <c r="O222" s="11"/>
      <c r="P222" s="7"/>
      <c r="Q222" s="2"/>
      <c r="R222" s="6">
        <f t="shared" si="62"/>
        <v>0</v>
      </c>
      <c r="S222" s="2"/>
      <c r="T222" s="7">
        <v>44.8</v>
      </c>
      <c r="U222" s="2"/>
      <c r="V222" s="6">
        <f t="shared" si="63"/>
        <v>2.4781733951671437E-6</v>
      </c>
      <c r="W222" s="2"/>
      <c r="X222" s="7">
        <f t="shared" si="64"/>
        <v>-44.8</v>
      </c>
      <c r="Y222" s="2"/>
      <c r="Z222" s="6">
        <f t="shared" si="65"/>
        <v>-1</v>
      </c>
    </row>
    <row r="223" spans="1:26" s="25" customFormat="1" outlineLevel="1" collapsed="1" x14ac:dyDescent="0.25">
      <c r="A223" s="26"/>
      <c r="B223" s="13" t="str">
        <f>CONCATENATE("     ","Bank/card Fees                                    ")</f>
        <v xml:space="preserve">     Bank/card Fees                                    </v>
      </c>
      <c r="C223" s="13"/>
      <c r="D223" s="1">
        <f>SUM(OSRRefD22_4x_0)</f>
        <v>6198.4</v>
      </c>
      <c r="E223" s="1"/>
      <c r="F223" s="5">
        <f t="shared" ref="F223:F228" si="66">IF(D$12=0,0,D223/D$12)</f>
        <v>1.2818601465019064E-2</v>
      </c>
      <c r="G223" s="1"/>
      <c r="H223" s="1">
        <f>SUM(OSRRefH22_4x_0)</f>
        <v>43644.45</v>
      </c>
      <c r="I223" s="1"/>
      <c r="J223" s="5">
        <f t="shared" ref="J223:J228" si="67">IF(H$12=0,0,H223/H$12)</f>
        <v>2.2004631179911152E-2</v>
      </c>
      <c r="K223" s="1"/>
      <c r="L223" s="1">
        <f t="shared" ref="L223:L228" si="68">+D223-H223</f>
        <v>-37446.049999999996</v>
      </c>
      <c r="M223" s="1"/>
      <c r="N223" s="5">
        <f t="shared" ref="N223:N228" si="69">IF(H223=0,0,L223/H223)</f>
        <v>-0.85797965147916855</v>
      </c>
      <c r="O223" s="13"/>
      <c r="P223" s="1">
        <f>SUM(OSRRefP22_4x_0)</f>
        <v>51619.65</v>
      </c>
      <c r="Q223" s="1"/>
      <c r="R223" s="5">
        <f t="shared" ref="R223:R228" si="70">IF(P$12=0,0,P223/P$12)</f>
        <v>1.0037009028728049E-2</v>
      </c>
      <c r="S223" s="1"/>
      <c r="T223" s="1">
        <f>SUM(OSRRefT22_4x_0)</f>
        <v>266977.99</v>
      </c>
      <c r="U223" s="1"/>
      <c r="V223" s="5">
        <f t="shared" ref="V223:V228" si="71">IF(T$12=0,0,T223/T$12)</f>
        <v>1.4768253390919637E-2</v>
      </c>
      <c r="W223" s="1"/>
      <c r="X223" s="1">
        <f t="shared" ref="X223:X228" si="72">+P223-T223</f>
        <v>-215358.34</v>
      </c>
      <c r="Y223" s="1"/>
      <c r="Z223" s="5">
        <f t="shared" ref="Z223:Z228" si="73">IF(T223=0,0,X223/T223)</f>
        <v>-0.80665203899392612</v>
      </c>
    </row>
    <row r="224" spans="1:26" s="24" customFormat="1" hidden="1" outlineLevel="2" x14ac:dyDescent="0.25">
      <c r="A224" s="27"/>
      <c r="B224" s="11" t="str">
        <f>CONCATENATE("          ", "6381", " - ", "BANK/CREDIT CARD FEES")</f>
        <v xml:space="preserve">          6381 - BANK/CREDIT CARD FEES</v>
      </c>
      <c r="C224" s="11"/>
      <c r="D224" s="7">
        <v>6198.4</v>
      </c>
      <c r="E224" s="2"/>
      <c r="F224" s="6">
        <f t="shared" si="66"/>
        <v>1.2818601465019064E-2</v>
      </c>
      <c r="G224" s="2"/>
      <c r="H224" s="7">
        <v>43644.45</v>
      </c>
      <c r="I224" s="2"/>
      <c r="J224" s="6">
        <f t="shared" si="67"/>
        <v>2.2004631179911152E-2</v>
      </c>
      <c r="K224" s="2"/>
      <c r="L224" s="7">
        <f t="shared" si="68"/>
        <v>-37446.049999999996</v>
      </c>
      <c r="M224" s="2"/>
      <c r="N224" s="6">
        <f t="shared" si="69"/>
        <v>-0.85797965147916855</v>
      </c>
      <c r="O224" s="11"/>
      <c r="P224" s="7">
        <v>51619.65</v>
      </c>
      <c r="Q224" s="2"/>
      <c r="R224" s="6">
        <f t="shared" si="70"/>
        <v>1.0037009028728049E-2</v>
      </c>
      <c r="S224" s="2"/>
      <c r="T224" s="7">
        <v>266977.99</v>
      </c>
      <c r="U224" s="2"/>
      <c r="V224" s="6">
        <f t="shared" si="71"/>
        <v>1.4768253390919637E-2</v>
      </c>
      <c r="W224" s="2"/>
      <c r="X224" s="7">
        <f t="shared" si="72"/>
        <v>-215358.34</v>
      </c>
      <c r="Y224" s="2"/>
      <c r="Z224" s="6">
        <f t="shared" si="73"/>
        <v>-0.80665203899392612</v>
      </c>
    </row>
    <row r="225" spans="1:26" s="25" customFormat="1" outlineLevel="1" collapsed="1" x14ac:dyDescent="0.25">
      <c r="A225" s="26"/>
      <c r="B225" s="13" t="str">
        <f>CONCATENATE("     ","Depreciation                                      ")</f>
        <v xml:space="preserve">     Depreciation                                      </v>
      </c>
      <c r="C225" s="13"/>
      <c r="D225" s="1">
        <f>SUM(OSRRefD22_5x_0)</f>
        <v>77647.64</v>
      </c>
      <c r="E225" s="1"/>
      <c r="F225" s="5">
        <f t="shared" si="66"/>
        <v>0.1605792062240696</v>
      </c>
      <c r="G225" s="1"/>
      <c r="H225" s="1">
        <f>SUM(OSRRefH22_5x_0)</f>
        <v>79350.27</v>
      </c>
      <c r="I225" s="1"/>
      <c r="J225" s="5">
        <f t="shared" si="67"/>
        <v>4.0006768910511387E-2</v>
      </c>
      <c r="K225" s="1"/>
      <c r="L225" s="1">
        <f t="shared" si="68"/>
        <v>-1702.6300000000047</v>
      </c>
      <c r="M225" s="1"/>
      <c r="N225" s="5">
        <f t="shared" si="69"/>
        <v>-2.1457141859756803E-2</v>
      </c>
      <c r="O225" s="13"/>
      <c r="P225" s="1">
        <f>SUM(OSRRefP22_5x_0)</f>
        <v>468657.69</v>
      </c>
      <c r="Q225" s="1"/>
      <c r="R225" s="5">
        <f t="shared" si="70"/>
        <v>9.1126566451202803E-2</v>
      </c>
      <c r="S225" s="1"/>
      <c r="T225" s="1">
        <f>SUM(OSRRefT22_5x_0)</f>
        <v>468662.27</v>
      </c>
      <c r="U225" s="1"/>
      <c r="V225" s="5">
        <f t="shared" si="71"/>
        <v>2.5924695732871445E-2</v>
      </c>
      <c r="W225" s="1"/>
      <c r="X225" s="1">
        <f t="shared" si="72"/>
        <v>-4.5800000000162981</v>
      </c>
      <c r="Y225" s="1"/>
      <c r="Z225" s="5">
        <f t="shared" si="73"/>
        <v>-9.7724956609293476E-6</v>
      </c>
    </row>
    <row r="226" spans="1:26" s="24" customFormat="1" hidden="1" outlineLevel="2" x14ac:dyDescent="0.25">
      <c r="A226" s="27"/>
      <c r="B226" s="11" t="str">
        <f>CONCATENATE("          ", "6321", " - ", "BUILDING DEPRECIATION")</f>
        <v xml:space="preserve">          6321 - BUILDING DEPRECIATION</v>
      </c>
      <c r="C226" s="11"/>
      <c r="D226" s="7">
        <v>45060.52</v>
      </c>
      <c r="E226" s="2"/>
      <c r="F226" s="6">
        <f t="shared" si="66"/>
        <v>9.3187410894185738E-2</v>
      </c>
      <c r="G226" s="2"/>
      <c r="H226" s="7">
        <v>45519.990000000005</v>
      </c>
      <c r="I226" s="2"/>
      <c r="J226" s="6">
        <f t="shared" si="67"/>
        <v>2.2950239750145641E-2</v>
      </c>
      <c r="K226" s="2"/>
      <c r="L226" s="7">
        <f t="shared" si="68"/>
        <v>-459.47000000000844</v>
      </c>
      <c r="M226" s="2"/>
      <c r="N226" s="6">
        <f t="shared" si="69"/>
        <v>-1.0093807138358519E-2</v>
      </c>
      <c r="O226" s="11"/>
      <c r="P226" s="7">
        <v>271147.31</v>
      </c>
      <c r="Q226" s="2"/>
      <c r="R226" s="6">
        <f t="shared" si="70"/>
        <v>5.2722325676081164E-2</v>
      </c>
      <c r="S226" s="2"/>
      <c r="T226" s="7">
        <v>273119.94</v>
      </c>
      <c r="U226" s="2"/>
      <c r="V226" s="6">
        <f t="shared" si="71"/>
        <v>1.5108003772268898E-2</v>
      </c>
      <c r="W226" s="2"/>
      <c r="X226" s="7">
        <f t="shared" si="72"/>
        <v>-1972.6300000000047</v>
      </c>
      <c r="Y226" s="2"/>
      <c r="Z226" s="6">
        <f t="shared" si="73"/>
        <v>-7.2225777436828844E-3</v>
      </c>
    </row>
    <row r="227" spans="1:26" s="24" customFormat="1" hidden="1" outlineLevel="2" x14ac:dyDescent="0.25">
      <c r="A227" s="27"/>
      <c r="B227" s="11" t="str">
        <f>CONCATENATE("          ", "6322", " - ", "EQUIPMENT DEPRECIATION EXPENSE")</f>
        <v xml:space="preserve">          6322 - EQUIPMENT DEPRECIATION EXPENSE</v>
      </c>
      <c r="C227" s="11"/>
      <c r="D227" s="7">
        <v>32587.119999999999</v>
      </c>
      <c r="E227" s="2"/>
      <c r="F227" s="6">
        <f t="shared" si="66"/>
        <v>6.7391795329883847E-2</v>
      </c>
      <c r="G227" s="2"/>
      <c r="H227" s="7">
        <v>33406.03</v>
      </c>
      <c r="I227" s="2"/>
      <c r="J227" s="6">
        <f t="shared" si="67"/>
        <v>1.6842631063859147E-2</v>
      </c>
      <c r="K227" s="2"/>
      <c r="L227" s="7">
        <f t="shared" si="68"/>
        <v>-818.90999999999985</v>
      </c>
      <c r="M227" s="2"/>
      <c r="N227" s="6">
        <f t="shared" si="69"/>
        <v>-2.4513837771204777E-2</v>
      </c>
      <c r="O227" s="11"/>
      <c r="P227" s="7">
        <v>197510.38</v>
      </c>
      <c r="Q227" s="2"/>
      <c r="R227" s="6">
        <f t="shared" si="70"/>
        <v>3.840424077512164E-2</v>
      </c>
      <c r="S227" s="2"/>
      <c r="T227" s="7">
        <v>192996.83000000002</v>
      </c>
      <c r="U227" s="2"/>
      <c r="V227" s="6">
        <f t="shared" si="71"/>
        <v>1.0675884139678484E-2</v>
      </c>
      <c r="W227" s="2"/>
      <c r="X227" s="7">
        <f t="shared" si="72"/>
        <v>4513.5499999999884</v>
      </c>
      <c r="Y227" s="2"/>
      <c r="Z227" s="6">
        <f t="shared" si="73"/>
        <v>2.3386653552806998E-2</v>
      </c>
    </row>
    <row r="228" spans="1:26" s="24" customFormat="1" hidden="1" outlineLevel="2" x14ac:dyDescent="0.25">
      <c r="A228" s="27"/>
      <c r="B228" s="11" t="str">
        <f>CONCATENATE("          ", "6326", " - ", "VEHICLES DEPRECIATION EXPENSE")</f>
        <v xml:space="preserve">          6326 - VEHICLES DEPRECIATION EXPENSE</v>
      </c>
      <c r="C228" s="11"/>
      <c r="D228" s="7"/>
      <c r="E228" s="2"/>
      <c r="F228" s="6">
        <f t="shared" si="66"/>
        <v>0</v>
      </c>
      <c r="G228" s="2"/>
      <c r="H228" s="7">
        <v>424.25</v>
      </c>
      <c r="I228" s="2"/>
      <c r="J228" s="6">
        <f t="shared" si="67"/>
        <v>2.1389809650659605E-4</v>
      </c>
      <c r="K228" s="2"/>
      <c r="L228" s="7">
        <f t="shared" si="68"/>
        <v>-424.25</v>
      </c>
      <c r="M228" s="2"/>
      <c r="N228" s="6">
        <f t="shared" si="69"/>
        <v>-1</v>
      </c>
      <c r="O228" s="11"/>
      <c r="P228" s="7"/>
      <c r="Q228" s="2"/>
      <c r="R228" s="6">
        <f t="shared" si="70"/>
        <v>0</v>
      </c>
      <c r="S228" s="2"/>
      <c r="T228" s="7">
        <v>2545.5</v>
      </c>
      <c r="U228" s="2"/>
      <c r="V228" s="6">
        <f t="shared" si="71"/>
        <v>1.408078209240617E-4</v>
      </c>
      <c r="W228" s="2"/>
      <c r="X228" s="7">
        <f t="shared" si="72"/>
        <v>-2545.5</v>
      </c>
      <c r="Y228" s="2"/>
      <c r="Z228" s="6">
        <f t="shared" si="73"/>
        <v>-1</v>
      </c>
    </row>
    <row r="229" spans="1:26" s="25" customFormat="1" outlineLevel="1" collapsed="1" x14ac:dyDescent="0.25">
      <c r="A229" s="26"/>
      <c r="B229" s="13" t="str">
        <f>CONCATENATE("     ","Discounts and Markdowns                           ")</f>
        <v xml:space="preserve">     Discounts and Markdowns                           </v>
      </c>
      <c r="C229" s="13"/>
      <c r="D229" s="1">
        <f>SUM(OSRRefD22_6x_0)</f>
        <v>0</v>
      </c>
      <c r="E229" s="1"/>
      <c r="F229" s="5">
        <f t="shared" ref="F229:F231" si="74">IF(D$12=0,0,D229/D$12)</f>
        <v>0</v>
      </c>
      <c r="G229" s="1"/>
      <c r="H229" s="1">
        <f>SUM(OSRRefH22_6x_0)</f>
        <v>41769.519999999997</v>
      </c>
      <c r="I229" s="1"/>
      <c r="J229" s="5">
        <f t="shared" ref="J229:J231" si="75">IF(H$12=0,0,H229/H$12)</f>
        <v>2.1059330159090617E-2</v>
      </c>
      <c r="K229" s="1"/>
      <c r="L229" s="1">
        <f t="shared" ref="L229:L231" si="76">+D229-H229</f>
        <v>-41769.519999999997</v>
      </c>
      <c r="M229" s="1"/>
      <c r="N229" s="5">
        <f t="shared" ref="N229:N231" si="77">IF(H229=0,0,L229/H229)</f>
        <v>-1</v>
      </c>
      <c r="O229" s="13"/>
      <c r="P229" s="1">
        <f>SUM(OSRRefP22_6x_0)</f>
        <v>0</v>
      </c>
      <c r="Q229" s="1"/>
      <c r="R229" s="5">
        <f t="shared" ref="R229:R231" si="78">IF(P$12=0,0,P229/P$12)</f>
        <v>0</v>
      </c>
      <c r="S229" s="1"/>
      <c r="T229" s="1">
        <f>SUM(OSRRefT22_6x_0)</f>
        <v>237051.37000000002</v>
      </c>
      <c r="U229" s="1"/>
      <c r="V229" s="5">
        <f t="shared" ref="V229:V231" si="79">IF(T$12=0,0,T229/T$12)</f>
        <v>1.3112821393346493E-2</v>
      </c>
      <c r="W229" s="1"/>
      <c r="X229" s="1">
        <f t="shared" ref="X229:X231" si="80">+P229-T229</f>
        <v>-237051.37000000002</v>
      </c>
      <c r="Y229" s="1"/>
      <c r="Z229" s="5">
        <f t="shared" ref="Z229:Z231" si="81">IF(T229=0,0,X229/T229)</f>
        <v>-1</v>
      </c>
    </row>
    <row r="230" spans="1:26" s="24" customFormat="1" hidden="1" outlineLevel="2" x14ac:dyDescent="0.25">
      <c r="A230" s="27"/>
      <c r="B230" s="11" t="str">
        <f>CONCATENATE("          ", "6382", " - ", "DISCOUNTS/MARK DOWNS")</f>
        <v xml:space="preserve">          6382 - DISCOUNTS/MARK DOWNS</v>
      </c>
      <c r="C230" s="11"/>
      <c r="D230" s="7"/>
      <c r="E230" s="2"/>
      <c r="F230" s="6">
        <f t="shared" si="74"/>
        <v>0</v>
      </c>
      <c r="G230" s="2"/>
      <c r="H230" s="7">
        <v>41890.769999999997</v>
      </c>
      <c r="I230" s="2"/>
      <c r="J230" s="6">
        <f t="shared" si="75"/>
        <v>2.1120461907355611E-2</v>
      </c>
      <c r="K230" s="2"/>
      <c r="L230" s="7">
        <f t="shared" si="76"/>
        <v>-41890.769999999997</v>
      </c>
      <c r="M230" s="2"/>
      <c r="N230" s="6">
        <f t="shared" si="77"/>
        <v>-1</v>
      </c>
      <c r="O230" s="11"/>
      <c r="P230" s="7">
        <v>0</v>
      </c>
      <c r="Q230" s="2"/>
      <c r="R230" s="6">
        <f t="shared" si="78"/>
        <v>0</v>
      </c>
      <c r="S230" s="2"/>
      <c r="T230" s="7">
        <v>239537.87000000002</v>
      </c>
      <c r="U230" s="2"/>
      <c r="V230" s="6">
        <f t="shared" si="79"/>
        <v>1.3250365548415311E-2</v>
      </c>
      <c r="W230" s="2"/>
      <c r="X230" s="7">
        <f t="shared" si="80"/>
        <v>-239537.87000000002</v>
      </c>
      <c r="Y230" s="2"/>
      <c r="Z230" s="6">
        <f t="shared" si="81"/>
        <v>-1</v>
      </c>
    </row>
    <row r="231" spans="1:26" s="24" customFormat="1" hidden="1" outlineLevel="2" x14ac:dyDescent="0.25">
      <c r="A231" s="27"/>
      <c r="B231" s="11" t="str">
        <f>CONCATENATE("          ", "9175", " - ", "EARNED DISCOUNTS")</f>
        <v xml:space="preserve">          9175 - EARNED DISCOUNTS</v>
      </c>
      <c r="C231" s="11"/>
      <c r="D231" s="7"/>
      <c r="E231" s="2"/>
      <c r="F231" s="6">
        <f t="shared" si="74"/>
        <v>0</v>
      </c>
      <c r="G231" s="2"/>
      <c r="H231" s="7">
        <v>-121.25</v>
      </c>
      <c r="I231" s="2"/>
      <c r="J231" s="6">
        <f t="shared" si="75"/>
        <v>-6.1131748264996522E-5</v>
      </c>
      <c r="K231" s="2"/>
      <c r="L231" s="7">
        <f t="shared" si="76"/>
        <v>121.25</v>
      </c>
      <c r="M231" s="2"/>
      <c r="N231" s="6">
        <f t="shared" si="77"/>
        <v>-1</v>
      </c>
      <c r="O231" s="11"/>
      <c r="P231" s="7">
        <v>0</v>
      </c>
      <c r="Q231" s="2"/>
      <c r="R231" s="6">
        <f t="shared" si="78"/>
        <v>0</v>
      </c>
      <c r="S231" s="2"/>
      <c r="T231" s="7">
        <v>-2486.5</v>
      </c>
      <c r="U231" s="2"/>
      <c r="V231" s="6">
        <f t="shared" si="79"/>
        <v>-1.3754415506881927E-4</v>
      </c>
      <c r="W231" s="2"/>
      <c r="X231" s="7">
        <f t="shared" si="80"/>
        <v>2486.5</v>
      </c>
      <c r="Y231" s="2"/>
      <c r="Z231" s="6">
        <f t="shared" si="81"/>
        <v>-1</v>
      </c>
    </row>
    <row r="232" spans="1:26" s="25" customFormat="1" outlineLevel="1" collapsed="1" x14ac:dyDescent="0.25">
      <c r="A232" s="26"/>
      <c r="B232" s="13" t="str">
        <f>CONCATENATE("     ","Donations                                         ")</f>
        <v xml:space="preserve">     Donations                                         </v>
      </c>
      <c r="C232" s="13"/>
      <c r="D232" s="1">
        <f>SUM(OSRRefD22_7x_0)</f>
        <v>6666.05</v>
      </c>
      <c r="E232" s="1"/>
      <c r="F232" s="5">
        <f t="shared" ref="F232:F240" si="82">IF(D$12=0,0,D232/D$12)</f>
        <v>1.3785725073549681E-2</v>
      </c>
      <c r="G232" s="1"/>
      <c r="H232" s="1">
        <f>SUM(OSRRefH22_7x_0)</f>
        <v>11353.93</v>
      </c>
      <c r="I232" s="1"/>
      <c r="J232" s="5">
        <f t="shared" ref="J232:J240" si="83">IF(H$12=0,0,H232/H$12)</f>
        <v>5.7244172418836449E-3</v>
      </c>
      <c r="K232" s="1"/>
      <c r="L232" s="1">
        <f t="shared" ref="L232:L240" si="84">+D232-H232</f>
        <v>-4687.88</v>
      </c>
      <c r="M232" s="1"/>
      <c r="N232" s="5">
        <f t="shared" ref="N232:N240" si="85">IF(H232=0,0,L232/H232)</f>
        <v>-0.41288611080040127</v>
      </c>
      <c r="O232" s="13"/>
      <c r="P232" s="1">
        <f>SUM(OSRRefP22_7x_0)</f>
        <v>36822.009999999995</v>
      </c>
      <c r="Q232" s="1"/>
      <c r="R232" s="5">
        <f t="shared" ref="R232:R240" si="86">IF(P$12=0,0,P232/P$12)</f>
        <v>7.1597317460679105E-3</v>
      </c>
      <c r="S232" s="1"/>
      <c r="T232" s="1">
        <f>SUM(OSRRefT22_7x_0)</f>
        <v>87408.73</v>
      </c>
      <c r="U232" s="1"/>
      <c r="V232" s="5">
        <f t="shared" ref="V232:V240" si="87">IF(T$12=0,0,T232/T$12)</f>
        <v>4.8351336873068791E-3</v>
      </c>
      <c r="W232" s="1"/>
      <c r="X232" s="1">
        <f t="shared" ref="X232:X240" si="88">+P232-T232</f>
        <v>-50586.720000000001</v>
      </c>
      <c r="Y232" s="1"/>
      <c r="Z232" s="5">
        <f t="shared" ref="Z232:Z240" si="89">IF(T232=0,0,X232/T232)</f>
        <v>-0.57873761579649996</v>
      </c>
    </row>
    <row r="233" spans="1:26" s="24" customFormat="1" hidden="1" outlineLevel="2" x14ac:dyDescent="0.25">
      <c r="A233" s="27"/>
      <c r="B233" s="11" t="str">
        <f>CONCATENATE("          ", "6399", " - ", "DONATION-ON CAMPUS")</f>
        <v xml:space="preserve">          6399 - DONATION-ON CAMPUS</v>
      </c>
      <c r="C233" s="11"/>
      <c r="D233" s="7">
        <v>6666.05</v>
      </c>
      <c r="E233" s="2"/>
      <c r="F233" s="6">
        <f t="shared" si="82"/>
        <v>1.3785725073549681E-2</v>
      </c>
      <c r="G233" s="2"/>
      <c r="H233" s="7">
        <v>11353.93</v>
      </c>
      <c r="I233" s="2"/>
      <c r="J233" s="6">
        <f t="shared" si="83"/>
        <v>5.7244172418836449E-3</v>
      </c>
      <c r="K233" s="2"/>
      <c r="L233" s="7">
        <f t="shared" si="84"/>
        <v>-4687.88</v>
      </c>
      <c r="M233" s="2"/>
      <c r="N233" s="6">
        <f t="shared" si="85"/>
        <v>-0.41288611080040127</v>
      </c>
      <c r="O233" s="11"/>
      <c r="P233" s="7">
        <v>36822.009999999995</v>
      </c>
      <c r="Q233" s="2"/>
      <c r="R233" s="6">
        <f t="shared" si="86"/>
        <v>7.1597317460679105E-3</v>
      </c>
      <c r="S233" s="2"/>
      <c r="T233" s="7">
        <v>87408.73</v>
      </c>
      <c r="U233" s="2"/>
      <c r="V233" s="6">
        <f t="shared" si="87"/>
        <v>4.8351336873068791E-3</v>
      </c>
      <c r="W233" s="2"/>
      <c r="X233" s="7">
        <f t="shared" si="88"/>
        <v>-50586.720000000001</v>
      </c>
      <c r="Y233" s="2"/>
      <c r="Z233" s="6">
        <f t="shared" si="89"/>
        <v>-0.57873761579649996</v>
      </c>
    </row>
    <row r="234" spans="1:26" s="25" customFormat="1" outlineLevel="1" collapsed="1" x14ac:dyDescent="0.25">
      <c r="A234" s="26"/>
      <c r="B234" s="13" t="str">
        <f>CONCATENATE("     ","Employees' Appreciation                           ")</f>
        <v xml:space="preserve">     Employees' Appreciation                           </v>
      </c>
      <c r="C234" s="13"/>
      <c r="D234" s="1">
        <f>SUM(OSRRefD22_8x_0)</f>
        <v>10</v>
      </c>
      <c r="E234" s="1"/>
      <c r="F234" s="5">
        <f t="shared" si="82"/>
        <v>2.068050055662601E-5</v>
      </c>
      <c r="G234" s="1"/>
      <c r="H234" s="1">
        <f>SUM(OSRRefH22_8x_0)</f>
        <v>573.37</v>
      </c>
      <c r="I234" s="1"/>
      <c r="J234" s="5">
        <f t="shared" si="83"/>
        <v>2.8908132373361691E-4</v>
      </c>
      <c r="K234" s="1"/>
      <c r="L234" s="1">
        <f t="shared" si="84"/>
        <v>-563.37</v>
      </c>
      <c r="M234" s="1"/>
      <c r="N234" s="5">
        <f t="shared" si="85"/>
        <v>-0.98255925493137064</v>
      </c>
      <c r="O234" s="13"/>
      <c r="P234" s="1">
        <f>SUM(OSRRefP22_8x_0)</f>
        <v>117.7</v>
      </c>
      <c r="Q234" s="1"/>
      <c r="R234" s="5">
        <f t="shared" si="86"/>
        <v>2.2885780176372587E-5</v>
      </c>
      <c r="S234" s="1"/>
      <c r="T234" s="1">
        <f>SUM(OSRRefT22_8x_0)</f>
        <v>3748.75</v>
      </c>
      <c r="U234" s="1"/>
      <c r="V234" s="5">
        <f t="shared" si="87"/>
        <v>2.0736724364135782E-4</v>
      </c>
      <c r="W234" s="1"/>
      <c r="X234" s="1">
        <f t="shared" si="88"/>
        <v>-3631.05</v>
      </c>
      <c r="Y234" s="1"/>
      <c r="Z234" s="5">
        <f t="shared" si="89"/>
        <v>-0.96860286762254089</v>
      </c>
    </row>
    <row r="235" spans="1:26" s="24" customFormat="1" hidden="1" outlineLevel="2" x14ac:dyDescent="0.25">
      <c r="A235" s="27"/>
      <c r="B235" s="11" t="str">
        <f>CONCATENATE("          ", "6277", " - ", "EMPLOYEE APPRECIATION")</f>
        <v xml:space="preserve">          6277 - EMPLOYEE APPRECIATION</v>
      </c>
      <c r="C235" s="11"/>
      <c r="D235" s="7">
        <v>10</v>
      </c>
      <c r="E235" s="2"/>
      <c r="F235" s="6">
        <f t="shared" si="82"/>
        <v>2.068050055662601E-5</v>
      </c>
      <c r="G235" s="2"/>
      <c r="H235" s="7">
        <v>573.37</v>
      </c>
      <c r="I235" s="2"/>
      <c r="J235" s="6">
        <f t="shared" si="83"/>
        <v>2.8908132373361691E-4</v>
      </c>
      <c r="K235" s="2"/>
      <c r="L235" s="7">
        <f t="shared" si="84"/>
        <v>-563.37</v>
      </c>
      <c r="M235" s="2"/>
      <c r="N235" s="6">
        <f t="shared" si="85"/>
        <v>-0.98255925493137064</v>
      </c>
      <c r="O235" s="11"/>
      <c r="P235" s="7">
        <v>117.7</v>
      </c>
      <c r="Q235" s="2"/>
      <c r="R235" s="6">
        <f t="shared" si="86"/>
        <v>2.2885780176372587E-5</v>
      </c>
      <c r="S235" s="2"/>
      <c r="T235" s="7">
        <v>3748.75</v>
      </c>
      <c r="U235" s="2"/>
      <c r="V235" s="6">
        <f t="shared" si="87"/>
        <v>2.0736724364135782E-4</v>
      </c>
      <c r="W235" s="2"/>
      <c r="X235" s="7">
        <f t="shared" si="88"/>
        <v>-3631.05</v>
      </c>
      <c r="Y235" s="2"/>
      <c r="Z235" s="6">
        <f t="shared" si="89"/>
        <v>-0.96860286762254089</v>
      </c>
    </row>
    <row r="236" spans="1:26" s="25" customFormat="1" outlineLevel="1" collapsed="1" x14ac:dyDescent="0.25">
      <c r="A236" s="26"/>
      <c r="B236" s="13" t="str">
        <f>CONCATENATE("     ","Equipment Rental                                  ")</f>
        <v xml:space="preserve">     Equipment Rental                                  </v>
      </c>
      <c r="C236" s="13"/>
      <c r="D236" s="1">
        <f>SUM(OSRRefD22_9x_0)</f>
        <v>2069.89</v>
      </c>
      <c r="E236" s="1"/>
      <c r="F236" s="5">
        <f t="shared" si="82"/>
        <v>4.2806361297154606E-3</v>
      </c>
      <c r="G236" s="1"/>
      <c r="H236" s="1">
        <f>SUM(OSRRefH22_9x_0)</f>
        <v>3009.99</v>
      </c>
      <c r="I236" s="1"/>
      <c r="J236" s="5">
        <f t="shared" si="83"/>
        <v>1.517574853279644E-3</v>
      </c>
      <c r="K236" s="1"/>
      <c r="L236" s="1">
        <f t="shared" si="84"/>
        <v>-940.09999999999991</v>
      </c>
      <c r="M236" s="1"/>
      <c r="N236" s="5">
        <f t="shared" si="85"/>
        <v>-0.31232661902531239</v>
      </c>
      <c r="O236" s="13"/>
      <c r="P236" s="1">
        <f>SUM(OSRRefP22_9x_0)</f>
        <v>16366.04</v>
      </c>
      <c r="Q236" s="1"/>
      <c r="R236" s="5">
        <f t="shared" si="86"/>
        <v>3.1822395394878575E-3</v>
      </c>
      <c r="S236" s="1"/>
      <c r="T236" s="1">
        <f>SUM(OSRRefT22_9x_0)</f>
        <v>29436.74</v>
      </c>
      <c r="U236" s="1"/>
      <c r="V236" s="5">
        <f t="shared" si="87"/>
        <v>1.628333614027957E-3</v>
      </c>
      <c r="W236" s="1"/>
      <c r="X236" s="1">
        <f t="shared" si="88"/>
        <v>-13070.7</v>
      </c>
      <c r="Y236" s="1"/>
      <c r="Z236" s="5">
        <f t="shared" si="89"/>
        <v>-0.44402675024476218</v>
      </c>
    </row>
    <row r="237" spans="1:26" s="24" customFormat="1" hidden="1" outlineLevel="2" x14ac:dyDescent="0.25">
      <c r="A237" s="27"/>
      <c r="B237" s="11" t="str">
        <f>CONCATENATE("          ", "6351", " - ", "EQUIPMENT RENTAL")</f>
        <v xml:space="preserve">          6351 - EQUIPMENT RENTAL</v>
      </c>
      <c r="C237" s="11"/>
      <c r="D237" s="7">
        <v>2069.89</v>
      </c>
      <c r="E237" s="2"/>
      <c r="F237" s="6">
        <f t="shared" si="82"/>
        <v>4.2806361297154606E-3</v>
      </c>
      <c r="G237" s="2"/>
      <c r="H237" s="7">
        <v>3009.99</v>
      </c>
      <c r="I237" s="2"/>
      <c r="J237" s="6">
        <f t="shared" si="83"/>
        <v>1.517574853279644E-3</v>
      </c>
      <c r="K237" s="2"/>
      <c r="L237" s="7">
        <f t="shared" si="84"/>
        <v>-940.09999999999991</v>
      </c>
      <c r="M237" s="2"/>
      <c r="N237" s="6">
        <f t="shared" si="85"/>
        <v>-0.31232661902531239</v>
      </c>
      <c r="O237" s="11"/>
      <c r="P237" s="7">
        <v>16366.04</v>
      </c>
      <c r="Q237" s="2"/>
      <c r="R237" s="6">
        <f t="shared" si="86"/>
        <v>3.1822395394878575E-3</v>
      </c>
      <c r="S237" s="2"/>
      <c r="T237" s="7">
        <v>29436.74</v>
      </c>
      <c r="U237" s="2"/>
      <c r="V237" s="6">
        <f t="shared" si="87"/>
        <v>1.628333614027957E-3</v>
      </c>
      <c r="W237" s="2"/>
      <c r="X237" s="7">
        <f t="shared" si="88"/>
        <v>-13070.7</v>
      </c>
      <c r="Y237" s="2"/>
      <c r="Z237" s="6">
        <f t="shared" si="89"/>
        <v>-0.44402675024476218</v>
      </c>
    </row>
    <row r="238" spans="1:26" s="25" customFormat="1" outlineLevel="1" collapsed="1" x14ac:dyDescent="0.25">
      <c r="A238" s="26"/>
      <c r="B238" s="13" t="str">
        <f>CONCATENATE("     ","Freight out/Postage                               ")</f>
        <v xml:space="preserve">     Freight out/Postage                               </v>
      </c>
      <c r="C238" s="13"/>
      <c r="D238" s="1">
        <f>SUM(OSRRefD22_10x_0)</f>
        <v>4353.43</v>
      </c>
      <c r="E238" s="1"/>
      <c r="F238" s="5">
        <f t="shared" si="82"/>
        <v>9.0031111538232365E-3</v>
      </c>
      <c r="G238" s="1"/>
      <c r="H238" s="1">
        <f>SUM(OSRRefH22_10x_0)</f>
        <v>1921.3400000000001</v>
      </c>
      <c r="I238" s="1"/>
      <c r="J238" s="5">
        <f t="shared" si="83"/>
        <v>9.6869998524922406E-4</v>
      </c>
      <c r="K238" s="1"/>
      <c r="L238" s="1">
        <f t="shared" si="84"/>
        <v>2432.09</v>
      </c>
      <c r="M238" s="1"/>
      <c r="N238" s="5">
        <f t="shared" si="85"/>
        <v>1.2658300977442827</v>
      </c>
      <c r="O238" s="13"/>
      <c r="P238" s="1">
        <f>SUM(OSRRefP22_10x_0)</f>
        <v>-14071.719999999987</v>
      </c>
      <c r="Q238" s="1"/>
      <c r="R238" s="5">
        <f t="shared" si="86"/>
        <v>-2.736128212603784E-3</v>
      </c>
      <c r="S238" s="1"/>
      <c r="T238" s="1">
        <f>SUM(OSRRefT22_10x_0)</f>
        <v>6825.880000000001</v>
      </c>
      <c r="U238" s="1"/>
      <c r="V238" s="5">
        <f t="shared" si="87"/>
        <v>3.7758290657597114E-4</v>
      </c>
      <c r="W238" s="1"/>
      <c r="X238" s="1">
        <f t="shared" si="88"/>
        <v>-20897.599999999988</v>
      </c>
      <c r="Y238" s="1"/>
      <c r="Z238" s="5">
        <f t="shared" si="89"/>
        <v>-3.0615246678816481</v>
      </c>
    </row>
    <row r="239" spans="1:26" s="24" customFormat="1" hidden="1" outlineLevel="2" x14ac:dyDescent="0.25">
      <c r="A239" s="27"/>
      <c r="B239" s="11" t="str">
        <f>CONCATENATE("          ", "6305", " - ", "FREIGHT OUT")</f>
        <v xml:space="preserve">          6305 - FREIGHT OUT</v>
      </c>
      <c r="C239" s="11"/>
      <c r="D239" s="7">
        <v>13760</v>
      </c>
      <c r="E239" s="2"/>
      <c r="F239" s="6">
        <f t="shared" si="82"/>
        <v>2.8456368765917388E-2</v>
      </c>
      <c r="G239" s="2"/>
      <c r="H239" s="7">
        <v>6027.58</v>
      </c>
      <c r="I239" s="2"/>
      <c r="J239" s="6">
        <f t="shared" si="83"/>
        <v>3.0389814697495067E-3</v>
      </c>
      <c r="K239" s="2"/>
      <c r="L239" s="7">
        <f t="shared" si="84"/>
        <v>7732.42</v>
      </c>
      <c r="M239" s="2"/>
      <c r="N239" s="6">
        <f t="shared" si="85"/>
        <v>1.2828398793545668</v>
      </c>
      <c r="O239" s="11"/>
      <c r="P239" s="7">
        <v>117742.96</v>
      </c>
      <c r="Q239" s="2"/>
      <c r="R239" s="6">
        <f t="shared" si="86"/>
        <v>2.289413338891615E-2</v>
      </c>
      <c r="S239" s="2"/>
      <c r="T239" s="7">
        <v>34979.72</v>
      </c>
      <c r="U239" s="2"/>
      <c r="V239" s="6">
        <f t="shared" si="87"/>
        <v>1.9349511489820546E-3</v>
      </c>
      <c r="W239" s="2"/>
      <c r="X239" s="7">
        <f t="shared" si="88"/>
        <v>82763.240000000005</v>
      </c>
      <c r="Y239" s="2"/>
      <c r="Z239" s="6">
        <f t="shared" si="89"/>
        <v>2.3660349482500145</v>
      </c>
    </row>
    <row r="240" spans="1:26" s="24" customFormat="1" hidden="1" outlineLevel="2" x14ac:dyDescent="0.25">
      <c r="A240" s="27"/>
      <c r="B240" s="11" t="str">
        <f>CONCATENATE("          ", "6307", " - ", "POSTAGE")</f>
        <v xml:space="preserve">          6307 - POSTAGE</v>
      </c>
      <c r="C240" s="11"/>
      <c r="D240" s="7">
        <v>-9406.57</v>
      </c>
      <c r="E240" s="2"/>
      <c r="F240" s="6">
        <f t="shared" si="82"/>
        <v>-1.9453257612094151E-2</v>
      </c>
      <c r="G240" s="2"/>
      <c r="H240" s="7">
        <v>-4106.24</v>
      </c>
      <c r="I240" s="2"/>
      <c r="J240" s="6">
        <f t="shared" si="83"/>
        <v>-2.0702814845002825E-3</v>
      </c>
      <c r="K240" s="2"/>
      <c r="L240" s="7">
        <f t="shared" si="84"/>
        <v>-5300.33</v>
      </c>
      <c r="M240" s="2"/>
      <c r="N240" s="6">
        <f t="shared" si="85"/>
        <v>1.2907988817019951</v>
      </c>
      <c r="O240" s="11"/>
      <c r="P240" s="7">
        <v>-131814.68</v>
      </c>
      <c r="Q240" s="2"/>
      <c r="R240" s="6">
        <f t="shared" si="86"/>
        <v>-2.5630261601519932E-2</v>
      </c>
      <c r="S240" s="2"/>
      <c r="T240" s="7">
        <v>-28153.84</v>
      </c>
      <c r="U240" s="2"/>
      <c r="V240" s="6">
        <f t="shared" si="87"/>
        <v>-1.5573682424060834E-3</v>
      </c>
      <c r="W240" s="2"/>
      <c r="X240" s="7">
        <f t="shared" si="88"/>
        <v>-103660.84</v>
      </c>
      <c r="Y240" s="2"/>
      <c r="Z240" s="6">
        <f t="shared" si="89"/>
        <v>3.6819432091679145</v>
      </c>
    </row>
    <row r="241" spans="1:26" s="25" customFormat="1" outlineLevel="1" collapsed="1" x14ac:dyDescent="0.25">
      <c r="A241" s="26"/>
      <c r="B241" s="13" t="str">
        <f>CONCATENATE("     ","General                                           ")</f>
        <v xml:space="preserve">     General                                           </v>
      </c>
      <c r="C241" s="13"/>
      <c r="D241" s="1">
        <f>SUM(OSRRefD22_11x_0)</f>
        <v>4229.33</v>
      </c>
      <c r="E241" s="1"/>
      <c r="F241" s="5">
        <f t="shared" ref="F241:F243" si="90">IF(D$12=0,0,D241/D$12)</f>
        <v>8.7464661419155067E-3</v>
      </c>
      <c r="G241" s="1"/>
      <c r="H241" s="1">
        <f>SUM(OSRRefH22_11x_0)</f>
        <v>7950.42</v>
      </c>
      <c r="I241" s="1"/>
      <c r="J241" s="5">
        <f t="shared" ref="J241:J243" si="91">IF(H$12=0,0,H241/H$12)</f>
        <v>4.0084377240494316E-3</v>
      </c>
      <c r="K241" s="1"/>
      <c r="L241" s="1">
        <f t="shared" ref="L241:L243" si="92">+D241-H241</f>
        <v>-3721.09</v>
      </c>
      <c r="M241" s="1"/>
      <c r="N241" s="5">
        <f t="shared" ref="N241:N243" si="93">IF(H241=0,0,L241/H241)</f>
        <v>-0.4680369087419281</v>
      </c>
      <c r="O241" s="13"/>
      <c r="P241" s="1">
        <f>SUM(OSRRefP22_11x_0)</f>
        <v>17309.580000000002</v>
      </c>
      <c r="Q241" s="1"/>
      <c r="R241" s="5">
        <f t="shared" ref="R241:R243" si="94">IF(P$12=0,0,P241/P$12)</f>
        <v>3.3657029976664017E-3</v>
      </c>
      <c r="S241" s="1"/>
      <c r="T241" s="1">
        <f>SUM(OSRRefT22_11x_0)</f>
        <v>78462.710000000006</v>
      </c>
      <c r="U241" s="1"/>
      <c r="V241" s="5">
        <f t="shared" ref="V241:V243" si="95">IF(T$12=0,0,T241/T$12)</f>
        <v>4.3402723311320316E-3</v>
      </c>
      <c r="W241" s="1"/>
      <c r="X241" s="1">
        <f t="shared" ref="X241:X243" si="96">+P241-T241</f>
        <v>-61153.130000000005</v>
      </c>
      <c r="Y241" s="1"/>
      <c r="Z241" s="5">
        <f t="shared" ref="Z241:Z243" si="97">IF(T241=0,0,X241/T241)</f>
        <v>-0.77939099987752147</v>
      </c>
    </row>
    <row r="242" spans="1:26" s="24" customFormat="1" hidden="1" outlineLevel="2" x14ac:dyDescent="0.25">
      <c r="A242" s="27"/>
      <c r="B242" s="11" t="str">
        <f>CONCATENATE("          ", "6269", " - ", "ENTERTAINMENT")</f>
        <v xml:space="preserve">          6269 - ENTERTAINMENT</v>
      </c>
      <c r="C242" s="11"/>
      <c r="D242" s="7"/>
      <c r="E242" s="2"/>
      <c r="F242" s="6">
        <f t="shared" si="90"/>
        <v>0</v>
      </c>
      <c r="G242" s="2"/>
      <c r="H242" s="7">
        <v>1250</v>
      </c>
      <c r="I242" s="2"/>
      <c r="J242" s="6">
        <f t="shared" si="91"/>
        <v>6.3022420891748984E-4</v>
      </c>
      <c r="K242" s="2"/>
      <c r="L242" s="7">
        <f t="shared" si="92"/>
        <v>-1250</v>
      </c>
      <c r="M242" s="2"/>
      <c r="N242" s="6">
        <f t="shared" si="93"/>
        <v>-1</v>
      </c>
      <c r="O242" s="11"/>
      <c r="P242" s="7"/>
      <c r="Q242" s="2"/>
      <c r="R242" s="6">
        <f t="shared" si="94"/>
        <v>0</v>
      </c>
      <c r="S242" s="2"/>
      <c r="T242" s="7">
        <v>7350</v>
      </c>
      <c r="U242" s="2"/>
      <c r="V242" s="6">
        <f t="shared" si="95"/>
        <v>4.0657532264460955E-4</v>
      </c>
      <c r="W242" s="2"/>
      <c r="X242" s="7">
        <f t="shared" si="96"/>
        <v>-7350</v>
      </c>
      <c r="Y242" s="2"/>
      <c r="Z242" s="6">
        <f t="shared" si="97"/>
        <v>-1</v>
      </c>
    </row>
    <row r="243" spans="1:26" s="24" customFormat="1" hidden="1" outlineLevel="2" x14ac:dyDescent="0.25">
      <c r="A243" s="27"/>
      <c r="B243" s="11" t="str">
        <f>CONCATENATE("          ", "6279", " - ", "GENERAL EXPENSE")</f>
        <v xml:space="preserve">          6279 - GENERAL EXPENSE</v>
      </c>
      <c r="C243" s="11"/>
      <c r="D243" s="7">
        <v>4229.33</v>
      </c>
      <c r="E243" s="2"/>
      <c r="F243" s="6">
        <f t="shared" si="90"/>
        <v>8.7464661419155067E-3</v>
      </c>
      <c r="G243" s="2"/>
      <c r="H243" s="7">
        <v>6700.42</v>
      </c>
      <c r="I243" s="2"/>
      <c r="J243" s="6">
        <f t="shared" si="91"/>
        <v>3.378213515131942E-3</v>
      </c>
      <c r="K243" s="2"/>
      <c r="L243" s="7">
        <f t="shared" si="92"/>
        <v>-2471.09</v>
      </c>
      <c r="M243" s="2"/>
      <c r="N243" s="6">
        <f t="shared" si="93"/>
        <v>-0.36879628441202195</v>
      </c>
      <c r="O243" s="11"/>
      <c r="P243" s="7">
        <v>17309.580000000002</v>
      </c>
      <c r="Q243" s="2"/>
      <c r="R243" s="6">
        <f t="shared" si="94"/>
        <v>3.3657029976664017E-3</v>
      </c>
      <c r="S243" s="2"/>
      <c r="T243" s="7">
        <v>71112.710000000006</v>
      </c>
      <c r="U243" s="2"/>
      <c r="V243" s="6">
        <f t="shared" si="95"/>
        <v>3.9336970084874225E-3</v>
      </c>
      <c r="W243" s="2"/>
      <c r="X243" s="7">
        <f t="shared" si="96"/>
        <v>-53803.130000000005</v>
      </c>
      <c r="Y243" s="2"/>
      <c r="Z243" s="6">
        <f t="shared" si="97"/>
        <v>-0.75658950418286686</v>
      </c>
    </row>
    <row r="244" spans="1:26" s="25" customFormat="1" outlineLevel="1" collapsed="1" x14ac:dyDescent="0.25">
      <c r="A244" s="26"/>
      <c r="B244" s="13" t="str">
        <f>CONCATENATE("     ","Insurance                                         ")</f>
        <v xml:space="preserve">     Insurance                                         </v>
      </c>
      <c r="C244" s="13"/>
      <c r="D244" s="1">
        <f>SUM(OSRRefD22_12x_0)</f>
        <v>8563.32</v>
      </c>
      <c r="E244" s="1"/>
      <c r="F244" s="5">
        <f t="shared" ref="F244:F260" si="98">IF(D$12=0,0,D244/D$12)</f>
        <v>1.7709374402656661E-2</v>
      </c>
      <c r="G244" s="1"/>
      <c r="H244" s="1">
        <f>SUM(OSRRefH22_12x_0)</f>
        <v>8563.32</v>
      </c>
      <c r="I244" s="1"/>
      <c r="J244" s="5">
        <f t="shared" ref="J244:J260" si="99">IF(H$12=0,0,H244/H$12)</f>
        <v>4.3174492581658551E-3</v>
      </c>
      <c r="K244" s="1"/>
      <c r="L244" s="1">
        <f t="shared" ref="L244:L260" si="100">+D244-H244</f>
        <v>0</v>
      </c>
      <c r="M244" s="1"/>
      <c r="N244" s="5">
        <f t="shared" ref="N244:N260" si="101">IF(H244=0,0,L244/H244)</f>
        <v>0</v>
      </c>
      <c r="O244" s="13"/>
      <c r="P244" s="1">
        <f>SUM(OSRRefP22_12x_0)</f>
        <v>57491.92</v>
      </c>
      <c r="Q244" s="1"/>
      <c r="R244" s="5">
        <f t="shared" ref="R244:R260" si="102">IF(P$12=0,0,P244/P$12)</f>
        <v>1.1178822795561587E-2</v>
      </c>
      <c r="S244" s="1"/>
      <c r="T244" s="1">
        <f>SUM(OSRRefT22_12x_0)</f>
        <v>51379.92</v>
      </c>
      <c r="U244" s="1"/>
      <c r="V244" s="5">
        <f t="shared" ref="V244:V260" si="103">IF(T$12=0,0,T244/T$12)</f>
        <v>2.842150687272684E-3</v>
      </c>
      <c r="W244" s="1"/>
      <c r="X244" s="1">
        <f t="shared" ref="X244:X260" si="104">+P244-T244</f>
        <v>6112</v>
      </c>
      <c r="Y244" s="1"/>
      <c r="Z244" s="5">
        <f t="shared" ref="Z244:Z260" si="105">IF(T244=0,0,X244/T244)</f>
        <v>0.11895697774539159</v>
      </c>
    </row>
    <row r="245" spans="1:26" s="24" customFormat="1" hidden="1" outlineLevel="2" x14ac:dyDescent="0.25">
      <c r="A245" s="27"/>
      <c r="B245" s="11" t="str">
        <f>CONCATENATE("          ", "6314", " - ", "LIABILITY INSURANCE")</f>
        <v xml:space="preserve">          6314 - LIABILITY INSURANCE</v>
      </c>
      <c r="C245" s="11"/>
      <c r="D245" s="7">
        <v>8563.32</v>
      </c>
      <c r="E245" s="2"/>
      <c r="F245" s="6">
        <f t="shared" si="98"/>
        <v>1.7709374402656661E-2</v>
      </c>
      <c r="G245" s="2"/>
      <c r="H245" s="7">
        <v>8563.32</v>
      </c>
      <c r="I245" s="2"/>
      <c r="J245" s="6">
        <f t="shared" si="99"/>
        <v>4.3174492581658551E-3</v>
      </c>
      <c r="K245" s="2"/>
      <c r="L245" s="7">
        <f t="shared" si="100"/>
        <v>0</v>
      </c>
      <c r="M245" s="2"/>
      <c r="N245" s="6">
        <f t="shared" si="101"/>
        <v>0</v>
      </c>
      <c r="O245" s="11"/>
      <c r="P245" s="7">
        <v>57491.92</v>
      </c>
      <c r="Q245" s="2"/>
      <c r="R245" s="6">
        <f t="shared" si="102"/>
        <v>1.1178822795561587E-2</v>
      </c>
      <c r="S245" s="2"/>
      <c r="T245" s="7">
        <v>51379.92</v>
      </c>
      <c r="U245" s="2"/>
      <c r="V245" s="6">
        <f t="shared" si="103"/>
        <v>2.842150687272684E-3</v>
      </c>
      <c r="W245" s="2"/>
      <c r="X245" s="7">
        <f t="shared" si="104"/>
        <v>6112</v>
      </c>
      <c r="Y245" s="2"/>
      <c r="Z245" s="6">
        <f t="shared" si="105"/>
        <v>0.11895697774539159</v>
      </c>
    </row>
    <row r="246" spans="1:26" s="25" customFormat="1" outlineLevel="1" collapsed="1" x14ac:dyDescent="0.25">
      <c r="A246" s="26"/>
      <c r="B246" s="13" t="str">
        <f>CONCATENATE("     ","Interest                                          ")</f>
        <v xml:space="preserve">     Interest                                          </v>
      </c>
      <c r="C246" s="13"/>
      <c r="D246" s="1">
        <f>SUM(OSRRefD22_13x_0)</f>
        <v>11554</v>
      </c>
      <c r="E246" s="1"/>
      <c r="F246" s="5">
        <f t="shared" si="98"/>
        <v>2.389425034312569E-2</v>
      </c>
      <c r="G246" s="1"/>
      <c r="H246" s="1">
        <f>SUM(OSRRefH22_13x_0)</f>
        <v>11929</v>
      </c>
      <c r="I246" s="1"/>
      <c r="J246" s="5">
        <f t="shared" si="99"/>
        <v>6.0143556705413896E-3</v>
      </c>
      <c r="K246" s="1"/>
      <c r="L246" s="1">
        <f t="shared" si="100"/>
        <v>-375</v>
      </c>
      <c r="M246" s="1"/>
      <c r="N246" s="5">
        <f t="shared" si="101"/>
        <v>-3.1435996311509763E-2</v>
      </c>
      <c r="O246" s="13"/>
      <c r="P246" s="1">
        <f>SUM(OSRRefP22_13x_0)</f>
        <v>68575</v>
      </c>
      <c r="Q246" s="1"/>
      <c r="R246" s="5">
        <f t="shared" si="102"/>
        <v>1.3333834966820307E-2</v>
      </c>
      <c r="S246" s="1"/>
      <c r="T246" s="1">
        <f>SUM(OSRRefT22_13x_0)</f>
        <v>70975</v>
      </c>
      <c r="U246" s="1"/>
      <c r="V246" s="5">
        <f t="shared" si="103"/>
        <v>3.9260793911158045E-3</v>
      </c>
      <c r="W246" s="1"/>
      <c r="X246" s="1">
        <f t="shared" si="104"/>
        <v>-2400</v>
      </c>
      <c r="Y246" s="1"/>
      <c r="Z246" s="5">
        <f t="shared" si="105"/>
        <v>-3.3814723494188091E-2</v>
      </c>
    </row>
    <row r="247" spans="1:26" s="24" customFormat="1" hidden="1" outlineLevel="2" x14ac:dyDescent="0.25">
      <c r="A247" s="27"/>
      <c r="B247" s="11" t="str">
        <f>CONCATENATE("          ", "6401", " - ", "INTEREST EXPENSE")</f>
        <v xml:space="preserve">          6401 - INTEREST EXPENSE</v>
      </c>
      <c r="C247" s="11"/>
      <c r="D247" s="7">
        <v>11554</v>
      </c>
      <c r="E247" s="2"/>
      <c r="F247" s="6">
        <f t="shared" si="98"/>
        <v>2.389425034312569E-2</v>
      </c>
      <c r="G247" s="2"/>
      <c r="H247" s="7">
        <v>11929</v>
      </c>
      <c r="I247" s="2"/>
      <c r="J247" s="6">
        <f t="shared" si="99"/>
        <v>6.0143556705413896E-3</v>
      </c>
      <c r="K247" s="2"/>
      <c r="L247" s="7">
        <f t="shared" si="100"/>
        <v>-375</v>
      </c>
      <c r="M247" s="2"/>
      <c r="N247" s="6">
        <f t="shared" si="101"/>
        <v>-3.1435996311509763E-2</v>
      </c>
      <c r="O247" s="11"/>
      <c r="P247" s="7">
        <v>68575</v>
      </c>
      <c r="Q247" s="2"/>
      <c r="R247" s="6">
        <f t="shared" si="102"/>
        <v>1.3333834966820307E-2</v>
      </c>
      <c r="S247" s="2"/>
      <c r="T247" s="7">
        <v>70975</v>
      </c>
      <c r="U247" s="2"/>
      <c r="V247" s="6">
        <f t="shared" si="103"/>
        <v>3.9260793911158045E-3</v>
      </c>
      <c r="W247" s="2"/>
      <c r="X247" s="7">
        <f t="shared" si="104"/>
        <v>-2400</v>
      </c>
      <c r="Y247" s="2"/>
      <c r="Z247" s="6">
        <f t="shared" si="105"/>
        <v>-3.3814723494188091E-2</v>
      </c>
    </row>
    <row r="248" spans="1:26" s="25" customFormat="1" outlineLevel="1" collapsed="1" x14ac:dyDescent="0.25">
      <c r="A248" s="26"/>
      <c r="B248" s="13" t="str">
        <f>CONCATENATE("     ","Inventory Adjustment                              ")</f>
        <v xml:space="preserve">     Inventory Adjustment                              </v>
      </c>
      <c r="C248" s="13"/>
      <c r="D248" s="1">
        <f>SUM(OSRRefD22_14x_0)</f>
        <v>8350</v>
      </c>
      <c r="E248" s="1"/>
      <c r="F248" s="5">
        <f t="shared" si="98"/>
        <v>1.7268217964782718E-2</v>
      </c>
      <c r="G248" s="1"/>
      <c r="H248" s="1">
        <f>SUM(OSRRefH22_14x_0)</f>
        <v>10050</v>
      </c>
      <c r="I248" s="1"/>
      <c r="J248" s="5">
        <f t="shared" si="99"/>
        <v>5.0670026396966187E-3</v>
      </c>
      <c r="K248" s="1"/>
      <c r="L248" s="1">
        <f t="shared" si="100"/>
        <v>-1700</v>
      </c>
      <c r="M248" s="1"/>
      <c r="N248" s="5">
        <f t="shared" si="101"/>
        <v>-0.1691542288557214</v>
      </c>
      <c r="O248" s="13"/>
      <c r="P248" s="1">
        <f>SUM(OSRRefP22_14x_0)</f>
        <v>25100</v>
      </c>
      <c r="Q248" s="1"/>
      <c r="R248" s="5">
        <f t="shared" si="102"/>
        <v>4.8804849823870173E-3</v>
      </c>
      <c r="S248" s="1"/>
      <c r="T248" s="1">
        <f>SUM(OSRRefT22_14x_0)</f>
        <v>31200</v>
      </c>
      <c r="U248" s="1"/>
      <c r="V248" s="5">
        <f t="shared" si="103"/>
        <v>1.7258707573485465E-3</v>
      </c>
      <c r="W248" s="1"/>
      <c r="X248" s="1">
        <f t="shared" si="104"/>
        <v>-6100</v>
      </c>
      <c r="Y248" s="1"/>
      <c r="Z248" s="5">
        <f t="shared" si="105"/>
        <v>-0.19551282051282051</v>
      </c>
    </row>
    <row r="249" spans="1:26" s="24" customFormat="1" hidden="1" outlineLevel="2" x14ac:dyDescent="0.25">
      <c r="A249" s="27"/>
      <c r="B249" s="11" t="str">
        <f>CONCATENATE("          ", "6408", " - ", "INVENTORY ADJUSTMENT")</f>
        <v xml:space="preserve">          6408 - INVENTORY ADJUSTMENT</v>
      </c>
      <c r="C249" s="11"/>
      <c r="D249" s="7">
        <v>8350</v>
      </c>
      <c r="E249" s="2"/>
      <c r="F249" s="6">
        <f t="shared" si="98"/>
        <v>1.7268217964782718E-2</v>
      </c>
      <c r="G249" s="2"/>
      <c r="H249" s="7">
        <v>10050</v>
      </c>
      <c r="I249" s="2"/>
      <c r="J249" s="6">
        <f t="shared" si="99"/>
        <v>5.0670026396966187E-3</v>
      </c>
      <c r="K249" s="2"/>
      <c r="L249" s="7">
        <f t="shared" si="100"/>
        <v>-1700</v>
      </c>
      <c r="M249" s="2"/>
      <c r="N249" s="6">
        <f t="shared" si="101"/>
        <v>-0.1691542288557214</v>
      </c>
      <c r="O249" s="11"/>
      <c r="P249" s="7">
        <v>25100</v>
      </c>
      <c r="Q249" s="2"/>
      <c r="R249" s="6">
        <f t="shared" si="102"/>
        <v>4.8804849823870173E-3</v>
      </c>
      <c r="S249" s="2"/>
      <c r="T249" s="7">
        <v>31200</v>
      </c>
      <c r="U249" s="2"/>
      <c r="V249" s="6">
        <f t="shared" si="103"/>
        <v>1.7258707573485465E-3</v>
      </c>
      <c r="W249" s="2"/>
      <c r="X249" s="7">
        <f t="shared" si="104"/>
        <v>-6100</v>
      </c>
      <c r="Y249" s="2"/>
      <c r="Z249" s="6">
        <f t="shared" si="105"/>
        <v>-0.19551282051282051</v>
      </c>
    </row>
    <row r="250" spans="1:26" s="25" customFormat="1" outlineLevel="1" collapsed="1" x14ac:dyDescent="0.25">
      <c r="A250" s="26"/>
      <c r="B250" s="13" t="str">
        <f>CONCATENATE("     ","Professional Services                             ")</f>
        <v xml:space="preserve">     Professional Services                             </v>
      </c>
      <c r="C250" s="13"/>
      <c r="D250" s="1">
        <f>SUM(OSRRefD22_15x_0)</f>
        <v>0</v>
      </c>
      <c r="E250" s="1"/>
      <c r="F250" s="5">
        <f t="shared" si="98"/>
        <v>0</v>
      </c>
      <c r="G250" s="1"/>
      <c r="H250" s="1">
        <f>SUM(OSRRefH22_15x_0)</f>
        <v>41.15</v>
      </c>
      <c r="I250" s="1"/>
      <c r="J250" s="5">
        <f t="shared" si="99"/>
        <v>2.0746980957563766E-5</v>
      </c>
      <c r="K250" s="1"/>
      <c r="L250" s="1">
        <f t="shared" si="100"/>
        <v>-41.15</v>
      </c>
      <c r="M250" s="1"/>
      <c r="N250" s="5">
        <f t="shared" si="101"/>
        <v>-1</v>
      </c>
      <c r="O250" s="13"/>
      <c r="P250" s="1">
        <f>SUM(OSRRefP22_15x_0)</f>
        <v>0</v>
      </c>
      <c r="Q250" s="1"/>
      <c r="R250" s="5">
        <f t="shared" si="102"/>
        <v>0</v>
      </c>
      <c r="S250" s="1"/>
      <c r="T250" s="1">
        <f>SUM(OSRRefT22_15x_0)</f>
        <v>6324.56</v>
      </c>
      <c r="U250" s="1"/>
      <c r="V250" s="5">
        <f t="shared" si="103"/>
        <v>3.4985170375308731E-4</v>
      </c>
      <c r="W250" s="1"/>
      <c r="X250" s="1">
        <f t="shared" si="104"/>
        <v>-6324.56</v>
      </c>
      <c r="Y250" s="1"/>
      <c r="Z250" s="5">
        <f t="shared" si="105"/>
        <v>-1</v>
      </c>
    </row>
    <row r="251" spans="1:26" s="24" customFormat="1" hidden="1" outlineLevel="2" x14ac:dyDescent="0.25">
      <c r="A251" s="27"/>
      <c r="B251" s="11" t="str">
        <f>CONCATENATE("          ", "6336", " - ", "PROFESSIONAL SERVICES")</f>
        <v xml:space="preserve">          6336 - PROFESSIONAL SERVICES</v>
      </c>
      <c r="C251" s="11"/>
      <c r="D251" s="7"/>
      <c r="E251" s="2"/>
      <c r="F251" s="6">
        <f t="shared" si="98"/>
        <v>0</v>
      </c>
      <c r="G251" s="2"/>
      <c r="H251" s="7">
        <v>41.15</v>
      </c>
      <c r="I251" s="2"/>
      <c r="J251" s="6">
        <f t="shared" si="99"/>
        <v>2.0746980957563766E-5</v>
      </c>
      <c r="K251" s="2"/>
      <c r="L251" s="7">
        <f t="shared" si="100"/>
        <v>-41.15</v>
      </c>
      <c r="M251" s="2"/>
      <c r="N251" s="6">
        <f t="shared" si="101"/>
        <v>-1</v>
      </c>
      <c r="O251" s="11"/>
      <c r="P251" s="7"/>
      <c r="Q251" s="2"/>
      <c r="R251" s="6">
        <f t="shared" si="102"/>
        <v>0</v>
      </c>
      <c r="S251" s="2"/>
      <c r="T251" s="7">
        <v>6324.56</v>
      </c>
      <c r="U251" s="2"/>
      <c r="V251" s="6">
        <f t="shared" si="103"/>
        <v>3.4985170375308731E-4</v>
      </c>
      <c r="W251" s="2"/>
      <c r="X251" s="7">
        <f t="shared" si="104"/>
        <v>-6324.56</v>
      </c>
      <c r="Y251" s="2"/>
      <c r="Z251" s="6">
        <f t="shared" si="105"/>
        <v>-1</v>
      </c>
    </row>
    <row r="252" spans="1:26" s="25" customFormat="1" outlineLevel="1" collapsed="1" x14ac:dyDescent="0.25">
      <c r="A252" s="26"/>
      <c r="B252" s="13" t="str">
        <f>CONCATENATE("     ","R/H Commissions                                   ")</f>
        <v xml:space="preserve">     R/H Commissions                                   </v>
      </c>
      <c r="C252" s="13"/>
      <c r="D252" s="1">
        <f>SUM(OSRRefD22_16x_0)</f>
        <v>38313.420000000006</v>
      </c>
      <c r="E252" s="1"/>
      <c r="F252" s="5">
        <f t="shared" si="98"/>
        <v>7.923407036362462E-2</v>
      </c>
      <c r="G252" s="1"/>
      <c r="H252" s="1">
        <f>SUM(OSRRefH22_16x_0)</f>
        <v>64695.709999999992</v>
      </c>
      <c r="I252" s="1"/>
      <c r="J252" s="5">
        <f t="shared" si="99"/>
        <v>3.2618242124084269E-2</v>
      </c>
      <c r="K252" s="1"/>
      <c r="L252" s="1">
        <f t="shared" si="100"/>
        <v>-26382.289999999986</v>
      </c>
      <c r="M252" s="1"/>
      <c r="N252" s="5">
        <f t="shared" si="101"/>
        <v>-0.40779040835937946</v>
      </c>
      <c r="O252" s="13"/>
      <c r="P252" s="1">
        <f>SUM(OSRRefP22_16x_0)</f>
        <v>75016.490000000005</v>
      </c>
      <c r="Q252" s="1"/>
      <c r="R252" s="5">
        <f t="shared" si="102"/>
        <v>1.4586328799856012E-2</v>
      </c>
      <c r="S252" s="1"/>
      <c r="T252" s="1">
        <f>SUM(OSRRefT22_16x_0)</f>
        <v>471590.87</v>
      </c>
      <c r="U252" s="1"/>
      <c r="V252" s="5">
        <f t="shared" si="103"/>
        <v>2.6086695255306408E-2</v>
      </c>
      <c r="W252" s="1"/>
      <c r="X252" s="1">
        <f t="shared" si="104"/>
        <v>-396574.38</v>
      </c>
      <c r="Y252" s="1"/>
      <c r="Z252" s="5">
        <f t="shared" si="105"/>
        <v>-0.84092887548904416</v>
      </c>
    </row>
    <row r="253" spans="1:26" s="24" customFormat="1" hidden="1" outlineLevel="2" x14ac:dyDescent="0.25">
      <c r="A253" s="27"/>
      <c r="B253" s="11" t="str">
        <f>CONCATENATE("          ", "6387", " - ", "COMMISSION DUE HOUSING")</f>
        <v xml:space="preserve">          6387 - COMMISSION DUE HOUSING</v>
      </c>
      <c r="C253" s="11"/>
      <c r="D253" s="7">
        <v>38313.420000000006</v>
      </c>
      <c r="E253" s="2"/>
      <c r="F253" s="6">
        <f t="shared" si="98"/>
        <v>7.923407036362462E-2</v>
      </c>
      <c r="G253" s="2"/>
      <c r="H253" s="7">
        <v>64695.709999999992</v>
      </c>
      <c r="I253" s="2"/>
      <c r="J253" s="6">
        <f t="shared" si="99"/>
        <v>3.2618242124084269E-2</v>
      </c>
      <c r="K253" s="2"/>
      <c r="L253" s="7">
        <f t="shared" si="100"/>
        <v>-26382.289999999986</v>
      </c>
      <c r="M253" s="2"/>
      <c r="N253" s="6">
        <f t="shared" si="101"/>
        <v>-0.40779040835937946</v>
      </c>
      <c r="O253" s="11"/>
      <c r="P253" s="7">
        <v>75016.490000000005</v>
      </c>
      <c r="Q253" s="2"/>
      <c r="R253" s="6">
        <f t="shared" si="102"/>
        <v>1.4586328799856012E-2</v>
      </c>
      <c r="S253" s="2"/>
      <c r="T253" s="7">
        <v>471590.87</v>
      </c>
      <c r="U253" s="2"/>
      <c r="V253" s="6">
        <f t="shared" si="103"/>
        <v>2.6086695255306408E-2</v>
      </c>
      <c r="W253" s="2"/>
      <c r="X253" s="7">
        <f t="shared" si="104"/>
        <v>-396574.38</v>
      </c>
      <c r="Y253" s="2"/>
      <c r="Z253" s="6">
        <f t="shared" si="105"/>
        <v>-0.84092887548904416</v>
      </c>
    </row>
    <row r="254" spans="1:26" s="25" customFormat="1" outlineLevel="1" collapsed="1" x14ac:dyDescent="0.25">
      <c r="A254" s="26"/>
      <c r="B254" s="13" t="str">
        <f>CONCATENATE("     ","Rent                                              ")</f>
        <v xml:space="preserve">     Rent                                              </v>
      </c>
      <c r="C254" s="13"/>
      <c r="D254" s="1">
        <f>SUM(OSRRefD22_17x_0)</f>
        <v>12450</v>
      </c>
      <c r="E254" s="1"/>
      <c r="F254" s="5">
        <f t="shared" si="98"/>
        <v>2.574722319299938E-2</v>
      </c>
      <c r="G254" s="1"/>
      <c r="H254" s="1">
        <f>SUM(OSRRefH22_17x_0)</f>
        <v>9900</v>
      </c>
      <c r="I254" s="1"/>
      <c r="J254" s="5">
        <f t="shared" si="99"/>
        <v>4.9913757346265195E-3</v>
      </c>
      <c r="K254" s="1"/>
      <c r="L254" s="1">
        <f t="shared" si="100"/>
        <v>2550</v>
      </c>
      <c r="M254" s="1"/>
      <c r="N254" s="5">
        <f t="shared" si="101"/>
        <v>0.25757575757575757</v>
      </c>
      <c r="O254" s="13"/>
      <c r="P254" s="1">
        <f>SUM(OSRRefP22_17x_0)</f>
        <v>52500</v>
      </c>
      <c r="Q254" s="1"/>
      <c r="R254" s="5">
        <f t="shared" si="102"/>
        <v>1.0208185720132207E-2</v>
      </c>
      <c r="S254" s="1"/>
      <c r="T254" s="1">
        <f>SUM(OSRRefT22_17x_0)</f>
        <v>59400</v>
      </c>
      <c r="U254" s="1"/>
      <c r="V254" s="5">
        <f t="shared" si="103"/>
        <v>3.2857924034135791E-3</v>
      </c>
      <c r="W254" s="1"/>
      <c r="X254" s="1">
        <f t="shared" si="104"/>
        <v>-6900</v>
      </c>
      <c r="Y254" s="1"/>
      <c r="Z254" s="5">
        <f t="shared" si="105"/>
        <v>-0.11616161616161616</v>
      </c>
    </row>
    <row r="255" spans="1:26" s="24" customFormat="1" hidden="1" outlineLevel="2" x14ac:dyDescent="0.25">
      <c r="A255" s="27"/>
      <c r="B255" s="11" t="str">
        <f>CONCATENATE("          ", "6273", " - ", "RENT")</f>
        <v xml:space="preserve">          6273 - RENT</v>
      </c>
      <c r="C255" s="11"/>
      <c r="D255" s="7">
        <v>12450</v>
      </c>
      <c r="E255" s="2"/>
      <c r="F255" s="6">
        <f t="shared" si="98"/>
        <v>2.574722319299938E-2</v>
      </c>
      <c r="G255" s="2"/>
      <c r="H255" s="7">
        <v>9900</v>
      </c>
      <c r="I255" s="2"/>
      <c r="J255" s="6">
        <f t="shared" si="99"/>
        <v>4.9913757346265195E-3</v>
      </c>
      <c r="K255" s="2"/>
      <c r="L255" s="7">
        <f t="shared" si="100"/>
        <v>2550</v>
      </c>
      <c r="M255" s="2"/>
      <c r="N255" s="6">
        <f t="shared" si="101"/>
        <v>0.25757575757575757</v>
      </c>
      <c r="O255" s="11"/>
      <c r="P255" s="7">
        <v>52500</v>
      </c>
      <c r="Q255" s="2"/>
      <c r="R255" s="6">
        <f t="shared" si="102"/>
        <v>1.0208185720132207E-2</v>
      </c>
      <c r="S255" s="2"/>
      <c r="T255" s="7">
        <v>59400</v>
      </c>
      <c r="U255" s="2"/>
      <c r="V255" s="6">
        <f t="shared" si="103"/>
        <v>3.2857924034135791E-3</v>
      </c>
      <c r="W255" s="2"/>
      <c r="X255" s="7">
        <f t="shared" si="104"/>
        <v>-6900</v>
      </c>
      <c r="Y255" s="2"/>
      <c r="Z255" s="6">
        <f t="shared" si="105"/>
        <v>-0.11616161616161616</v>
      </c>
    </row>
    <row r="256" spans="1:26" s="25" customFormat="1" outlineLevel="1" collapsed="1" x14ac:dyDescent="0.25">
      <c r="A256" s="26"/>
      <c r="B256" s="13" t="str">
        <f>CONCATENATE("     ","Repair and Maintenance                            ")</f>
        <v xml:space="preserve">     Repair and Maintenance                            </v>
      </c>
      <c r="C256" s="13"/>
      <c r="D256" s="1">
        <f>SUM(OSRRefD22_18x_0)</f>
        <v>16761.490000000002</v>
      </c>
      <c r="E256" s="1"/>
      <c r="F256" s="5">
        <f t="shared" si="98"/>
        <v>3.466360032748813E-2</v>
      </c>
      <c r="G256" s="1"/>
      <c r="H256" s="1">
        <f>SUM(OSRRefH22_18x_0)</f>
        <v>41824.879999999997</v>
      </c>
      <c r="I256" s="1"/>
      <c r="J256" s="5">
        <f t="shared" si="99"/>
        <v>2.1087241528855154E-2</v>
      </c>
      <c r="K256" s="1"/>
      <c r="L256" s="1">
        <f t="shared" si="100"/>
        <v>-25063.389999999996</v>
      </c>
      <c r="M256" s="1"/>
      <c r="N256" s="5">
        <f t="shared" si="101"/>
        <v>-0.59924595121372726</v>
      </c>
      <c r="O256" s="13"/>
      <c r="P256" s="1">
        <f>SUM(OSRRefP22_18x_0)</f>
        <v>266342.83999999997</v>
      </c>
      <c r="Q256" s="1"/>
      <c r="R256" s="5">
        <f t="shared" si="102"/>
        <v>5.1788136684713472E-2</v>
      </c>
      <c r="S256" s="1"/>
      <c r="T256" s="1">
        <f>SUM(OSRRefT22_18x_0)</f>
        <v>265747.91000000003</v>
      </c>
      <c r="U256" s="1"/>
      <c r="V256" s="5">
        <f t="shared" si="103"/>
        <v>1.4700209829983765E-2</v>
      </c>
      <c r="W256" s="1"/>
      <c r="X256" s="1">
        <f t="shared" si="104"/>
        <v>594.92999999993481</v>
      </c>
      <c r="Y256" s="1"/>
      <c r="Z256" s="5">
        <f t="shared" si="105"/>
        <v>2.2387005790560489E-3</v>
      </c>
    </row>
    <row r="257" spans="1:26" s="24" customFormat="1" hidden="1" outlineLevel="2" x14ac:dyDescent="0.25">
      <c r="A257" s="27"/>
      <c r="B257" s="11" t="str">
        <f>CONCATENATE("          ", "6371", " - ", "COMPUTER SOFTWARE MAINTENANCE")</f>
        <v xml:space="preserve">          6371 - COMPUTER SOFTWARE MAINTENANCE</v>
      </c>
      <c r="C257" s="11"/>
      <c r="D257" s="7">
        <v>3500</v>
      </c>
      <c r="E257" s="2"/>
      <c r="F257" s="6">
        <f t="shared" si="98"/>
        <v>7.238175194819103E-3</v>
      </c>
      <c r="G257" s="2"/>
      <c r="H257" s="7">
        <v>601</v>
      </c>
      <c r="I257" s="2"/>
      <c r="J257" s="6">
        <f t="shared" si="99"/>
        <v>3.0301179964752913E-4</v>
      </c>
      <c r="K257" s="2"/>
      <c r="L257" s="7">
        <f t="shared" si="100"/>
        <v>2899</v>
      </c>
      <c r="M257" s="2"/>
      <c r="N257" s="6">
        <f t="shared" si="101"/>
        <v>4.8236272878535775</v>
      </c>
      <c r="O257" s="11"/>
      <c r="P257" s="7">
        <v>61936.47</v>
      </c>
      <c r="Q257" s="2"/>
      <c r="R257" s="6">
        <f t="shared" si="102"/>
        <v>1.2043028354464703E-2</v>
      </c>
      <c r="S257" s="2"/>
      <c r="T257" s="7">
        <v>49453.26</v>
      </c>
      <c r="U257" s="2"/>
      <c r="V257" s="6">
        <f t="shared" si="103"/>
        <v>2.7355748490241858E-3</v>
      </c>
      <c r="W257" s="2"/>
      <c r="X257" s="7">
        <f t="shared" si="104"/>
        <v>12483.21</v>
      </c>
      <c r="Y257" s="2"/>
      <c r="Z257" s="6">
        <f t="shared" si="105"/>
        <v>0.25242441044331554</v>
      </c>
    </row>
    <row r="258" spans="1:26" s="24" customFormat="1" hidden="1" outlineLevel="2" x14ac:dyDescent="0.25">
      <c r="A258" s="27"/>
      <c r="B258" s="11" t="str">
        <f>CONCATENATE("          ", "6372", " - ", "COMPUTER HARDWARE MAINTENANCE")</f>
        <v xml:space="preserve">          6372 - COMPUTER HARDWARE MAINTENANCE</v>
      </c>
      <c r="C258" s="11"/>
      <c r="D258" s="7"/>
      <c r="E258" s="2"/>
      <c r="F258" s="6">
        <f t="shared" si="98"/>
        <v>0</v>
      </c>
      <c r="G258" s="2"/>
      <c r="H258" s="7"/>
      <c r="I258" s="2"/>
      <c r="J258" s="6">
        <f t="shared" si="99"/>
        <v>0</v>
      </c>
      <c r="K258" s="2"/>
      <c r="L258" s="7">
        <f t="shared" si="100"/>
        <v>0</v>
      </c>
      <c r="M258" s="2"/>
      <c r="N258" s="6">
        <f t="shared" si="101"/>
        <v>0</v>
      </c>
      <c r="O258" s="11"/>
      <c r="P258" s="7">
        <v>0</v>
      </c>
      <c r="Q258" s="2"/>
      <c r="R258" s="6">
        <f t="shared" si="102"/>
        <v>0</v>
      </c>
      <c r="S258" s="2"/>
      <c r="T258" s="7"/>
      <c r="U258" s="2"/>
      <c r="V258" s="6">
        <f t="shared" si="103"/>
        <v>0</v>
      </c>
      <c r="W258" s="2"/>
      <c r="X258" s="7">
        <f t="shared" si="104"/>
        <v>0</v>
      </c>
      <c r="Y258" s="2"/>
      <c r="Z258" s="6">
        <f t="shared" si="105"/>
        <v>0</v>
      </c>
    </row>
    <row r="259" spans="1:26" s="24" customFormat="1" hidden="1" outlineLevel="2" x14ac:dyDescent="0.25">
      <c r="A259" s="27"/>
      <c r="B259" s="11" t="str">
        <f>CONCATENATE("          ", "6373", " - ", "MAINTENANCE CONTRACTS")</f>
        <v xml:space="preserve">          6373 - MAINTENANCE CONTRACTS</v>
      </c>
      <c r="C259" s="11"/>
      <c r="D259" s="7">
        <v>12774.02</v>
      </c>
      <c r="E259" s="2"/>
      <c r="F259" s="6">
        <f t="shared" si="98"/>
        <v>2.6417312772035177E-2</v>
      </c>
      <c r="G259" s="2"/>
      <c r="H259" s="7">
        <v>25634.289999999997</v>
      </c>
      <c r="I259" s="2"/>
      <c r="J259" s="6">
        <f t="shared" si="99"/>
        <v>1.2924280109129216E-2</v>
      </c>
      <c r="K259" s="2"/>
      <c r="L259" s="7">
        <f t="shared" si="100"/>
        <v>-12860.269999999997</v>
      </c>
      <c r="M259" s="2"/>
      <c r="N259" s="6">
        <f t="shared" si="101"/>
        <v>-0.50168231692783372</v>
      </c>
      <c r="O259" s="11"/>
      <c r="P259" s="7">
        <v>174233.09</v>
      </c>
      <c r="Q259" s="2"/>
      <c r="R259" s="6">
        <f t="shared" si="102"/>
        <v>3.387816650119066E-2</v>
      </c>
      <c r="S259" s="2"/>
      <c r="T259" s="7">
        <v>99084.450000000012</v>
      </c>
      <c r="U259" s="2"/>
      <c r="V259" s="6">
        <f t="shared" si="103"/>
        <v>5.4809921398385969E-3</v>
      </c>
      <c r="W259" s="2"/>
      <c r="X259" s="7">
        <f t="shared" si="104"/>
        <v>75148.639999999985</v>
      </c>
      <c r="Y259" s="2"/>
      <c r="Z259" s="6">
        <f t="shared" si="105"/>
        <v>0.75843020776721248</v>
      </c>
    </row>
    <row r="260" spans="1:26" s="24" customFormat="1" hidden="1" outlineLevel="2" x14ac:dyDescent="0.25">
      <c r="A260" s="27"/>
      <c r="B260" s="11" t="str">
        <f>CONCATENATE("          ", "6375", " - ", "OUTSIDE REPAIRS &amp; MAINTENANCE")</f>
        <v xml:space="preserve">          6375 - OUTSIDE REPAIRS &amp; MAINTENANCE</v>
      </c>
      <c r="C260" s="11"/>
      <c r="D260" s="7">
        <v>487.47</v>
      </c>
      <c r="E260" s="2"/>
      <c r="F260" s="6">
        <f t="shared" si="98"/>
        <v>1.0081123606338481E-3</v>
      </c>
      <c r="G260" s="2"/>
      <c r="H260" s="7">
        <v>15589.590000000002</v>
      </c>
      <c r="I260" s="2"/>
      <c r="J260" s="6">
        <f t="shared" si="99"/>
        <v>7.8599496200784102E-3</v>
      </c>
      <c r="K260" s="2"/>
      <c r="L260" s="7">
        <f t="shared" si="100"/>
        <v>-15102.120000000003</v>
      </c>
      <c r="M260" s="2"/>
      <c r="N260" s="6">
        <f t="shared" si="101"/>
        <v>-0.96873105707077611</v>
      </c>
      <c r="O260" s="11"/>
      <c r="P260" s="7">
        <v>30173.279999999999</v>
      </c>
      <c r="Q260" s="2"/>
      <c r="R260" s="6">
        <f t="shared" si="102"/>
        <v>5.8669418290581091E-3</v>
      </c>
      <c r="S260" s="2"/>
      <c r="T260" s="7">
        <v>117210.20000000001</v>
      </c>
      <c r="U260" s="2"/>
      <c r="V260" s="6">
        <f t="shared" si="103"/>
        <v>6.4836428411209823E-3</v>
      </c>
      <c r="W260" s="2"/>
      <c r="X260" s="7">
        <f t="shared" si="104"/>
        <v>-87036.920000000013</v>
      </c>
      <c r="Y260" s="2"/>
      <c r="Z260" s="6">
        <f t="shared" si="105"/>
        <v>-0.74257120967287837</v>
      </c>
    </row>
    <row r="261" spans="1:26" s="25" customFormat="1" outlineLevel="1" collapsed="1" x14ac:dyDescent="0.25">
      <c r="A261" s="26"/>
      <c r="B261" s="13" t="str">
        <f>CONCATENATE("     ","Royalty &amp; Commissions                             ")</f>
        <v xml:space="preserve">     Royalty &amp; Commissions                             </v>
      </c>
      <c r="C261" s="13"/>
      <c r="D261" s="1">
        <f>SUM(OSRRefD22_19x_0)</f>
        <v>5.97</v>
      </c>
      <c r="E261" s="1"/>
      <c r="F261" s="5">
        <f t="shared" ref="F261:F264" si="106">IF(D$12=0,0,D261/D$12)</f>
        <v>1.2346258832305727E-5</v>
      </c>
      <c r="G261" s="1"/>
      <c r="H261" s="1">
        <f>SUM(OSRRefH22_19x_0)</f>
        <v>41568.94</v>
      </c>
      <c r="I261" s="1"/>
      <c r="J261" s="5">
        <f t="shared" ref="J261:J264" si="107">IF(H$12=0,0,H261/H$12)</f>
        <v>2.095820186163088E-2</v>
      </c>
      <c r="K261" s="1"/>
      <c r="L261" s="1">
        <f t="shared" ref="L261:L264" si="108">+D261-H261</f>
        <v>-41562.97</v>
      </c>
      <c r="M261" s="1"/>
      <c r="N261" s="5">
        <f t="shared" ref="N261:N264" si="109">IF(H261=0,0,L261/H261)</f>
        <v>-0.99985638315530778</v>
      </c>
      <c r="O261" s="13"/>
      <c r="P261" s="1">
        <f>SUM(OSRRefP22_19x_0)</f>
        <v>28761.760000000002</v>
      </c>
      <c r="Q261" s="1"/>
      <c r="R261" s="5">
        <f t="shared" ref="R261:R264" si="110">IF(P$12=0,0,P261/P$12)</f>
        <v>5.5924835755784717E-3</v>
      </c>
      <c r="S261" s="1"/>
      <c r="T261" s="1">
        <f>SUM(OSRRefT22_19x_0)</f>
        <v>212497.74</v>
      </c>
      <c r="U261" s="1"/>
      <c r="V261" s="5">
        <f t="shared" ref="V261:V264" si="111">IF(T$12=0,0,T261/T$12)</f>
        <v>1.1754603700918414E-2</v>
      </c>
      <c r="W261" s="1"/>
      <c r="X261" s="1">
        <f t="shared" ref="X261:X264" si="112">+P261-T261</f>
        <v>-183735.97999999998</v>
      </c>
      <c r="Y261" s="1"/>
      <c r="Z261" s="5">
        <f t="shared" ref="Z261:Z264" si="113">IF(T261=0,0,X261/T261)</f>
        <v>-0.86464910167985787</v>
      </c>
    </row>
    <row r="262" spans="1:26" s="24" customFormat="1" hidden="1" outlineLevel="2" x14ac:dyDescent="0.25">
      <c r="A262" s="27"/>
      <c r="B262" s="11" t="str">
        <f>CONCATENATE("          ", "6253", " - ", "ROYALTY DUE ATHLETICS-LRG")</f>
        <v xml:space="preserve">          6253 - ROYALTY DUE ATHLETICS-LRG</v>
      </c>
      <c r="C262" s="11"/>
      <c r="D262" s="7"/>
      <c r="E262" s="2"/>
      <c r="F262" s="6">
        <f t="shared" si="106"/>
        <v>0</v>
      </c>
      <c r="G262" s="2"/>
      <c r="H262" s="7"/>
      <c r="I262" s="2"/>
      <c r="J262" s="6">
        <f t="shared" si="107"/>
        <v>0</v>
      </c>
      <c r="K262" s="2"/>
      <c r="L262" s="7">
        <f t="shared" si="108"/>
        <v>0</v>
      </c>
      <c r="M262" s="2"/>
      <c r="N262" s="6">
        <f t="shared" si="109"/>
        <v>0</v>
      </c>
      <c r="O262" s="11"/>
      <c r="P262" s="7">
        <v>18411.8</v>
      </c>
      <c r="Q262" s="2"/>
      <c r="R262" s="6">
        <f t="shared" si="110"/>
        <v>3.5800204541320034E-3</v>
      </c>
      <c r="S262" s="2"/>
      <c r="T262" s="7">
        <v>4366.95</v>
      </c>
      <c r="U262" s="2"/>
      <c r="V262" s="6">
        <f t="shared" si="111"/>
        <v>2.4156382383984728E-4</v>
      </c>
      <c r="W262" s="2"/>
      <c r="X262" s="7">
        <f t="shared" si="112"/>
        <v>14044.849999999999</v>
      </c>
      <c r="Y262" s="2"/>
      <c r="Z262" s="6">
        <f t="shared" si="113"/>
        <v>3.216169179862375</v>
      </c>
    </row>
    <row r="263" spans="1:26" s="24" customFormat="1" hidden="1" outlineLevel="2" x14ac:dyDescent="0.25">
      <c r="A263" s="27"/>
      <c r="B263" s="11" t="str">
        <f>CONCATENATE("          ", "6254", " - ", "ROYALTY &amp; COMMISSIONS")</f>
        <v xml:space="preserve">          6254 - ROYALTY &amp; COMMISSIONS</v>
      </c>
      <c r="C263" s="11"/>
      <c r="D263" s="7"/>
      <c r="E263" s="2"/>
      <c r="F263" s="6">
        <f t="shared" si="106"/>
        <v>0</v>
      </c>
      <c r="G263" s="2"/>
      <c r="H263" s="7">
        <v>17964.400000000001</v>
      </c>
      <c r="I263" s="2"/>
      <c r="J263" s="6">
        <f t="shared" si="107"/>
        <v>9.0572798229418845E-3</v>
      </c>
      <c r="K263" s="2"/>
      <c r="L263" s="7">
        <f t="shared" si="108"/>
        <v>-17964.400000000001</v>
      </c>
      <c r="M263" s="2"/>
      <c r="N263" s="6">
        <f t="shared" si="109"/>
        <v>-1</v>
      </c>
      <c r="O263" s="11"/>
      <c r="P263" s="7">
        <v>185.7</v>
      </c>
      <c r="Q263" s="2"/>
      <c r="R263" s="6">
        <f t="shared" si="110"/>
        <v>3.610781120435335E-5</v>
      </c>
      <c r="S263" s="2"/>
      <c r="T263" s="7">
        <v>78925.69</v>
      </c>
      <c r="U263" s="2"/>
      <c r="V263" s="6">
        <f t="shared" si="111"/>
        <v>4.3658827043127121E-3</v>
      </c>
      <c r="W263" s="2"/>
      <c r="X263" s="7">
        <f t="shared" si="112"/>
        <v>-78739.990000000005</v>
      </c>
      <c r="Y263" s="2"/>
      <c r="Z263" s="6">
        <f t="shared" si="113"/>
        <v>-0.99764715392415326</v>
      </c>
    </row>
    <row r="264" spans="1:26" s="24" customFormat="1" hidden="1" outlineLevel="2" x14ac:dyDescent="0.25">
      <c r="A264" s="27"/>
      <c r="B264" s="11" t="str">
        <f>CONCATENATE("          ", "6259", " - ", "ROYALTY &amp; COMMISSIONS")</f>
        <v xml:space="preserve">          6259 - ROYALTY &amp; COMMISSIONS</v>
      </c>
      <c r="C264" s="11"/>
      <c r="D264" s="7">
        <v>5.97</v>
      </c>
      <c r="E264" s="2"/>
      <c r="F264" s="6">
        <f t="shared" si="106"/>
        <v>1.2346258832305727E-5</v>
      </c>
      <c r="G264" s="2"/>
      <c r="H264" s="7">
        <v>23604.54</v>
      </c>
      <c r="I264" s="2"/>
      <c r="J264" s="6">
        <f t="shared" si="107"/>
        <v>1.1900922038688998E-2</v>
      </c>
      <c r="K264" s="2"/>
      <c r="L264" s="7">
        <f t="shared" si="108"/>
        <v>-23598.57</v>
      </c>
      <c r="M264" s="2"/>
      <c r="N264" s="6">
        <f t="shared" si="109"/>
        <v>-0.99974708255276312</v>
      </c>
      <c r="O264" s="11"/>
      <c r="P264" s="7">
        <v>10164.26</v>
      </c>
      <c r="Q264" s="2"/>
      <c r="R264" s="6">
        <f t="shared" si="110"/>
        <v>1.9763553102421141E-3</v>
      </c>
      <c r="S264" s="2"/>
      <c r="T264" s="7">
        <v>129205.1</v>
      </c>
      <c r="U264" s="2"/>
      <c r="V264" s="6">
        <f t="shared" si="111"/>
        <v>7.1471571727658558E-3</v>
      </c>
      <c r="W264" s="2"/>
      <c r="X264" s="7">
        <f t="shared" si="112"/>
        <v>-119040.84000000001</v>
      </c>
      <c r="Y264" s="2"/>
      <c r="Z264" s="6">
        <f t="shared" si="113"/>
        <v>-0.92133236226743376</v>
      </c>
    </row>
    <row r="265" spans="1:26" s="25" customFormat="1" outlineLevel="1" collapsed="1" x14ac:dyDescent="0.25">
      <c r="A265" s="26"/>
      <c r="B265" s="13" t="str">
        <f>CONCATENATE("     ","Services                                          ")</f>
        <v xml:space="preserve">     Services                                          </v>
      </c>
      <c r="C265" s="13"/>
      <c r="D265" s="1">
        <f>SUM(OSRRefD22_20x_0)</f>
        <v>27262.82</v>
      </c>
      <c r="E265" s="1"/>
      <c r="F265" s="5">
        <f t="shared" ref="F265:F270" si="114">IF(D$12=0,0,D265/D$12)</f>
        <v>5.6380876418519466E-2</v>
      </c>
      <c r="G265" s="1"/>
      <c r="H265" s="1">
        <f>SUM(OSRRefH22_20x_0)</f>
        <v>53423.659999999996</v>
      </c>
      <c r="I265" s="1"/>
      <c r="J265" s="5">
        <f t="shared" ref="J265:J270" si="115">IF(H$12=0,0,H265/H$12)</f>
        <v>2.6935107088781555E-2</v>
      </c>
      <c r="K265" s="1"/>
      <c r="L265" s="1">
        <f t="shared" ref="L265:L270" si="116">+D265-H265</f>
        <v>-26160.839999999997</v>
      </c>
      <c r="M265" s="1"/>
      <c r="N265" s="5">
        <f t="shared" ref="N265:N270" si="117">IF(H265=0,0,L265/H265)</f>
        <v>-0.48968640486256459</v>
      </c>
      <c r="O265" s="13"/>
      <c r="P265" s="1">
        <f>SUM(OSRRefP22_20x_0)</f>
        <v>121752.89000000001</v>
      </c>
      <c r="Q265" s="1"/>
      <c r="R265" s="5">
        <f t="shared" ref="R265:R270" si="118">IF(P$12=0,0,P265/P$12)</f>
        <v>2.3673830725387195E-2</v>
      </c>
      <c r="S265" s="1"/>
      <c r="T265" s="1">
        <f>SUM(OSRRefT22_20x_0)</f>
        <v>282982.90999999997</v>
      </c>
      <c r="U265" s="1"/>
      <c r="V265" s="5">
        <f t="shared" ref="V265:V270" si="119">IF(T$12=0,0,T265/T$12)</f>
        <v>1.5653587474307552E-2</v>
      </c>
      <c r="W265" s="1"/>
      <c r="X265" s="1">
        <f t="shared" ref="X265:X270" si="120">+P265-T265</f>
        <v>-161230.01999999996</v>
      </c>
      <c r="Y265" s="1"/>
      <c r="Z265" s="5">
        <f t="shared" ref="Z265:Z270" si="121">IF(T265=0,0,X265/T265)</f>
        <v>-0.56975179172480761</v>
      </c>
    </row>
    <row r="266" spans="1:26" s="24" customFormat="1" hidden="1" outlineLevel="2" x14ac:dyDescent="0.25">
      <c r="A266" s="27"/>
      <c r="B266" s="11" t="str">
        <f>CONCATENATE("          ", "6282", " - ", "JANITORIAL/EXTERMINATOR EXPENS")</f>
        <v xml:space="preserve">          6282 - JANITORIAL/EXTERMINATOR EXPENS</v>
      </c>
      <c r="C266" s="11"/>
      <c r="D266" s="7">
        <v>5210.84</v>
      </c>
      <c r="E266" s="2"/>
      <c r="F266" s="6">
        <f t="shared" si="114"/>
        <v>1.0776277952048907E-2</v>
      </c>
      <c r="G266" s="2"/>
      <c r="H266" s="7">
        <v>7110.73</v>
      </c>
      <c r="I266" s="2"/>
      <c r="J266" s="6">
        <f t="shared" si="115"/>
        <v>3.58508335126069E-3</v>
      </c>
      <c r="K266" s="2"/>
      <c r="L266" s="7">
        <f t="shared" si="116"/>
        <v>-1899.8899999999994</v>
      </c>
      <c r="M266" s="2"/>
      <c r="N266" s="6">
        <f t="shared" si="117"/>
        <v>-0.26718635076848646</v>
      </c>
      <c r="O266" s="11"/>
      <c r="P266" s="7">
        <v>16063.16</v>
      </c>
      <c r="Q266" s="2"/>
      <c r="R266" s="6">
        <f t="shared" si="118"/>
        <v>3.123347057756169E-3</v>
      </c>
      <c r="S266" s="2"/>
      <c r="T266" s="7">
        <v>25521.72</v>
      </c>
      <c r="U266" s="2"/>
      <c r="V266" s="6">
        <f t="shared" si="119"/>
        <v>1.4117689174755626E-3</v>
      </c>
      <c r="W266" s="2"/>
      <c r="X266" s="7">
        <f t="shared" si="120"/>
        <v>-9458.5600000000013</v>
      </c>
      <c r="Y266" s="2"/>
      <c r="Z266" s="6">
        <f t="shared" si="121"/>
        <v>-0.37060825054110774</v>
      </c>
    </row>
    <row r="267" spans="1:26" s="24" customFormat="1" hidden="1" outlineLevel="2" x14ac:dyDescent="0.25">
      <c r="A267" s="27"/>
      <c r="B267" s="11" t="str">
        <f>CONCATENATE("          ", "6283", " - ", "PLANT SERVICE")</f>
        <v xml:space="preserve">          6283 - PLANT SERVICE</v>
      </c>
      <c r="C267" s="11"/>
      <c r="D267" s="7"/>
      <c r="E267" s="2"/>
      <c r="F267" s="6">
        <f t="shared" si="114"/>
        <v>0</v>
      </c>
      <c r="G267" s="2"/>
      <c r="H267" s="7"/>
      <c r="I267" s="2"/>
      <c r="J267" s="6">
        <f t="shared" si="115"/>
        <v>0</v>
      </c>
      <c r="K267" s="2"/>
      <c r="L267" s="7">
        <f t="shared" si="116"/>
        <v>0</v>
      </c>
      <c r="M267" s="2"/>
      <c r="N267" s="6">
        <f t="shared" si="117"/>
        <v>0</v>
      </c>
      <c r="O267" s="11"/>
      <c r="P267" s="7">
        <v>171.31</v>
      </c>
      <c r="Q267" s="2"/>
      <c r="R267" s="6">
        <f t="shared" si="118"/>
        <v>3.3309796108873305E-5</v>
      </c>
      <c r="S267" s="2"/>
      <c r="T267" s="7">
        <v>1341.1</v>
      </c>
      <c r="U267" s="2"/>
      <c r="V267" s="6">
        <f t="shared" si="119"/>
        <v>7.4184784380773583E-5</v>
      </c>
      <c r="W267" s="2"/>
      <c r="X267" s="7">
        <f t="shared" si="120"/>
        <v>-1169.79</v>
      </c>
      <c r="Y267" s="2"/>
      <c r="Z267" s="6">
        <f t="shared" si="121"/>
        <v>-0.87226157631794798</v>
      </c>
    </row>
    <row r="268" spans="1:26" s="24" customFormat="1" hidden="1" outlineLevel="2" x14ac:dyDescent="0.25">
      <c r="A268" s="27"/>
      <c r="B268" s="11" t="str">
        <f>CONCATENATE("          ", "6284", " - ", "TRASH REMOVAL EXPENSE")</f>
        <v xml:space="preserve">          6284 - TRASH REMOVAL EXPENSE</v>
      </c>
      <c r="C268" s="11"/>
      <c r="D268" s="7">
        <v>6225.89</v>
      </c>
      <c r="E268" s="2"/>
      <c r="F268" s="6">
        <f t="shared" si="114"/>
        <v>1.287545216104923E-2</v>
      </c>
      <c r="G268" s="2"/>
      <c r="H268" s="7">
        <v>10592.82</v>
      </c>
      <c r="I268" s="2"/>
      <c r="J268" s="6">
        <f t="shared" si="115"/>
        <v>5.3406812837642915E-3</v>
      </c>
      <c r="K268" s="2"/>
      <c r="L268" s="7">
        <f t="shared" si="116"/>
        <v>-4366.9299999999994</v>
      </c>
      <c r="M268" s="2"/>
      <c r="N268" s="6">
        <f t="shared" si="117"/>
        <v>-0.41225377189454737</v>
      </c>
      <c r="O268" s="11"/>
      <c r="P268" s="7">
        <v>20599.190000000002</v>
      </c>
      <c r="Q268" s="2"/>
      <c r="R268" s="6">
        <f t="shared" si="118"/>
        <v>4.005340137224575E-3</v>
      </c>
      <c r="S268" s="2"/>
      <c r="T268" s="7">
        <v>25434.92</v>
      </c>
      <c r="U268" s="2"/>
      <c r="V268" s="6">
        <f t="shared" si="119"/>
        <v>1.4069674565224261E-3</v>
      </c>
      <c r="W268" s="2"/>
      <c r="X268" s="7">
        <f t="shared" si="120"/>
        <v>-4835.7299999999959</v>
      </c>
      <c r="Y268" s="2"/>
      <c r="Z268" s="6">
        <f t="shared" si="121"/>
        <v>-0.19012169096659223</v>
      </c>
    </row>
    <row r="269" spans="1:26" s="24" customFormat="1" hidden="1" outlineLevel="2" x14ac:dyDescent="0.25">
      <c r="A269" s="27"/>
      <c r="B269" s="11" t="str">
        <f>CONCATENATE("          ", "6285", " - ", "JANITORIAL SERVICES")</f>
        <v xml:space="preserve">          6285 - JANITORIAL SERVICES</v>
      </c>
      <c r="C269" s="11"/>
      <c r="D269" s="7">
        <v>13739.48</v>
      </c>
      <c r="E269" s="2"/>
      <c r="F269" s="6">
        <f t="shared" si="114"/>
        <v>2.8413932378775191E-2</v>
      </c>
      <c r="G269" s="2"/>
      <c r="H269" s="7">
        <v>29006.79</v>
      </c>
      <c r="I269" s="2"/>
      <c r="J269" s="6">
        <f t="shared" si="115"/>
        <v>1.4624625024788606E-2</v>
      </c>
      <c r="K269" s="2"/>
      <c r="L269" s="7">
        <f t="shared" si="116"/>
        <v>-15267.310000000001</v>
      </c>
      <c r="M269" s="2"/>
      <c r="N269" s="6">
        <f t="shared" si="117"/>
        <v>-0.52633573035830583</v>
      </c>
      <c r="O269" s="11"/>
      <c r="P269" s="7">
        <v>74070.070000000007</v>
      </c>
      <c r="Q269" s="2"/>
      <c r="R269" s="6">
        <f t="shared" si="118"/>
        <v>1.4402305349775107E-2</v>
      </c>
      <c r="S269" s="2"/>
      <c r="T269" s="7">
        <v>178825.13999999998</v>
      </c>
      <c r="U269" s="2"/>
      <c r="V269" s="6">
        <f t="shared" si="119"/>
        <v>9.8919576860499944E-3</v>
      </c>
      <c r="W269" s="2"/>
      <c r="X269" s="7">
        <f t="shared" si="120"/>
        <v>-104755.06999999998</v>
      </c>
      <c r="Y269" s="2"/>
      <c r="Z269" s="6">
        <f t="shared" si="121"/>
        <v>-0.5857961022706315</v>
      </c>
    </row>
    <row r="270" spans="1:26" s="24" customFormat="1" hidden="1" outlineLevel="2" x14ac:dyDescent="0.25">
      <c r="A270" s="27"/>
      <c r="B270" s="11" t="str">
        <f>CONCATENATE("          ", "6286", " - ", "LAUNDRY EXPENSE")</f>
        <v xml:space="preserve">          6286 - LAUNDRY EXPENSE</v>
      </c>
      <c r="C270" s="11"/>
      <c r="D270" s="7">
        <v>2086.61</v>
      </c>
      <c r="E270" s="2"/>
      <c r="F270" s="6">
        <f t="shared" si="114"/>
        <v>4.3152139266461401E-3</v>
      </c>
      <c r="G270" s="2"/>
      <c r="H270" s="7">
        <v>6713.32</v>
      </c>
      <c r="I270" s="2"/>
      <c r="J270" s="6">
        <f t="shared" si="115"/>
        <v>3.3847174289679703E-3</v>
      </c>
      <c r="K270" s="2"/>
      <c r="L270" s="7">
        <f t="shared" si="116"/>
        <v>-4626.7099999999991</v>
      </c>
      <c r="M270" s="2"/>
      <c r="N270" s="6">
        <f t="shared" si="117"/>
        <v>-0.68918359321468359</v>
      </c>
      <c r="O270" s="11"/>
      <c r="P270" s="7">
        <v>10849.16</v>
      </c>
      <c r="Q270" s="2"/>
      <c r="R270" s="6">
        <f t="shared" si="118"/>
        <v>2.1095283845224675E-3</v>
      </c>
      <c r="S270" s="2"/>
      <c r="T270" s="7">
        <v>51860.03</v>
      </c>
      <c r="U270" s="2"/>
      <c r="V270" s="6">
        <f t="shared" si="119"/>
        <v>2.868708629878793E-3</v>
      </c>
      <c r="W270" s="2"/>
      <c r="X270" s="7">
        <f t="shared" si="120"/>
        <v>-41010.869999999995</v>
      </c>
      <c r="Y270" s="2"/>
      <c r="Z270" s="6">
        <f t="shared" si="121"/>
        <v>-0.79079919544975186</v>
      </c>
    </row>
    <row r="271" spans="1:26" s="25" customFormat="1" outlineLevel="1" collapsed="1" x14ac:dyDescent="0.25">
      <c r="A271" s="26"/>
      <c r="B271" s="13" t="str">
        <f>CONCATENATE("     ","Subscriptions &amp; Dues                              ")</f>
        <v xml:space="preserve">     Subscriptions &amp; Dues                              </v>
      </c>
      <c r="C271" s="13"/>
      <c r="D271" s="1">
        <f>SUM(OSRRefD22_21x_0)</f>
        <v>343.27</v>
      </c>
      <c r="E271" s="1"/>
      <c r="F271" s="5">
        <f t="shared" ref="F271:F273" si="122">IF(D$12=0,0,D271/D$12)</f>
        <v>7.0989954260730094E-4</v>
      </c>
      <c r="G271" s="1"/>
      <c r="H271" s="1">
        <f>SUM(OSRRefH22_21x_0)</f>
        <v>4726.22</v>
      </c>
      <c r="I271" s="1"/>
      <c r="J271" s="5">
        <f t="shared" ref="J271:J273" si="123">IF(H$12=0,0,H271/H$12)</f>
        <v>2.3828626085360153E-3</v>
      </c>
      <c r="K271" s="1"/>
      <c r="L271" s="1">
        <f t="shared" ref="L271:L273" si="124">+D271-H271</f>
        <v>-4382.9500000000007</v>
      </c>
      <c r="M271" s="1"/>
      <c r="N271" s="5">
        <f t="shared" ref="N271:N273" si="125">IF(H271=0,0,L271/H271)</f>
        <v>-0.92736901794668902</v>
      </c>
      <c r="O271" s="13"/>
      <c r="P271" s="1">
        <f>SUM(OSRRefP22_21x_0)</f>
        <v>2784.61</v>
      </c>
      <c r="Q271" s="1"/>
      <c r="R271" s="5">
        <f t="shared" ref="R271:R273" si="126">IF(P$12=0,0,P271/P$12)</f>
        <v>5.4144411501213998E-4</v>
      </c>
      <c r="S271" s="1"/>
      <c r="T271" s="1">
        <f>SUM(OSRRefT22_21x_0)</f>
        <v>4800.7599999999993</v>
      </c>
      <c r="U271" s="1"/>
      <c r="V271" s="5">
        <f t="shared" ref="V271:V273" si="127">IF(T$12=0,0,T271/T$12)</f>
        <v>2.6556061849514765E-4</v>
      </c>
      <c r="W271" s="1"/>
      <c r="X271" s="1">
        <f t="shared" ref="X271:X273" si="128">+P271-T271</f>
        <v>-2016.1499999999992</v>
      </c>
      <c r="Y271" s="1"/>
      <c r="Z271" s="5">
        <f t="shared" ref="Z271:Z273" si="129">IF(T271=0,0,X271/T271)</f>
        <v>-0.41996475558036633</v>
      </c>
    </row>
    <row r="272" spans="1:26" s="24" customFormat="1" hidden="1" outlineLevel="2" x14ac:dyDescent="0.25">
      <c r="A272" s="27"/>
      <c r="B272" s="11" t="str">
        <f>CONCATENATE("          ", "6258", " - ", "MEMBERSHIP DUES")</f>
        <v xml:space="preserve">          6258 - MEMBERSHIP DUES</v>
      </c>
      <c r="C272" s="11"/>
      <c r="D272" s="7">
        <v>80.430000000000007</v>
      </c>
      <c r="E272" s="2"/>
      <c r="F272" s="6">
        <f t="shared" si="122"/>
        <v>1.6633326597694301E-4</v>
      </c>
      <c r="G272" s="2"/>
      <c r="H272" s="7">
        <v>3980</v>
      </c>
      <c r="I272" s="2"/>
      <c r="J272" s="6">
        <f t="shared" si="123"/>
        <v>2.0066338811932879E-3</v>
      </c>
      <c r="K272" s="2"/>
      <c r="L272" s="7">
        <f t="shared" si="124"/>
        <v>-3899.57</v>
      </c>
      <c r="M272" s="2"/>
      <c r="N272" s="6">
        <f t="shared" si="125"/>
        <v>-0.97979145728643224</v>
      </c>
      <c r="O272" s="11"/>
      <c r="P272" s="7">
        <v>2024.71</v>
      </c>
      <c r="Q272" s="2"/>
      <c r="R272" s="6">
        <f t="shared" si="126"/>
        <v>3.9368791827445494E-4</v>
      </c>
      <c r="S272" s="2"/>
      <c r="T272" s="7">
        <v>407.4</v>
      </c>
      <c r="U272" s="2"/>
      <c r="V272" s="6">
        <f t="shared" si="127"/>
        <v>2.2535889312301212E-5</v>
      </c>
      <c r="W272" s="2"/>
      <c r="X272" s="7">
        <f t="shared" si="128"/>
        <v>1617.31</v>
      </c>
      <c r="Y272" s="2"/>
      <c r="Z272" s="6">
        <f t="shared" si="129"/>
        <v>3.9698330878743251</v>
      </c>
    </row>
    <row r="273" spans="1:26" s="24" customFormat="1" hidden="1" outlineLevel="2" x14ac:dyDescent="0.25">
      <c r="A273" s="27"/>
      <c r="B273" s="11" t="str">
        <f>CONCATENATE("          ", "6275", " - ", "SUBSCRIPTIONS")</f>
        <v xml:space="preserve">          6275 - SUBSCRIPTIONS</v>
      </c>
      <c r="C273" s="11"/>
      <c r="D273" s="7">
        <v>262.83999999999997</v>
      </c>
      <c r="E273" s="2"/>
      <c r="F273" s="6">
        <f t="shared" si="122"/>
        <v>5.4356627663035794E-4</v>
      </c>
      <c r="G273" s="2"/>
      <c r="H273" s="7">
        <v>746.22</v>
      </c>
      <c r="I273" s="2"/>
      <c r="J273" s="6">
        <f t="shared" si="123"/>
        <v>3.7622872734272743E-4</v>
      </c>
      <c r="K273" s="2"/>
      <c r="L273" s="7">
        <f t="shared" si="124"/>
        <v>-483.38000000000005</v>
      </c>
      <c r="M273" s="2"/>
      <c r="N273" s="6">
        <f t="shared" si="125"/>
        <v>-0.64777143469754228</v>
      </c>
      <c r="O273" s="11"/>
      <c r="P273" s="7">
        <v>759.9</v>
      </c>
      <c r="Q273" s="2"/>
      <c r="R273" s="6">
        <f t="shared" si="126"/>
        <v>1.4775619673768503E-4</v>
      </c>
      <c r="S273" s="2"/>
      <c r="T273" s="7">
        <v>4393.3599999999997</v>
      </c>
      <c r="U273" s="2"/>
      <c r="V273" s="6">
        <f t="shared" si="127"/>
        <v>2.4302472918284648E-4</v>
      </c>
      <c r="W273" s="2"/>
      <c r="X273" s="7">
        <f t="shared" si="128"/>
        <v>-3633.4599999999996</v>
      </c>
      <c r="Y273" s="2"/>
      <c r="Z273" s="6">
        <f t="shared" si="129"/>
        <v>-0.82703443378188901</v>
      </c>
    </row>
    <row r="274" spans="1:26" s="25" customFormat="1" outlineLevel="1" collapsed="1" x14ac:dyDescent="0.25">
      <c r="A274" s="26"/>
      <c r="B274" s="13" t="str">
        <f>CONCATENATE("     ","Supplies                                          ")</f>
        <v xml:space="preserve">     Supplies                                          </v>
      </c>
      <c r="C274" s="13"/>
      <c r="D274" s="1">
        <f>SUM(OSRRefD22_22x_0)</f>
        <v>20744.980000000003</v>
      </c>
      <c r="E274" s="1"/>
      <c r="F274" s="5">
        <f t="shared" ref="F274:F283" si="130">IF(D$12=0,0,D274/D$12)</f>
        <v>4.2901657043719552E-2</v>
      </c>
      <c r="G274" s="1"/>
      <c r="H274" s="1">
        <f>SUM(OSRRefH22_22x_0)</f>
        <v>33466.619999999995</v>
      </c>
      <c r="I274" s="1"/>
      <c r="J274" s="5">
        <f t="shared" ref="J274:J283" si="131">IF(H$12=0,0,H274/H$12)</f>
        <v>1.6873179291713794E-2</v>
      </c>
      <c r="K274" s="1"/>
      <c r="L274" s="1">
        <f t="shared" ref="L274:L283" si="132">+D274-H274</f>
        <v>-12721.639999999992</v>
      </c>
      <c r="M274" s="1"/>
      <c r="N274" s="5">
        <f t="shared" ref="N274:N283" si="133">IF(H274=0,0,L274/H274)</f>
        <v>-0.38012921531962279</v>
      </c>
      <c r="O274" s="13"/>
      <c r="P274" s="1">
        <f>SUM(OSRRefP22_22x_0)</f>
        <v>190639.92</v>
      </c>
      <c r="Q274" s="1"/>
      <c r="R274" s="5">
        <f t="shared" ref="R274:R283" si="134">IF(P$12=0,0,P274/P$12)</f>
        <v>3.7068337314878984E-2</v>
      </c>
      <c r="S274" s="1"/>
      <c r="T274" s="1">
        <f>SUM(OSRRefT22_22x_0)</f>
        <v>360912.55999999994</v>
      </c>
      <c r="U274" s="1"/>
      <c r="V274" s="5">
        <f t="shared" ref="V274:V283" si="135">IF(T$12=0,0,T274/T$12)</f>
        <v>1.9964372861019316E-2</v>
      </c>
      <c r="W274" s="1"/>
      <c r="X274" s="1">
        <f t="shared" ref="X274:X283" si="136">+P274-T274</f>
        <v>-170272.63999999993</v>
      </c>
      <c r="Y274" s="1"/>
      <c r="Z274" s="5">
        <f t="shared" ref="Z274:Z283" si="137">IF(T274=0,0,X274/T274)</f>
        <v>-0.47178363645753962</v>
      </c>
    </row>
    <row r="275" spans="1:26" s="24" customFormat="1" hidden="1" outlineLevel="2" x14ac:dyDescent="0.25">
      <c r="A275" s="27"/>
      <c r="B275" s="11" t="str">
        <f>CONCATENATE("          ", "6234", " - ", "EXPENDABLE SUPPLIES &amp; EQUIPMEN")</f>
        <v xml:space="preserve">          6234 - EXPENDABLE SUPPLIES &amp; EQUIPMEN</v>
      </c>
      <c r="C275" s="11"/>
      <c r="D275" s="7"/>
      <c r="E275" s="2"/>
      <c r="F275" s="6">
        <f t="shared" si="130"/>
        <v>0</v>
      </c>
      <c r="G275" s="2"/>
      <c r="H275" s="7"/>
      <c r="I275" s="2"/>
      <c r="J275" s="6">
        <f t="shared" si="131"/>
        <v>0</v>
      </c>
      <c r="K275" s="2"/>
      <c r="L275" s="7">
        <f t="shared" si="132"/>
        <v>0</v>
      </c>
      <c r="M275" s="2"/>
      <c r="N275" s="6">
        <f t="shared" si="133"/>
        <v>0</v>
      </c>
      <c r="O275" s="11"/>
      <c r="P275" s="7">
        <v>178.24</v>
      </c>
      <c r="Q275" s="2"/>
      <c r="R275" s="6">
        <f t="shared" si="134"/>
        <v>3.4657276623930756E-5</v>
      </c>
      <c r="S275" s="2"/>
      <c r="T275" s="7">
        <v>15631.2</v>
      </c>
      <c r="U275" s="2"/>
      <c r="V275" s="6">
        <f t="shared" si="135"/>
        <v>8.6466124943162192E-4</v>
      </c>
      <c r="W275" s="2"/>
      <c r="X275" s="7">
        <f t="shared" si="136"/>
        <v>-15452.960000000001</v>
      </c>
      <c r="Y275" s="2"/>
      <c r="Z275" s="6">
        <f t="shared" si="137"/>
        <v>-0.98859716464506886</v>
      </c>
    </row>
    <row r="276" spans="1:26" s="24" customFormat="1" hidden="1" outlineLevel="2" x14ac:dyDescent="0.25">
      <c r="A276" s="27"/>
      <c r="B276" s="11" t="str">
        <f>CONCATENATE("          ", "6235", " - ", "COVID-19 EXPENSES")</f>
        <v xml:space="preserve">          6235 - COVID-19 EXPENSES</v>
      </c>
      <c r="C276" s="11"/>
      <c r="D276" s="7">
        <v>7636.18</v>
      </c>
      <c r="E276" s="2"/>
      <c r="F276" s="6">
        <f t="shared" si="130"/>
        <v>1.5792002474049639E-2</v>
      </c>
      <c r="G276" s="2"/>
      <c r="H276" s="7"/>
      <c r="I276" s="2"/>
      <c r="J276" s="6">
        <f t="shared" si="131"/>
        <v>0</v>
      </c>
      <c r="K276" s="2"/>
      <c r="L276" s="7">
        <f t="shared" si="132"/>
        <v>7636.18</v>
      </c>
      <c r="M276" s="2"/>
      <c r="N276" s="6">
        <f t="shared" si="133"/>
        <v>0</v>
      </c>
      <c r="O276" s="11"/>
      <c r="P276" s="7">
        <v>86862.23</v>
      </c>
      <c r="Q276" s="2"/>
      <c r="R276" s="6">
        <f t="shared" si="134"/>
        <v>1.6889633826758847E-2</v>
      </c>
      <c r="S276" s="2"/>
      <c r="T276" s="7"/>
      <c r="U276" s="2"/>
      <c r="V276" s="6">
        <f t="shared" si="135"/>
        <v>0</v>
      </c>
      <c r="W276" s="2"/>
      <c r="X276" s="7">
        <f t="shared" si="136"/>
        <v>86862.23</v>
      </c>
      <c r="Y276" s="2"/>
      <c r="Z276" s="6">
        <f t="shared" si="137"/>
        <v>0</v>
      </c>
    </row>
    <row r="277" spans="1:26" s="24" customFormat="1" hidden="1" outlineLevel="2" x14ac:dyDescent="0.25">
      <c r="A277" s="27"/>
      <c r="B277" s="11" t="str">
        <f>CONCATENATE("          ", "6237", " - ", "JANITORIAL SUPPLIES")</f>
        <v xml:space="preserve">          6237 - JANITORIAL SUPPLIES</v>
      </c>
      <c r="C277" s="11"/>
      <c r="D277" s="7">
        <v>5239.58</v>
      </c>
      <c r="E277" s="2"/>
      <c r="F277" s="6">
        <f t="shared" si="130"/>
        <v>1.083571371064865E-2</v>
      </c>
      <c r="G277" s="2"/>
      <c r="H277" s="7">
        <v>10899.49</v>
      </c>
      <c r="I277" s="2"/>
      <c r="J277" s="6">
        <f t="shared" si="131"/>
        <v>5.4952979702832735E-3</v>
      </c>
      <c r="K277" s="2"/>
      <c r="L277" s="7">
        <f t="shared" si="132"/>
        <v>-5659.91</v>
      </c>
      <c r="M277" s="2"/>
      <c r="N277" s="6">
        <f t="shared" si="133"/>
        <v>-0.51928209485030952</v>
      </c>
      <c r="O277" s="11"/>
      <c r="P277" s="7">
        <v>15674.809999999998</v>
      </c>
      <c r="Q277" s="2"/>
      <c r="R277" s="6">
        <f t="shared" si="134"/>
        <v>3.0478356496721048E-3</v>
      </c>
      <c r="S277" s="2"/>
      <c r="T277" s="7">
        <v>86182.58</v>
      </c>
      <c r="U277" s="2"/>
      <c r="V277" s="6">
        <f t="shared" si="135"/>
        <v>4.7673075197067856E-3</v>
      </c>
      <c r="W277" s="2"/>
      <c r="X277" s="7">
        <f t="shared" si="136"/>
        <v>-70507.77</v>
      </c>
      <c r="Y277" s="2"/>
      <c r="Z277" s="6">
        <f t="shared" si="137"/>
        <v>-0.81812090099878654</v>
      </c>
    </row>
    <row r="278" spans="1:26" s="24" customFormat="1" hidden="1" outlineLevel="2" x14ac:dyDescent="0.25">
      <c r="A278" s="27"/>
      <c r="B278" s="11" t="str">
        <f>CONCATENATE("          ", "6239", " - ", "KITCHEN SUPPLIES")</f>
        <v xml:space="preserve">          6239 - KITCHEN SUPPLIES</v>
      </c>
      <c r="C278" s="11"/>
      <c r="D278" s="7">
        <v>148.04</v>
      </c>
      <c r="E278" s="2"/>
      <c r="F278" s="6">
        <f t="shared" si="130"/>
        <v>3.0615413024029142E-4</v>
      </c>
      <c r="G278" s="2"/>
      <c r="H278" s="7">
        <v>3255.8</v>
      </c>
      <c r="I278" s="2"/>
      <c r="J278" s="6">
        <f t="shared" si="131"/>
        <v>1.6415071835148508E-3</v>
      </c>
      <c r="K278" s="2"/>
      <c r="L278" s="7">
        <f t="shared" si="132"/>
        <v>-3107.76</v>
      </c>
      <c r="M278" s="2"/>
      <c r="N278" s="6">
        <f t="shared" si="133"/>
        <v>-0.95453037655875672</v>
      </c>
      <c r="O278" s="11"/>
      <c r="P278" s="7">
        <v>5834.38</v>
      </c>
      <c r="Q278" s="2"/>
      <c r="R278" s="6">
        <f t="shared" si="134"/>
        <v>1.1344463733680944E-3</v>
      </c>
      <c r="S278" s="2"/>
      <c r="T278" s="7">
        <v>55062.03</v>
      </c>
      <c r="U278" s="2"/>
      <c r="V278" s="6">
        <f t="shared" si="135"/>
        <v>3.0458316479887305E-3</v>
      </c>
      <c r="W278" s="2"/>
      <c r="X278" s="7">
        <f t="shared" si="136"/>
        <v>-49227.65</v>
      </c>
      <c r="Y278" s="2"/>
      <c r="Z278" s="6">
        <f t="shared" si="137"/>
        <v>-0.89403986740045727</v>
      </c>
    </row>
    <row r="279" spans="1:26" s="24" customFormat="1" hidden="1" outlineLevel="2" x14ac:dyDescent="0.25">
      <c r="A279" s="27"/>
      <c r="B279" s="11" t="str">
        <f>CONCATENATE("          ", "6241", " - ", "OFFICE EXPENSE")</f>
        <v xml:space="preserve">          6241 - OFFICE EXPENSE</v>
      </c>
      <c r="C279" s="11"/>
      <c r="D279" s="7">
        <v>2093.0700000000002</v>
      </c>
      <c r="E279" s="2"/>
      <c r="F279" s="6">
        <f t="shared" si="130"/>
        <v>4.3285735300057204E-3</v>
      </c>
      <c r="G279" s="2"/>
      <c r="H279" s="7">
        <v>5299.35</v>
      </c>
      <c r="I279" s="2"/>
      <c r="J279" s="6">
        <f t="shared" si="131"/>
        <v>2.67182292922152E-3</v>
      </c>
      <c r="K279" s="2"/>
      <c r="L279" s="7">
        <f t="shared" si="132"/>
        <v>-3206.28</v>
      </c>
      <c r="M279" s="2"/>
      <c r="N279" s="6">
        <f t="shared" si="133"/>
        <v>-0.60503269268872595</v>
      </c>
      <c r="O279" s="11"/>
      <c r="P279" s="7">
        <v>26446.17</v>
      </c>
      <c r="Q279" s="2"/>
      <c r="R279" s="6">
        <f t="shared" si="134"/>
        <v>5.1422364751655004E-3</v>
      </c>
      <c r="S279" s="2"/>
      <c r="T279" s="7">
        <v>79329.47</v>
      </c>
      <c r="U279" s="2"/>
      <c r="V279" s="6">
        <f t="shared" si="135"/>
        <v>4.3882183483640643E-3</v>
      </c>
      <c r="W279" s="2"/>
      <c r="X279" s="7">
        <f t="shared" si="136"/>
        <v>-52883.3</v>
      </c>
      <c r="Y279" s="2"/>
      <c r="Z279" s="6">
        <f t="shared" si="137"/>
        <v>-0.66662868162361355</v>
      </c>
    </row>
    <row r="280" spans="1:26" s="24" customFormat="1" hidden="1" outlineLevel="2" x14ac:dyDescent="0.25">
      <c r="A280" s="27"/>
      <c r="B280" s="11" t="str">
        <f>CONCATENATE("          ", "6243", " - ", "PAPER SUPPLIES")</f>
        <v xml:space="preserve">          6243 - PAPER SUPPLIES</v>
      </c>
      <c r="C280" s="11"/>
      <c r="D280" s="7">
        <v>3777.57</v>
      </c>
      <c r="E280" s="2"/>
      <c r="F280" s="6">
        <f t="shared" si="130"/>
        <v>7.8122038487693718E-3</v>
      </c>
      <c r="G280" s="2"/>
      <c r="H280" s="7">
        <v>10157.1</v>
      </c>
      <c r="I280" s="2"/>
      <c r="J280" s="6">
        <f t="shared" si="131"/>
        <v>5.1210002499166695E-3</v>
      </c>
      <c r="K280" s="2"/>
      <c r="L280" s="7">
        <f t="shared" si="132"/>
        <v>-6379.5300000000007</v>
      </c>
      <c r="M280" s="2"/>
      <c r="N280" s="6">
        <f t="shared" si="133"/>
        <v>-0.62808577251380815</v>
      </c>
      <c r="O280" s="11"/>
      <c r="P280" s="7">
        <v>20439.560000000001</v>
      </c>
      <c r="Q280" s="2"/>
      <c r="R280" s="6">
        <f t="shared" si="134"/>
        <v>3.9743014193863906E-3</v>
      </c>
      <c r="S280" s="2"/>
      <c r="T280" s="7">
        <v>69590.320000000007</v>
      </c>
      <c r="U280" s="2"/>
      <c r="V280" s="6">
        <f t="shared" si="135"/>
        <v>3.8494839193117859E-3</v>
      </c>
      <c r="W280" s="2"/>
      <c r="X280" s="7">
        <f t="shared" si="136"/>
        <v>-49150.760000000009</v>
      </c>
      <c r="Y280" s="2"/>
      <c r="Z280" s="6">
        <f t="shared" si="137"/>
        <v>-0.706287311223745</v>
      </c>
    </row>
    <row r="281" spans="1:26" s="24" customFormat="1" hidden="1" outlineLevel="2" x14ac:dyDescent="0.25">
      <c r="A281" s="27"/>
      <c r="B281" s="11" t="str">
        <f>CONCATENATE("          ", "6245", " - ", "PRINTING")</f>
        <v xml:space="preserve">          6245 - PRINTING</v>
      </c>
      <c r="C281" s="11"/>
      <c r="D281" s="7"/>
      <c r="E281" s="2"/>
      <c r="F281" s="6">
        <f t="shared" si="130"/>
        <v>0</v>
      </c>
      <c r="G281" s="2"/>
      <c r="H281" s="7">
        <v>748.76</v>
      </c>
      <c r="I281" s="2"/>
      <c r="J281" s="6">
        <f t="shared" si="131"/>
        <v>3.7750934293524774E-4</v>
      </c>
      <c r="K281" s="2"/>
      <c r="L281" s="7">
        <f t="shared" si="132"/>
        <v>-748.76</v>
      </c>
      <c r="M281" s="2"/>
      <c r="N281" s="6">
        <f t="shared" si="133"/>
        <v>-1</v>
      </c>
      <c r="O281" s="11"/>
      <c r="P281" s="7">
        <v>508.27</v>
      </c>
      <c r="Q281" s="2"/>
      <c r="R281" s="6">
        <f t="shared" si="134"/>
        <v>9.8828848685173282E-5</v>
      </c>
      <c r="S281" s="2"/>
      <c r="T281" s="7">
        <v>7418.72</v>
      </c>
      <c r="U281" s="2"/>
      <c r="V281" s="6">
        <f t="shared" si="135"/>
        <v>4.1037666362041058E-4</v>
      </c>
      <c r="W281" s="2"/>
      <c r="X281" s="7">
        <f t="shared" si="136"/>
        <v>-6910.4500000000007</v>
      </c>
      <c r="Y281" s="2"/>
      <c r="Z281" s="6">
        <f t="shared" si="137"/>
        <v>-0.93148818124959565</v>
      </c>
    </row>
    <row r="282" spans="1:26" s="24" customFormat="1" hidden="1" outlineLevel="2" x14ac:dyDescent="0.25">
      <c r="A282" s="27"/>
      <c r="B282" s="11" t="str">
        <f>CONCATENATE("          ", "6247", " - ", "STORE SUPPLIES")</f>
        <v xml:space="preserve">          6247 - STORE SUPPLIES</v>
      </c>
      <c r="C282" s="11"/>
      <c r="D282" s="7">
        <v>1850.54</v>
      </c>
      <c r="E282" s="2"/>
      <c r="F282" s="6">
        <f t="shared" si="130"/>
        <v>3.8270093500058695E-3</v>
      </c>
      <c r="G282" s="2"/>
      <c r="H282" s="7">
        <v>3106.12</v>
      </c>
      <c r="I282" s="2"/>
      <c r="J282" s="6">
        <f t="shared" si="131"/>
        <v>1.5660416158422349E-3</v>
      </c>
      <c r="K282" s="2"/>
      <c r="L282" s="7">
        <f t="shared" si="132"/>
        <v>-1255.58</v>
      </c>
      <c r="M282" s="2"/>
      <c r="N282" s="6">
        <f t="shared" si="133"/>
        <v>-0.40422778257118203</v>
      </c>
      <c r="O282" s="11"/>
      <c r="P282" s="7">
        <v>30195.670000000002</v>
      </c>
      <c r="Q282" s="2"/>
      <c r="R282" s="6">
        <f t="shared" si="134"/>
        <v>5.8712953772157052E-3</v>
      </c>
      <c r="S282" s="2"/>
      <c r="T282" s="7">
        <v>47849.84</v>
      </c>
      <c r="U282" s="2"/>
      <c r="V282" s="6">
        <f t="shared" si="135"/>
        <v>2.646879474352781E-3</v>
      </c>
      <c r="W282" s="2"/>
      <c r="X282" s="7">
        <f t="shared" si="136"/>
        <v>-17654.169999999995</v>
      </c>
      <c r="Y282" s="2"/>
      <c r="Z282" s="6">
        <f t="shared" si="137"/>
        <v>-0.36894940505548179</v>
      </c>
    </row>
    <row r="283" spans="1:26" s="24" customFormat="1" hidden="1" outlineLevel="2" x14ac:dyDescent="0.25">
      <c r="A283" s="27"/>
      <c r="B283" s="11" t="str">
        <f>CONCATENATE("          ", "6248", " - ", "UNIFORMS")</f>
        <v xml:space="preserve">          6248 - UNIFORMS</v>
      </c>
      <c r="C283" s="11"/>
      <c r="D283" s="7"/>
      <c r="E283" s="2"/>
      <c r="F283" s="6">
        <f t="shared" si="130"/>
        <v>0</v>
      </c>
      <c r="G283" s="2"/>
      <c r="H283" s="7"/>
      <c r="I283" s="2"/>
      <c r="J283" s="6">
        <f t="shared" si="131"/>
        <v>0</v>
      </c>
      <c r="K283" s="2"/>
      <c r="L283" s="7">
        <f t="shared" si="132"/>
        <v>0</v>
      </c>
      <c r="M283" s="2"/>
      <c r="N283" s="6">
        <f t="shared" si="133"/>
        <v>0</v>
      </c>
      <c r="O283" s="11"/>
      <c r="P283" s="7">
        <v>4500.59</v>
      </c>
      <c r="Q283" s="2"/>
      <c r="R283" s="6">
        <f t="shared" si="134"/>
        <v>8.7510206800323455E-4</v>
      </c>
      <c r="S283" s="2"/>
      <c r="T283" s="7">
        <v>-151.6</v>
      </c>
      <c r="U283" s="2"/>
      <c r="V283" s="6">
        <f t="shared" si="135"/>
        <v>-8.3859617568602446E-6</v>
      </c>
      <c r="W283" s="2"/>
      <c r="X283" s="7">
        <f t="shared" si="136"/>
        <v>4652.1900000000005</v>
      </c>
      <c r="Y283" s="2"/>
      <c r="Z283" s="6">
        <f t="shared" si="137"/>
        <v>-30.687269129287603</v>
      </c>
    </row>
    <row r="284" spans="1:26" s="25" customFormat="1" outlineLevel="1" collapsed="1" x14ac:dyDescent="0.25">
      <c r="A284" s="26"/>
      <c r="B284" s="13" t="str">
        <f>CONCATENATE("     ","Telephone/Data Lines                              ")</f>
        <v xml:space="preserve">     Telephone/Data Lines                              </v>
      </c>
      <c r="C284" s="13"/>
      <c r="D284" s="1">
        <f>SUM(OSRRefD22_23x_0)</f>
        <v>3757.29</v>
      </c>
      <c r="E284" s="1"/>
      <c r="F284" s="5">
        <f t="shared" ref="F284:F286" si="138">IF(D$12=0,0,D284/D$12)</f>
        <v>7.7702637936405338E-3</v>
      </c>
      <c r="G284" s="1"/>
      <c r="H284" s="1">
        <f>SUM(OSRRefH22_23x_0)</f>
        <v>6040.64</v>
      </c>
      <c r="I284" s="1"/>
      <c r="J284" s="5">
        <f t="shared" ref="J284:J286" si="139">IF(H$12=0,0,H284/H$12)</f>
        <v>3.0455660522842772E-3</v>
      </c>
      <c r="K284" s="1"/>
      <c r="L284" s="1">
        <f t="shared" ref="L284:L286" si="140">+D284-H284</f>
        <v>-2283.3500000000004</v>
      </c>
      <c r="M284" s="1"/>
      <c r="N284" s="5">
        <f t="shared" ref="N284:N286" si="141">IF(H284=0,0,L284/H284)</f>
        <v>-0.37799802669915772</v>
      </c>
      <c r="O284" s="13"/>
      <c r="P284" s="1">
        <f>SUM(OSRRefP22_23x_0)</f>
        <v>29428.2</v>
      </c>
      <c r="Q284" s="1"/>
      <c r="R284" s="5">
        <f t="shared" ref="R284:R286" si="142">IF(P$12=0,0,P284/P$12)</f>
        <v>5.7220672573179933E-3</v>
      </c>
      <c r="S284" s="1"/>
      <c r="T284" s="1">
        <f>SUM(OSRRefT22_23x_0)</f>
        <v>34958.590000000004</v>
      </c>
      <c r="U284" s="1"/>
      <c r="V284" s="5">
        <f t="shared" ref="V284:V286" si="143">IF(T$12=0,0,T284/T$12)</f>
        <v>1.9337823140749145E-3</v>
      </c>
      <c r="W284" s="1"/>
      <c r="X284" s="1">
        <f t="shared" ref="X284:X286" si="144">+P284-T284</f>
        <v>-5530.3900000000031</v>
      </c>
      <c r="Y284" s="1"/>
      <c r="Z284" s="5">
        <f t="shared" ref="Z284:Z286" si="145">IF(T284=0,0,X284/T284)</f>
        <v>-0.15819831406243795</v>
      </c>
    </row>
    <row r="285" spans="1:26" s="24" customFormat="1" hidden="1" outlineLevel="2" x14ac:dyDescent="0.25">
      <c r="A285" s="27"/>
      <c r="B285" s="11" t="str">
        <f>CONCATENATE("          ", "6303", " - ", "DATA PHONE LINES")</f>
        <v xml:space="preserve">          6303 - DATA PHONE LINES</v>
      </c>
      <c r="C285" s="11"/>
      <c r="D285" s="7"/>
      <c r="E285" s="2"/>
      <c r="F285" s="6">
        <f t="shared" si="138"/>
        <v>0</v>
      </c>
      <c r="G285" s="2"/>
      <c r="H285" s="7">
        <v>295</v>
      </c>
      <c r="I285" s="2"/>
      <c r="J285" s="6">
        <f t="shared" si="139"/>
        <v>1.487329133045276E-4</v>
      </c>
      <c r="K285" s="2"/>
      <c r="L285" s="7">
        <f t="shared" si="140"/>
        <v>-295</v>
      </c>
      <c r="M285" s="2"/>
      <c r="N285" s="6">
        <f t="shared" si="141"/>
        <v>-1</v>
      </c>
      <c r="O285" s="11"/>
      <c r="P285" s="7">
        <v>2065</v>
      </c>
      <c r="Q285" s="2"/>
      <c r="R285" s="6">
        <f t="shared" si="142"/>
        <v>4.0152197165853353E-4</v>
      </c>
      <c r="S285" s="2"/>
      <c r="T285" s="7">
        <v>1770</v>
      </c>
      <c r="U285" s="2"/>
      <c r="V285" s="6">
        <f t="shared" si="143"/>
        <v>9.7909975657273316E-5</v>
      </c>
      <c r="W285" s="2"/>
      <c r="X285" s="7">
        <f t="shared" si="144"/>
        <v>295</v>
      </c>
      <c r="Y285" s="2"/>
      <c r="Z285" s="6">
        <f t="shared" si="145"/>
        <v>0.16666666666666666</v>
      </c>
    </row>
    <row r="286" spans="1:26" s="24" customFormat="1" hidden="1" outlineLevel="2" x14ac:dyDescent="0.25">
      <c r="A286" s="27"/>
      <c r="B286" s="11" t="str">
        <f>CONCATENATE("          ", "6309", " - ", "TELEPHONE")</f>
        <v xml:space="preserve">          6309 - TELEPHONE</v>
      </c>
      <c r="C286" s="11"/>
      <c r="D286" s="7">
        <v>3757.29</v>
      </c>
      <c r="E286" s="2"/>
      <c r="F286" s="6">
        <f t="shared" si="138"/>
        <v>7.7702637936405338E-3</v>
      </c>
      <c r="G286" s="2"/>
      <c r="H286" s="7">
        <v>5745.64</v>
      </c>
      <c r="I286" s="2"/>
      <c r="J286" s="6">
        <f t="shared" si="139"/>
        <v>2.8968331389797493E-3</v>
      </c>
      <c r="K286" s="2"/>
      <c r="L286" s="7">
        <f t="shared" si="140"/>
        <v>-1988.3500000000004</v>
      </c>
      <c r="M286" s="2"/>
      <c r="N286" s="6">
        <f t="shared" si="141"/>
        <v>-0.34606240558057938</v>
      </c>
      <c r="O286" s="11"/>
      <c r="P286" s="7">
        <v>27363.200000000001</v>
      </c>
      <c r="Q286" s="2"/>
      <c r="R286" s="6">
        <f t="shared" si="142"/>
        <v>5.3205452856594599E-3</v>
      </c>
      <c r="S286" s="2"/>
      <c r="T286" s="7">
        <v>33188.590000000004</v>
      </c>
      <c r="U286" s="2"/>
      <c r="V286" s="6">
        <f t="shared" si="143"/>
        <v>1.8358723384176412E-3</v>
      </c>
      <c r="W286" s="2"/>
      <c r="X286" s="7">
        <f t="shared" si="144"/>
        <v>-5825.3900000000031</v>
      </c>
      <c r="Y286" s="2"/>
      <c r="Z286" s="6">
        <f t="shared" si="145"/>
        <v>-0.17552387733254116</v>
      </c>
    </row>
    <row r="287" spans="1:26" s="25" customFormat="1" outlineLevel="1" collapsed="1" x14ac:dyDescent="0.25">
      <c r="A287" s="26"/>
      <c r="B287" s="13" t="str">
        <f>CONCATENATE("     ","Training                                          ")</f>
        <v xml:space="preserve">     Training                                          </v>
      </c>
      <c r="C287" s="13"/>
      <c r="D287" s="1">
        <f>SUM(OSRRefD22_24x_0)</f>
        <v>0</v>
      </c>
      <c r="E287" s="1"/>
      <c r="F287" s="5">
        <f t="shared" ref="F287:F292" si="146">IF(D$12=0,0,D287/D$12)</f>
        <v>0</v>
      </c>
      <c r="G287" s="1"/>
      <c r="H287" s="1">
        <f>SUM(OSRRefH22_24x_0)</f>
        <v>1663.1</v>
      </c>
      <c r="I287" s="1"/>
      <c r="J287" s="5">
        <f t="shared" ref="J287:J292" si="147">IF(H$12=0,0,H287/H$12)</f>
        <v>8.3850070548054188E-4</v>
      </c>
      <c r="K287" s="1"/>
      <c r="L287" s="1">
        <f t="shared" ref="L287:L292" si="148">+D287-H287</f>
        <v>-1663.1</v>
      </c>
      <c r="M287" s="1"/>
      <c r="N287" s="5">
        <f t="shared" ref="N287:N292" si="149">IF(H287=0,0,L287/H287)</f>
        <v>-1</v>
      </c>
      <c r="O287" s="13"/>
      <c r="P287" s="1">
        <f>SUM(OSRRefP22_24x_0)</f>
        <v>1380.63</v>
      </c>
      <c r="Q287" s="1"/>
      <c r="R287" s="5">
        <f t="shared" ref="R287:R292" si="150">IF(P$12=0,0,P287/P$12)</f>
        <v>2.6845195144354538E-4</v>
      </c>
      <c r="S287" s="1"/>
      <c r="T287" s="1">
        <f>SUM(OSRRefT22_24x_0)</f>
        <v>16396.310000000001</v>
      </c>
      <c r="U287" s="1"/>
      <c r="V287" s="5">
        <f t="shared" ref="V287:V292" si="151">IF(T$12=0,0,T287/T$12)</f>
        <v>9.0698435760966508E-4</v>
      </c>
      <c r="W287" s="1"/>
      <c r="X287" s="1">
        <f t="shared" ref="X287:X292" si="152">+P287-T287</f>
        <v>-15015.68</v>
      </c>
      <c r="Y287" s="1"/>
      <c r="Z287" s="5">
        <f t="shared" ref="Z287:Z292" si="153">IF(T287=0,0,X287/T287)</f>
        <v>-0.91579629806950458</v>
      </c>
    </row>
    <row r="288" spans="1:26" s="24" customFormat="1" hidden="1" outlineLevel="2" x14ac:dyDescent="0.25">
      <c r="A288" s="27"/>
      <c r="B288" s="11" t="str">
        <f>CONCATENATE("          ", "6376", " - ", "TRAINING")</f>
        <v xml:space="preserve">          6376 - TRAINING</v>
      </c>
      <c r="C288" s="11"/>
      <c r="D288" s="7"/>
      <c r="E288" s="2"/>
      <c r="F288" s="6">
        <f t="shared" si="146"/>
        <v>0</v>
      </c>
      <c r="G288" s="2"/>
      <c r="H288" s="7">
        <v>1663.1</v>
      </c>
      <c r="I288" s="2"/>
      <c r="J288" s="6">
        <f t="shared" si="147"/>
        <v>8.3850070548054188E-4</v>
      </c>
      <c r="K288" s="2"/>
      <c r="L288" s="7">
        <f t="shared" si="148"/>
        <v>-1663.1</v>
      </c>
      <c r="M288" s="2"/>
      <c r="N288" s="6">
        <f t="shared" si="149"/>
        <v>-1</v>
      </c>
      <c r="O288" s="11"/>
      <c r="P288" s="7">
        <v>1380.63</v>
      </c>
      <c r="Q288" s="2"/>
      <c r="R288" s="6">
        <f t="shared" si="150"/>
        <v>2.6845195144354538E-4</v>
      </c>
      <c r="S288" s="2"/>
      <c r="T288" s="7">
        <v>16396.310000000001</v>
      </c>
      <c r="U288" s="2"/>
      <c r="V288" s="6">
        <f t="shared" si="151"/>
        <v>9.0698435760966508E-4</v>
      </c>
      <c r="W288" s="2"/>
      <c r="X288" s="7">
        <f t="shared" si="152"/>
        <v>-15015.68</v>
      </c>
      <c r="Y288" s="2"/>
      <c r="Z288" s="6">
        <f t="shared" si="153"/>
        <v>-0.91579629806950458</v>
      </c>
    </row>
    <row r="289" spans="1:26" s="25" customFormat="1" outlineLevel="1" collapsed="1" x14ac:dyDescent="0.25">
      <c r="A289" s="26"/>
      <c r="B289" s="13" t="str">
        <f>CONCATENATE("     ","Travel                                            ")</f>
        <v xml:space="preserve">     Travel                                            </v>
      </c>
      <c r="C289" s="13"/>
      <c r="D289" s="1">
        <f>SUM(OSRRefD22_25x_0)</f>
        <v>0</v>
      </c>
      <c r="E289" s="1"/>
      <c r="F289" s="5">
        <f t="shared" si="146"/>
        <v>0</v>
      </c>
      <c r="G289" s="1"/>
      <c r="H289" s="1">
        <f>SUM(OSRRefH22_25x_0)</f>
        <v>1113.98</v>
      </c>
      <c r="I289" s="1"/>
      <c r="J289" s="5">
        <f t="shared" si="147"/>
        <v>5.6164573139992429E-4</v>
      </c>
      <c r="K289" s="1"/>
      <c r="L289" s="1">
        <f t="shared" si="148"/>
        <v>-1113.98</v>
      </c>
      <c r="M289" s="1"/>
      <c r="N289" s="5">
        <f t="shared" si="149"/>
        <v>-1</v>
      </c>
      <c r="O289" s="13"/>
      <c r="P289" s="1">
        <f>SUM(OSRRefP22_25x_0)</f>
        <v>1013.14</v>
      </c>
      <c r="Q289" s="1"/>
      <c r="R289" s="5">
        <f t="shared" si="150"/>
        <v>1.9699659581894752E-4</v>
      </c>
      <c r="S289" s="1"/>
      <c r="T289" s="1">
        <f>SUM(OSRRefT22_25x_0)</f>
        <v>5947.14</v>
      </c>
      <c r="U289" s="1"/>
      <c r="V289" s="5">
        <f t="shared" si="151"/>
        <v>3.2897419922621267E-4</v>
      </c>
      <c r="W289" s="1"/>
      <c r="X289" s="1">
        <f t="shared" si="152"/>
        <v>-4934</v>
      </c>
      <c r="Y289" s="1"/>
      <c r="Z289" s="5">
        <f t="shared" si="153"/>
        <v>-0.82964248361397241</v>
      </c>
    </row>
    <row r="290" spans="1:26" s="24" customFormat="1" hidden="1" outlineLevel="2" x14ac:dyDescent="0.25">
      <c r="A290" s="27"/>
      <c r="B290" s="11" t="str">
        <f>CONCATENATE("          ", "6292", " - ", "TRAVEL/CONFERENCE")</f>
        <v xml:space="preserve">          6292 - TRAVEL/CONFERENCE</v>
      </c>
      <c r="C290" s="11"/>
      <c r="D290" s="7"/>
      <c r="E290" s="2"/>
      <c r="F290" s="6">
        <f t="shared" si="146"/>
        <v>0</v>
      </c>
      <c r="G290" s="2"/>
      <c r="H290" s="7">
        <v>835.94</v>
      </c>
      <c r="I290" s="2"/>
      <c r="J290" s="6">
        <f t="shared" si="147"/>
        <v>4.2146370016198922E-4</v>
      </c>
      <c r="K290" s="2"/>
      <c r="L290" s="7">
        <f t="shared" si="148"/>
        <v>-835.94</v>
      </c>
      <c r="M290" s="2"/>
      <c r="N290" s="6">
        <f t="shared" si="149"/>
        <v>-1</v>
      </c>
      <c r="O290" s="11"/>
      <c r="P290" s="7">
        <v>299.16000000000003</v>
      </c>
      <c r="Q290" s="2"/>
      <c r="R290" s="6">
        <f t="shared" si="150"/>
        <v>5.8169158857804791E-5</v>
      </c>
      <c r="S290" s="2"/>
      <c r="T290" s="7">
        <v>4052.42</v>
      </c>
      <c r="U290" s="2"/>
      <c r="V290" s="6">
        <f t="shared" si="151"/>
        <v>2.2416516584917941E-4</v>
      </c>
      <c r="W290" s="2"/>
      <c r="X290" s="7">
        <f t="shared" si="152"/>
        <v>-3753.26</v>
      </c>
      <c r="Y290" s="2"/>
      <c r="Z290" s="6">
        <f t="shared" si="153"/>
        <v>-0.92617744458866558</v>
      </c>
    </row>
    <row r="291" spans="1:26" s="24" customFormat="1" hidden="1" outlineLevel="2" x14ac:dyDescent="0.25">
      <c r="A291" s="27"/>
      <c r="B291" s="11" t="str">
        <f>CONCATENATE("          ", "6294", " - ", "TRAVEL OPERATIONAL")</f>
        <v xml:space="preserve">          6294 - TRAVEL OPERATIONAL</v>
      </c>
      <c r="C291" s="11"/>
      <c r="D291" s="7"/>
      <c r="E291" s="2"/>
      <c r="F291" s="6">
        <f t="shared" si="146"/>
        <v>0</v>
      </c>
      <c r="G291" s="2"/>
      <c r="H291" s="7">
        <v>125.14</v>
      </c>
      <c r="I291" s="2"/>
      <c r="J291" s="6">
        <f t="shared" si="147"/>
        <v>6.3093006003147741E-5</v>
      </c>
      <c r="K291" s="2"/>
      <c r="L291" s="7">
        <f t="shared" si="148"/>
        <v>-125.14</v>
      </c>
      <c r="M291" s="2"/>
      <c r="N291" s="6">
        <f t="shared" si="149"/>
        <v>-1</v>
      </c>
      <c r="O291" s="11"/>
      <c r="P291" s="7">
        <v>321.88</v>
      </c>
      <c r="Q291" s="2"/>
      <c r="R291" s="6">
        <f t="shared" si="150"/>
        <v>6.2586872754212474E-5</v>
      </c>
      <c r="S291" s="2"/>
      <c r="T291" s="7">
        <v>864.43</v>
      </c>
      <c r="U291" s="2"/>
      <c r="V291" s="6">
        <f t="shared" si="151"/>
        <v>4.7817130088936029E-5</v>
      </c>
      <c r="W291" s="2"/>
      <c r="X291" s="7">
        <f t="shared" si="152"/>
        <v>-542.54999999999995</v>
      </c>
      <c r="Y291" s="2"/>
      <c r="Z291" s="6">
        <f t="shared" si="153"/>
        <v>-0.62763902224587298</v>
      </c>
    </row>
    <row r="292" spans="1:26" s="24" customFormat="1" hidden="1" outlineLevel="2" x14ac:dyDescent="0.25">
      <c r="A292" s="27"/>
      <c r="B292" s="11" t="str">
        <f>CONCATENATE("          ", "6298", " - ", "VEHICLE MILEAGE")</f>
        <v xml:space="preserve">          6298 - VEHICLE MILEAGE</v>
      </c>
      <c r="C292" s="11"/>
      <c r="D292" s="7"/>
      <c r="E292" s="2"/>
      <c r="F292" s="6">
        <f t="shared" si="146"/>
        <v>0</v>
      </c>
      <c r="G292" s="2"/>
      <c r="H292" s="7">
        <v>152.9</v>
      </c>
      <c r="I292" s="2"/>
      <c r="J292" s="6">
        <f t="shared" si="147"/>
        <v>7.7089025234787357E-5</v>
      </c>
      <c r="K292" s="2"/>
      <c r="L292" s="7">
        <f t="shared" si="148"/>
        <v>-152.9</v>
      </c>
      <c r="M292" s="2"/>
      <c r="N292" s="6">
        <f t="shared" si="149"/>
        <v>-1</v>
      </c>
      <c r="O292" s="11"/>
      <c r="P292" s="7">
        <v>392.1</v>
      </c>
      <c r="Q292" s="2"/>
      <c r="R292" s="6">
        <f t="shared" si="150"/>
        <v>7.6240564206930269E-5</v>
      </c>
      <c r="S292" s="2"/>
      <c r="T292" s="7">
        <v>1030.29</v>
      </c>
      <c r="U292" s="2"/>
      <c r="V292" s="6">
        <f t="shared" si="151"/>
        <v>5.6991903288097244E-5</v>
      </c>
      <c r="W292" s="2"/>
      <c r="X292" s="7">
        <f t="shared" si="152"/>
        <v>-638.18999999999994</v>
      </c>
      <c r="Y292" s="2"/>
      <c r="Z292" s="6">
        <f t="shared" si="153"/>
        <v>-0.61942753981888588</v>
      </c>
    </row>
    <row r="293" spans="1:26" s="25" customFormat="1" outlineLevel="1" collapsed="1" x14ac:dyDescent="0.25">
      <c r="A293" s="26"/>
      <c r="B293" s="13" t="str">
        <f>CONCATENATE("     ","Utilities                                         ")</f>
        <v xml:space="preserve">     Utilities                                         </v>
      </c>
      <c r="C293" s="13"/>
      <c r="D293" s="1">
        <f>SUM(OSRRefD22_26x_0)</f>
        <v>10971.61</v>
      </c>
      <c r="E293" s="1"/>
      <c r="F293" s="5">
        <f t="shared" ref="F293:F294" si="154">IF(D$12=0,0,D293/D$12)</f>
        <v>2.268983867120835E-2</v>
      </c>
      <c r="G293" s="1"/>
      <c r="H293" s="1">
        <f>SUM(OSRRefH22_26x_0)</f>
        <v>50394.76</v>
      </c>
      <c r="I293" s="1"/>
      <c r="J293" s="5">
        <f t="shared" ref="J293:J294" si="155">IF(H$12=0,0,H293/H$12)</f>
        <v>2.5407998203669409E-2</v>
      </c>
      <c r="K293" s="1"/>
      <c r="L293" s="1">
        <f t="shared" ref="L293:L294" si="156">+D293-H293</f>
        <v>-39423.15</v>
      </c>
      <c r="M293" s="1"/>
      <c r="N293" s="5">
        <f t="shared" ref="N293:N294" si="157">IF(H293=0,0,L293/H293)</f>
        <v>-0.78228669012413199</v>
      </c>
      <c r="O293" s="13"/>
      <c r="P293" s="1">
        <f>SUM(OSRRefP22_26x_0)</f>
        <v>41311.420000000006</v>
      </c>
      <c r="Q293" s="1"/>
      <c r="R293" s="5">
        <f t="shared" ref="R293:R294" si="158">IF(P$12=0,0,P293/P$12)</f>
        <v>8.0326599566168406E-3</v>
      </c>
      <c r="S293" s="1"/>
      <c r="T293" s="1">
        <f>SUM(OSRRefT22_26x_0)</f>
        <v>134371.80000000002</v>
      </c>
      <c r="U293" s="1"/>
      <c r="V293" s="5">
        <f t="shared" ref="V293:V294" si="159">IF(T$12=0,0,T293/T$12)</f>
        <v>7.4329602638553679E-3</v>
      </c>
      <c r="W293" s="1"/>
      <c r="X293" s="1">
        <f t="shared" ref="X293:X294" si="160">+P293-T293</f>
        <v>-93060.38</v>
      </c>
      <c r="Y293" s="1"/>
      <c r="Z293" s="5">
        <f t="shared" ref="Z293:Z294" si="161">IF(T293=0,0,X293/T293)</f>
        <v>-0.692558855355067</v>
      </c>
    </row>
    <row r="294" spans="1:26" s="24" customFormat="1" hidden="1" outlineLevel="2" x14ac:dyDescent="0.25">
      <c r="A294" s="27"/>
      <c r="B294" s="11" t="str">
        <f>CONCATENATE("          ", "6274", " - ", "UTILITIES")</f>
        <v xml:space="preserve">          6274 - UTILITIES</v>
      </c>
      <c r="C294" s="11"/>
      <c r="D294" s="7">
        <v>10971.61</v>
      </c>
      <c r="E294" s="2"/>
      <c r="F294" s="6">
        <f t="shared" si="154"/>
        <v>2.268983867120835E-2</v>
      </c>
      <c r="G294" s="2"/>
      <c r="H294" s="7">
        <v>50394.76</v>
      </c>
      <c r="I294" s="2"/>
      <c r="J294" s="6">
        <f t="shared" si="155"/>
        <v>2.5407998203669409E-2</v>
      </c>
      <c r="K294" s="2"/>
      <c r="L294" s="7">
        <f t="shared" si="156"/>
        <v>-39423.15</v>
      </c>
      <c r="M294" s="2"/>
      <c r="N294" s="6">
        <f t="shared" si="157"/>
        <v>-0.78228669012413199</v>
      </c>
      <c r="O294" s="11"/>
      <c r="P294" s="7">
        <v>41311.420000000006</v>
      </c>
      <c r="Q294" s="2"/>
      <c r="R294" s="6">
        <f t="shared" si="158"/>
        <v>8.0326599566168406E-3</v>
      </c>
      <c r="S294" s="2"/>
      <c r="T294" s="7">
        <v>134371.80000000002</v>
      </c>
      <c r="U294" s="2"/>
      <c r="V294" s="6">
        <f t="shared" si="159"/>
        <v>7.4329602638553679E-3</v>
      </c>
      <c r="W294" s="2"/>
      <c r="X294" s="7">
        <f t="shared" si="160"/>
        <v>-93060.38</v>
      </c>
      <c r="Y294" s="2"/>
      <c r="Z294" s="6">
        <f t="shared" si="161"/>
        <v>-0.692558855355067</v>
      </c>
    </row>
    <row r="295" spans="1:26" s="55" customFormat="1" x14ac:dyDescent="0.25">
      <c r="A295" s="37"/>
      <c r="B295" s="37"/>
      <c r="C295" s="37"/>
      <c r="D295" s="1"/>
      <c r="E295" s="1"/>
      <c r="F295" s="5"/>
      <c r="G295" s="1"/>
      <c r="H295" s="1"/>
      <c r="I295" s="1"/>
      <c r="J295" s="5"/>
      <c r="K295" s="1"/>
      <c r="L295" s="1"/>
      <c r="M295" s="1"/>
      <c r="N295" s="5"/>
      <c r="O295" s="37"/>
      <c r="P295" s="1"/>
      <c r="Q295" s="1"/>
      <c r="R295" s="5"/>
      <c r="S295" s="1"/>
      <c r="T295" s="1"/>
      <c r="U295" s="1"/>
      <c r="V295" s="5"/>
      <c r="W295" s="1"/>
      <c r="X295" s="1"/>
      <c r="Y295" s="1"/>
      <c r="Z295" s="5"/>
    </row>
    <row r="296" spans="1:26" s="23" customFormat="1" collapsed="1" x14ac:dyDescent="0.25">
      <c r="A296" s="10"/>
      <c r="B296" s="29" t="s">
        <v>0</v>
      </c>
      <c r="C296" s="10"/>
      <c r="D296" s="4">
        <f>SUM(OSRRefD25x_0)</f>
        <v>30857.81</v>
      </c>
      <c r="E296" s="4"/>
      <c r="F296" s="12">
        <f t="shared" ref="F296:F309" si="162">IF(D$12=0,0,D296/D$12)</f>
        <v>6.3815495688125959E-2</v>
      </c>
      <c r="G296" s="4"/>
      <c r="H296" s="4">
        <f>SUM(OSRRefH25x_0)</f>
        <v>46005.49</v>
      </c>
      <c r="I296" s="4"/>
      <c r="J296" s="12">
        <f t="shared" ref="J296:J309" si="163">IF(H$12=0,0,H296/H$12)</f>
        <v>2.3195018832889193E-2</v>
      </c>
      <c r="K296" s="4"/>
      <c r="L296" s="4">
        <f t="shared" ref="L296:L309" si="164">+D296-H296</f>
        <v>-15147.679999999997</v>
      </c>
      <c r="M296" s="4"/>
      <c r="N296" s="12">
        <f t="shared" ref="N296:N309" si="165">IF(H296=0,0,L296/H296)</f>
        <v>-0.32925809506648007</v>
      </c>
      <c r="O296" s="10"/>
      <c r="P296" s="4">
        <f>SUM(OSRRefP25x_0)</f>
        <v>561364.04</v>
      </c>
      <c r="Q296" s="4"/>
      <c r="R296" s="12">
        <f t="shared" ref="R296:R309" si="166">IF(P$12=0,0,P296/P$12)</f>
        <v>0.10915254051283288</v>
      </c>
      <c r="S296" s="4"/>
      <c r="T296" s="4">
        <f>SUM(OSRRefT25x_0)</f>
        <v>958891.85999999987</v>
      </c>
      <c r="U296" s="4"/>
      <c r="V296" s="12">
        <f t="shared" ref="V296:V309" si="167">IF(T$12=0,0,T296/T$12)</f>
        <v>5.3042417327998602E-2</v>
      </c>
      <c r="W296" s="4"/>
      <c r="X296" s="4">
        <f t="shared" ref="X296:X309" si="168">+P296-T296</f>
        <v>-397527.81999999983</v>
      </c>
      <c r="Y296" s="4"/>
      <c r="Z296" s="12">
        <f t="shared" ref="Z296:Z309" si="169">IF(T296=0,0,X296/T296)</f>
        <v>-0.41457002252579334</v>
      </c>
    </row>
    <row r="297" spans="1:26" s="24" customFormat="1" hidden="1" outlineLevel="1" x14ac:dyDescent="0.25">
      <c r="A297" s="44"/>
      <c r="B297" s="11" t="str">
        <f>CONCATENATE("          ", "4098", " - ", "TAXABLE SALES-GRAD RENTALS")</f>
        <v xml:space="preserve">          4098 - TAXABLE SALES-GRAD RENTALS</v>
      </c>
      <c r="C297" s="11"/>
      <c r="D297" s="2">
        <f>0</f>
        <v>0</v>
      </c>
      <c r="E297" s="2"/>
      <c r="F297" s="19">
        <f t="shared" si="162"/>
        <v>0</v>
      </c>
      <c r="G297" s="2"/>
      <c r="H297" s="2">
        <f>0</f>
        <v>0</v>
      </c>
      <c r="I297" s="2"/>
      <c r="J297" s="19">
        <f t="shared" si="163"/>
        <v>0</v>
      </c>
      <c r="K297" s="2"/>
      <c r="L297" s="2">
        <f t="shared" si="164"/>
        <v>0</v>
      </c>
      <c r="M297" s="2"/>
      <c r="N297" s="19">
        <f t="shared" si="165"/>
        <v>0</v>
      </c>
      <c r="O297" s="11"/>
      <c r="P297" s="2">
        <f>0</f>
        <v>0</v>
      </c>
      <c r="Q297" s="2"/>
      <c r="R297" s="19">
        <f t="shared" si="166"/>
        <v>0</v>
      </c>
      <c r="S297" s="2"/>
      <c r="T297" s="2">
        <f>--1626.85</f>
        <v>1626.85</v>
      </c>
      <c r="U297" s="2"/>
      <c r="V297" s="19">
        <f t="shared" si="167"/>
        <v>8.9991437230528299E-5</v>
      </c>
      <c r="W297" s="2"/>
      <c r="X297" s="2">
        <f t="shared" si="168"/>
        <v>-1626.85</v>
      </c>
      <c r="Y297" s="2"/>
      <c r="Z297" s="19">
        <f t="shared" si="169"/>
        <v>-1</v>
      </c>
    </row>
    <row r="298" spans="1:26" s="24" customFormat="1" hidden="1" outlineLevel="1" x14ac:dyDescent="0.25">
      <c r="A298" s="44"/>
      <c r="B298" s="11" t="str">
        <f>CONCATENATE("          ", "4187", " - ", "NON-TAXABLE SALES-COMPUTER REP")</f>
        <v xml:space="preserve">          4187 - NON-TAXABLE SALES-COMPUTER REP</v>
      </c>
      <c r="C298" s="11"/>
      <c r="D298" s="2">
        <f>--471.29</f>
        <v>471.29</v>
      </c>
      <c r="E298" s="2"/>
      <c r="F298" s="19">
        <f t="shared" si="162"/>
        <v>9.7465131073322722E-4</v>
      </c>
      <c r="G298" s="2"/>
      <c r="H298" s="2">
        <f>--456.99</f>
        <v>456.99</v>
      </c>
      <c r="I298" s="2"/>
      <c r="J298" s="19">
        <f t="shared" si="163"/>
        <v>2.3040492898656297E-4</v>
      </c>
      <c r="K298" s="2"/>
      <c r="L298" s="2">
        <f t="shared" si="164"/>
        <v>14.300000000000011</v>
      </c>
      <c r="M298" s="2"/>
      <c r="N298" s="19">
        <f t="shared" si="165"/>
        <v>3.1291713166590102E-2</v>
      </c>
      <c r="O298" s="11"/>
      <c r="P298" s="2">
        <f>--1034.5</f>
        <v>1034.5</v>
      </c>
      <c r="Q298" s="2"/>
      <c r="R298" s="19">
        <f t="shared" si="166"/>
        <v>2.0114986909479561E-4</v>
      </c>
      <c r="S298" s="2"/>
      <c r="T298" s="2">
        <f>--13188.92</f>
        <v>13188.92</v>
      </c>
      <c r="U298" s="2"/>
      <c r="V298" s="19">
        <f t="shared" si="167"/>
        <v>7.295631842631216E-4</v>
      </c>
      <c r="W298" s="2"/>
      <c r="X298" s="2">
        <f t="shared" si="168"/>
        <v>-12154.42</v>
      </c>
      <c r="Y298" s="2"/>
      <c r="Z298" s="19">
        <f t="shared" si="169"/>
        <v>-0.92156294829296104</v>
      </c>
    </row>
    <row r="299" spans="1:26" s="24" customFormat="1" hidden="1" outlineLevel="1" x14ac:dyDescent="0.25">
      <c r="A299" s="44"/>
      <c r="B299" s="11" t="str">
        <f>CONCATENATE("          ", "4197", " - ", "NON-TAXABLE SALES-RETURNED CHE")</f>
        <v xml:space="preserve">          4197 - NON-TAXABLE SALES-RETURNED CHE</v>
      </c>
      <c r="C299" s="11"/>
      <c r="D299" s="2">
        <f t="shared" ref="D299:D302" si="170">0</f>
        <v>0</v>
      </c>
      <c r="E299" s="2"/>
      <c r="F299" s="19">
        <f t="shared" si="162"/>
        <v>0</v>
      </c>
      <c r="G299" s="2"/>
      <c r="H299" s="2">
        <f t="shared" ref="H299:H301" si="171">0</f>
        <v>0</v>
      </c>
      <c r="I299" s="2"/>
      <c r="J299" s="19">
        <f t="shared" si="163"/>
        <v>0</v>
      </c>
      <c r="K299" s="2"/>
      <c r="L299" s="2">
        <f t="shared" si="164"/>
        <v>0</v>
      </c>
      <c r="M299" s="2"/>
      <c r="N299" s="19">
        <f t="shared" si="165"/>
        <v>0</v>
      </c>
      <c r="O299" s="11"/>
      <c r="P299" s="2">
        <f t="shared" ref="P299:P302" si="172">0</f>
        <v>0</v>
      </c>
      <c r="Q299" s="2"/>
      <c r="R299" s="19">
        <f t="shared" si="166"/>
        <v>0</v>
      </c>
      <c r="S299" s="2"/>
      <c r="T299" s="2">
        <f>--30</f>
        <v>30</v>
      </c>
      <c r="U299" s="2"/>
      <c r="V299" s="19">
        <f t="shared" si="167"/>
        <v>1.6594911128351409E-6</v>
      </c>
      <c r="W299" s="2"/>
      <c r="X299" s="2">
        <f t="shared" si="168"/>
        <v>-30</v>
      </c>
      <c r="Y299" s="2"/>
      <c r="Z299" s="19">
        <f t="shared" si="169"/>
        <v>-1</v>
      </c>
    </row>
    <row r="300" spans="1:26" s="24" customFormat="1" hidden="1" outlineLevel="1" x14ac:dyDescent="0.25">
      <c r="A300" s="44"/>
      <c r="B300" s="11" t="str">
        <f>CONCATENATE("          ", "4198", " - ", "NON-TAXABLE SALES-GRAD RENTALS")</f>
        <v xml:space="preserve">          4198 - NON-TAXABLE SALES-GRAD RENTALS</v>
      </c>
      <c r="C300" s="11"/>
      <c r="D300" s="2">
        <f t="shared" si="170"/>
        <v>0</v>
      </c>
      <c r="E300" s="2"/>
      <c r="F300" s="19">
        <f t="shared" si="162"/>
        <v>0</v>
      </c>
      <c r="G300" s="2"/>
      <c r="H300" s="2">
        <f t="shared" si="171"/>
        <v>0</v>
      </c>
      <c r="I300" s="2"/>
      <c r="J300" s="19">
        <f t="shared" si="163"/>
        <v>0</v>
      </c>
      <c r="K300" s="2"/>
      <c r="L300" s="2">
        <f t="shared" si="164"/>
        <v>0</v>
      </c>
      <c r="M300" s="2"/>
      <c r="N300" s="19">
        <f t="shared" si="165"/>
        <v>0</v>
      </c>
      <c r="O300" s="11"/>
      <c r="P300" s="2">
        <f t="shared" si="172"/>
        <v>0</v>
      </c>
      <c r="Q300" s="2"/>
      <c r="R300" s="19">
        <f t="shared" si="166"/>
        <v>0</v>
      </c>
      <c r="S300" s="2"/>
      <c r="T300" s="2">
        <f>--495</f>
        <v>495</v>
      </c>
      <c r="U300" s="2"/>
      <c r="V300" s="19">
        <f t="shared" si="167"/>
        <v>2.7381603361779827E-5</v>
      </c>
      <c r="W300" s="2"/>
      <c r="X300" s="2">
        <f t="shared" si="168"/>
        <v>-495</v>
      </c>
      <c r="Y300" s="2"/>
      <c r="Z300" s="19">
        <f t="shared" si="169"/>
        <v>-1</v>
      </c>
    </row>
    <row r="301" spans="1:26" s="24" customFormat="1" hidden="1" outlineLevel="1" x14ac:dyDescent="0.25">
      <c r="A301" s="44"/>
      <c r="B301" s="11" t="str">
        <f>CONCATENATE("          ", "4387", " - ", "SALES RETURN NON TAXABLE-COMPU")</f>
        <v xml:space="preserve">          4387 - SALES RETURN NON TAXABLE-COMPU</v>
      </c>
      <c r="C301" s="11"/>
      <c r="D301" s="2">
        <f t="shared" si="170"/>
        <v>0</v>
      </c>
      <c r="E301" s="2"/>
      <c r="F301" s="19">
        <f t="shared" si="162"/>
        <v>0</v>
      </c>
      <c r="G301" s="2"/>
      <c r="H301" s="2">
        <f t="shared" si="171"/>
        <v>0</v>
      </c>
      <c r="I301" s="2"/>
      <c r="J301" s="19">
        <f t="shared" si="163"/>
        <v>0</v>
      </c>
      <c r="K301" s="2"/>
      <c r="L301" s="2">
        <f t="shared" si="164"/>
        <v>0</v>
      </c>
      <c r="M301" s="2"/>
      <c r="N301" s="19">
        <f t="shared" si="165"/>
        <v>0</v>
      </c>
      <c r="O301" s="11"/>
      <c r="P301" s="2">
        <f t="shared" si="172"/>
        <v>0</v>
      </c>
      <c r="Q301" s="2"/>
      <c r="R301" s="19">
        <f t="shared" si="166"/>
        <v>0</v>
      </c>
      <c r="S301" s="2"/>
      <c r="T301" s="2">
        <f>-7889</f>
        <v>-7889</v>
      </c>
      <c r="U301" s="2"/>
      <c r="V301" s="19">
        <f t="shared" si="167"/>
        <v>-4.3639084630521421E-4</v>
      </c>
      <c r="W301" s="2"/>
      <c r="X301" s="2">
        <f t="shared" si="168"/>
        <v>7889</v>
      </c>
      <c r="Y301" s="2"/>
      <c r="Z301" s="19">
        <f t="shared" si="169"/>
        <v>-1</v>
      </c>
    </row>
    <row r="302" spans="1:26" s="24" customFormat="1" hidden="1" outlineLevel="1" x14ac:dyDescent="0.25">
      <c r="A302" s="44"/>
      <c r="B302" s="11" t="str">
        <f>CONCATENATE("          ", "5087", " - ", "PURCHASES @ COST-COMPUTER REPA")</f>
        <v xml:space="preserve">          5087 - PURCHASES @ COST-COMPUTER REPA</v>
      </c>
      <c r="C302" s="11"/>
      <c r="D302" s="2">
        <f t="shared" si="170"/>
        <v>0</v>
      </c>
      <c r="E302" s="2"/>
      <c r="F302" s="19">
        <f t="shared" si="162"/>
        <v>0</v>
      </c>
      <c r="G302" s="2"/>
      <c r="H302" s="2">
        <f>-56.72</f>
        <v>-56.72</v>
      </c>
      <c r="I302" s="2"/>
      <c r="J302" s="19">
        <f t="shared" si="163"/>
        <v>-2.8597053703840021E-5</v>
      </c>
      <c r="K302" s="2"/>
      <c r="L302" s="2">
        <f t="shared" si="164"/>
        <v>56.72</v>
      </c>
      <c r="M302" s="2"/>
      <c r="N302" s="19">
        <f t="shared" si="165"/>
        <v>-1</v>
      </c>
      <c r="O302" s="11"/>
      <c r="P302" s="2">
        <f t="shared" si="172"/>
        <v>0</v>
      </c>
      <c r="Q302" s="2"/>
      <c r="R302" s="19">
        <f t="shared" si="166"/>
        <v>0</v>
      </c>
      <c r="S302" s="2"/>
      <c r="T302" s="2">
        <f>-56.72</f>
        <v>-56.72</v>
      </c>
      <c r="U302" s="2"/>
      <c r="V302" s="19">
        <f t="shared" si="167"/>
        <v>-3.1375445306669732E-6</v>
      </c>
      <c r="W302" s="2"/>
      <c r="X302" s="2">
        <f t="shared" si="168"/>
        <v>56.72</v>
      </c>
      <c r="Y302" s="2"/>
      <c r="Z302" s="19">
        <f t="shared" si="169"/>
        <v>-1</v>
      </c>
    </row>
    <row r="303" spans="1:26" s="24" customFormat="1" hidden="1" outlineLevel="1" x14ac:dyDescent="0.25">
      <c r="A303" s="44"/>
      <c r="B303" s="11" t="str">
        <f>CONCATENATE("          ", "9150", " - ", "MISC. INCOME")</f>
        <v xml:space="preserve">          9150 - MISC. INCOME</v>
      </c>
      <c r="C303" s="11"/>
      <c r="D303" s="2">
        <f>--19590.3</f>
        <v>19590.3</v>
      </c>
      <c r="E303" s="2"/>
      <c r="F303" s="19">
        <f t="shared" si="162"/>
        <v>4.0513721005447048E-2</v>
      </c>
      <c r="G303" s="2"/>
      <c r="H303" s="2">
        <f>--37912.6</f>
        <v>37912.6</v>
      </c>
      <c r="I303" s="2"/>
      <c r="J303" s="19">
        <f t="shared" si="163"/>
        <v>1.9114750674404182E-2</v>
      </c>
      <c r="K303" s="2"/>
      <c r="L303" s="2">
        <f t="shared" si="164"/>
        <v>-18322.3</v>
      </c>
      <c r="M303" s="2"/>
      <c r="N303" s="19">
        <f t="shared" si="165"/>
        <v>-0.48327732732653522</v>
      </c>
      <c r="O303" s="11"/>
      <c r="P303" s="2">
        <f>--220908.96</f>
        <v>220908.96</v>
      </c>
      <c r="Q303" s="2"/>
      <c r="R303" s="19">
        <f t="shared" si="166"/>
        <v>4.2953898874690609E-2</v>
      </c>
      <c r="S303" s="2"/>
      <c r="T303" s="2">
        <f>--444275.73</f>
        <v>444275.73</v>
      </c>
      <c r="U303" s="2"/>
      <c r="V303" s="19">
        <f t="shared" si="167"/>
        <v>2.4575720852778152E-2</v>
      </c>
      <c r="W303" s="2"/>
      <c r="X303" s="2">
        <f t="shared" si="168"/>
        <v>-223366.77</v>
      </c>
      <c r="Y303" s="2"/>
      <c r="Z303" s="19">
        <f t="shared" si="169"/>
        <v>-0.5027660862770964</v>
      </c>
    </row>
    <row r="304" spans="1:26" s="24" customFormat="1" hidden="1" outlineLevel="1" x14ac:dyDescent="0.25">
      <c r="A304" s="44"/>
      <c r="B304" s="11" t="str">
        <f>CONCATENATE("          ", "9151", " - ", "MISC. INCOME")</f>
        <v xml:space="preserve">          9151 - MISC. INCOME</v>
      </c>
      <c r="C304" s="11"/>
      <c r="D304" s="2">
        <f>0</f>
        <v>0</v>
      </c>
      <c r="E304" s="2"/>
      <c r="F304" s="19">
        <f t="shared" si="162"/>
        <v>0</v>
      </c>
      <c r="G304" s="2"/>
      <c r="H304" s="2">
        <f>--268.24</f>
        <v>268.24</v>
      </c>
      <c r="I304" s="2"/>
      <c r="J304" s="19">
        <f t="shared" si="163"/>
        <v>1.35241073440022E-4</v>
      </c>
      <c r="K304" s="2"/>
      <c r="L304" s="2">
        <f t="shared" si="164"/>
        <v>-268.24</v>
      </c>
      <c r="M304" s="2"/>
      <c r="N304" s="19">
        <f t="shared" si="165"/>
        <v>-1</v>
      </c>
      <c r="O304" s="11"/>
      <c r="P304" s="2">
        <f>--147285.39</f>
        <v>147285.39000000001</v>
      </c>
      <c r="Q304" s="2"/>
      <c r="R304" s="19">
        <f t="shared" si="166"/>
        <v>2.8638411713944822E-2</v>
      </c>
      <c r="S304" s="2"/>
      <c r="T304" s="2">
        <f>--87492.51</f>
        <v>87492.51</v>
      </c>
      <c r="U304" s="2"/>
      <c r="V304" s="19">
        <f t="shared" si="167"/>
        <v>4.839768092821323E-3</v>
      </c>
      <c r="W304" s="2"/>
      <c r="X304" s="2">
        <f t="shared" si="168"/>
        <v>59792.880000000019</v>
      </c>
      <c r="Y304" s="2"/>
      <c r="Z304" s="19">
        <f t="shared" si="169"/>
        <v>0.68340569952787988</v>
      </c>
    </row>
    <row r="305" spans="1:26" s="24" customFormat="1" hidden="1" outlineLevel="1" x14ac:dyDescent="0.25">
      <c r="A305" s="44"/>
      <c r="B305" s="11" t="str">
        <f>CONCATENATE("          ", "9152", " - ", "MISC. INCOME")</f>
        <v xml:space="preserve">          9152 - MISC. INCOME</v>
      </c>
      <c r="C305" s="11"/>
      <c r="D305" s="2">
        <f>--479.7</f>
        <v>479.7</v>
      </c>
      <c r="E305" s="2"/>
      <c r="F305" s="19">
        <f t="shared" si="162"/>
        <v>9.9204361170134969E-4</v>
      </c>
      <c r="G305" s="2"/>
      <c r="H305" s="2">
        <f>--3382.44</f>
        <v>3382.44</v>
      </c>
      <c r="I305" s="2"/>
      <c r="J305" s="19">
        <f t="shared" si="163"/>
        <v>1.7053564585686996E-3</v>
      </c>
      <c r="K305" s="2"/>
      <c r="L305" s="2">
        <f t="shared" si="164"/>
        <v>-2902.7400000000002</v>
      </c>
      <c r="M305" s="2"/>
      <c r="N305" s="19">
        <f t="shared" si="165"/>
        <v>-0.85817930251534402</v>
      </c>
      <c r="O305" s="11"/>
      <c r="P305" s="2">
        <f>--3085.93</f>
        <v>3085.93</v>
      </c>
      <c r="Q305" s="2"/>
      <c r="R305" s="19">
        <f t="shared" si="166"/>
        <v>6.0003326779671583E-4</v>
      </c>
      <c r="S305" s="2"/>
      <c r="T305" s="2">
        <f>--4230.76</f>
        <v>4230.76</v>
      </c>
      <c r="U305" s="2"/>
      <c r="V305" s="19">
        <f t="shared" si="167"/>
        <v>2.3403028735128004E-4</v>
      </c>
      <c r="W305" s="2"/>
      <c r="X305" s="2">
        <f t="shared" si="168"/>
        <v>-1144.8300000000004</v>
      </c>
      <c r="Y305" s="2"/>
      <c r="Z305" s="19">
        <f t="shared" si="169"/>
        <v>-0.27059677221113942</v>
      </c>
    </row>
    <row r="306" spans="1:26" s="24" customFormat="1" hidden="1" outlineLevel="1" x14ac:dyDescent="0.25">
      <c r="A306" s="44"/>
      <c r="B306" s="11" t="str">
        <f>CONCATENATE("          ", "9153", " - ", "MISC. INCOME")</f>
        <v xml:space="preserve">          9153 - MISC. INCOME</v>
      </c>
      <c r="C306" s="11"/>
      <c r="D306" s="2">
        <f>0</f>
        <v>0</v>
      </c>
      <c r="E306" s="2"/>
      <c r="F306" s="19">
        <f t="shared" si="162"/>
        <v>0</v>
      </c>
      <c r="G306" s="2"/>
      <c r="H306" s="2">
        <f t="shared" ref="H306:H308" si="173">0</f>
        <v>0</v>
      </c>
      <c r="I306" s="2"/>
      <c r="J306" s="19">
        <f t="shared" si="163"/>
        <v>0</v>
      </c>
      <c r="K306" s="2"/>
      <c r="L306" s="2">
        <f t="shared" si="164"/>
        <v>0</v>
      </c>
      <c r="M306" s="2"/>
      <c r="N306" s="19">
        <f t="shared" si="165"/>
        <v>0</v>
      </c>
      <c r="O306" s="11"/>
      <c r="P306" s="2">
        <f>0</f>
        <v>0</v>
      </c>
      <c r="Q306" s="2"/>
      <c r="R306" s="19">
        <f t="shared" si="166"/>
        <v>0</v>
      </c>
      <c r="S306" s="2"/>
      <c r="T306" s="2">
        <f>--450</f>
        <v>450</v>
      </c>
      <c r="U306" s="2"/>
      <c r="V306" s="19">
        <f t="shared" si="167"/>
        <v>2.4892366692527113E-5</v>
      </c>
      <c r="W306" s="2"/>
      <c r="X306" s="2">
        <f t="shared" si="168"/>
        <v>-450</v>
      </c>
      <c r="Y306" s="2"/>
      <c r="Z306" s="19">
        <f t="shared" si="169"/>
        <v>-1</v>
      </c>
    </row>
    <row r="307" spans="1:26" s="24" customFormat="1" hidden="1" outlineLevel="1" x14ac:dyDescent="0.25">
      <c r="A307" s="44"/>
      <c r="B307" s="11" t="str">
        <f>CONCATENATE("          ", "9160", " - ", "MISC. INCOME")</f>
        <v xml:space="preserve">          9160 - MISC. INCOME</v>
      </c>
      <c r="C307" s="11"/>
      <c r="D307" s="2">
        <f>--10000</f>
        <v>10000</v>
      </c>
      <c r="E307" s="2"/>
      <c r="F307" s="19">
        <f t="shared" si="162"/>
        <v>2.068050055662601E-2</v>
      </c>
      <c r="G307" s="2"/>
      <c r="H307" s="2">
        <f t="shared" si="173"/>
        <v>0</v>
      </c>
      <c r="I307" s="2"/>
      <c r="J307" s="19">
        <f t="shared" si="163"/>
        <v>0</v>
      </c>
      <c r="K307" s="2"/>
      <c r="L307" s="2">
        <f t="shared" si="164"/>
        <v>10000</v>
      </c>
      <c r="M307" s="2"/>
      <c r="N307" s="19">
        <f t="shared" si="165"/>
        <v>0</v>
      </c>
      <c r="O307" s="11"/>
      <c r="P307" s="2">
        <f>--12328.25</f>
        <v>12328.25</v>
      </c>
      <c r="Q307" s="2"/>
      <c r="R307" s="19">
        <f t="shared" si="166"/>
        <v>2.397125059127998E-3</v>
      </c>
      <c r="S307" s="2"/>
      <c r="T307" s="2">
        <f>--126525.2</f>
        <v>126525.2</v>
      </c>
      <c r="U307" s="2"/>
      <c r="V307" s="19">
        <f t="shared" si="167"/>
        <v>6.9989148316562926E-3</v>
      </c>
      <c r="W307" s="2"/>
      <c r="X307" s="2">
        <f t="shared" si="168"/>
        <v>-114196.95</v>
      </c>
      <c r="Y307" s="2"/>
      <c r="Z307" s="19">
        <f t="shared" si="169"/>
        <v>-0.90256288865775358</v>
      </c>
    </row>
    <row r="308" spans="1:26" s="24" customFormat="1" hidden="1" outlineLevel="1" x14ac:dyDescent="0.25">
      <c r="A308" s="44"/>
      <c r="B308" s="11" t="str">
        <f>CONCATENATE("          ", "9163", " - ", "MISC. INCOME")</f>
        <v xml:space="preserve">          9163 - MISC. INCOME</v>
      </c>
      <c r="C308" s="11"/>
      <c r="D308" s="2">
        <f>0</f>
        <v>0</v>
      </c>
      <c r="E308" s="2"/>
      <c r="F308" s="19">
        <f t="shared" si="162"/>
        <v>0</v>
      </c>
      <c r="G308" s="2"/>
      <c r="H308" s="2">
        <f t="shared" si="173"/>
        <v>0</v>
      </c>
      <c r="I308" s="2"/>
      <c r="J308" s="19">
        <f t="shared" si="163"/>
        <v>0</v>
      </c>
      <c r="K308" s="2"/>
      <c r="L308" s="2">
        <f t="shared" si="164"/>
        <v>0</v>
      </c>
      <c r="M308" s="2"/>
      <c r="N308" s="19">
        <f t="shared" si="165"/>
        <v>0</v>
      </c>
      <c r="O308" s="11"/>
      <c r="P308" s="2">
        <f>--175405.84</f>
        <v>175405.84</v>
      </c>
      <c r="Q308" s="2"/>
      <c r="R308" s="19">
        <f t="shared" si="166"/>
        <v>3.4106197926015137E-2</v>
      </c>
      <c r="S308" s="2"/>
      <c r="T308" s="2">
        <f>--61106.55</f>
        <v>61106.55</v>
      </c>
      <c r="U308" s="2"/>
      <c r="V308" s="19">
        <f t="shared" si="167"/>
        <v>3.3801925553672064E-3</v>
      </c>
      <c r="W308" s="2"/>
      <c r="X308" s="2">
        <f t="shared" si="168"/>
        <v>114299.29</v>
      </c>
      <c r="Y308" s="2"/>
      <c r="Z308" s="19">
        <f t="shared" si="169"/>
        <v>1.8704916248749108</v>
      </c>
    </row>
    <row r="309" spans="1:26" s="24" customFormat="1" hidden="1" outlineLevel="1" x14ac:dyDescent="0.25">
      <c r="A309" s="44"/>
      <c r="B309" s="11" t="str">
        <f>CONCATENATE("          ", "9165", " - ", "OTHER INCOME")</f>
        <v xml:space="preserve">          9165 - OTHER INCOME</v>
      </c>
      <c r="C309" s="11"/>
      <c r="D309" s="2">
        <f>--316.52</f>
        <v>316.52</v>
      </c>
      <c r="E309" s="2"/>
      <c r="F309" s="19">
        <f t="shared" si="162"/>
        <v>6.5457920361832638E-4</v>
      </c>
      <c r="G309" s="2"/>
      <c r="H309" s="2">
        <f>--4041.94</f>
        <v>4041.94</v>
      </c>
      <c r="I309" s="2"/>
      <c r="J309" s="19">
        <f t="shared" si="163"/>
        <v>2.0378627511935671E-3</v>
      </c>
      <c r="K309" s="2"/>
      <c r="L309" s="2">
        <f t="shared" si="164"/>
        <v>-3725.42</v>
      </c>
      <c r="M309" s="2"/>
      <c r="N309" s="19">
        <f t="shared" si="165"/>
        <v>-0.92169106914006638</v>
      </c>
      <c r="O309" s="11"/>
      <c r="P309" s="2">
        <f>--1315.17</f>
        <v>1315.17</v>
      </c>
      <c r="Q309" s="2"/>
      <c r="R309" s="19">
        <f t="shared" si="166"/>
        <v>2.5572380216278625E-4</v>
      </c>
      <c r="S309" s="2"/>
      <c r="T309" s="2">
        <f>--227416.06</f>
        <v>227416.06</v>
      </c>
      <c r="U309" s="2"/>
      <c r="V309" s="19">
        <f t="shared" si="167"/>
        <v>1.2579831016199439E-2</v>
      </c>
      <c r="W309" s="2"/>
      <c r="X309" s="2">
        <f t="shared" si="168"/>
        <v>-226100.88999999998</v>
      </c>
      <c r="Y309" s="2"/>
      <c r="Z309" s="19">
        <f t="shared" si="169"/>
        <v>-0.99421689919348699</v>
      </c>
    </row>
    <row r="310" spans="1:26" x14ac:dyDescent="0.25">
      <c r="A310" s="9"/>
      <c r="B310" s="10"/>
      <c r="C310" s="10"/>
      <c r="D310" s="3"/>
      <c r="E310" s="3"/>
      <c r="F310" s="8"/>
      <c r="G310" s="3"/>
      <c r="H310" s="3"/>
      <c r="I310" s="3"/>
      <c r="J310" s="8"/>
      <c r="K310" s="3"/>
      <c r="L310" s="3"/>
      <c r="M310" s="3"/>
      <c r="N310" s="8"/>
      <c r="O310" s="10"/>
      <c r="P310" s="3"/>
      <c r="Q310" s="3"/>
      <c r="R310" s="8"/>
      <c r="S310" s="3"/>
      <c r="T310" s="3"/>
      <c r="U310" s="3"/>
      <c r="V310" s="8"/>
      <c r="W310" s="3"/>
      <c r="X310" s="3"/>
      <c r="Y310" s="3"/>
      <c r="Z310" s="8"/>
    </row>
    <row r="311" spans="1:26" s="23" customFormat="1" x14ac:dyDescent="0.25">
      <c r="A311" s="10"/>
      <c r="B311" s="28" t="s">
        <v>3</v>
      </c>
      <c r="C311" s="28"/>
      <c r="D311" s="20">
        <f>+D196-D198+D296</f>
        <v>-399384.99</v>
      </c>
      <c r="E311" s="14"/>
      <c r="F311" s="21">
        <f>IF(D$12=0,0,D311/D$12)</f>
        <v>-0.82594815080030726</v>
      </c>
      <c r="G311" s="14"/>
      <c r="H311" s="20">
        <f>+H196-H198+H296</f>
        <v>-38658.979999999276</v>
      </c>
      <c r="I311" s="14"/>
      <c r="J311" s="21">
        <f>IF(H$12=0,0,H311/H$12)</f>
        <v>-1.9491060070445286E-2</v>
      </c>
      <c r="K311" s="15"/>
      <c r="L311" s="20">
        <f>+D311-H311</f>
        <v>-360726.01000000071</v>
      </c>
      <c r="M311" s="15"/>
      <c r="N311" s="21">
        <f>IF(H311=0,0,L311/H311)</f>
        <v>9.3309758819298256</v>
      </c>
      <c r="O311" s="29"/>
      <c r="P311" s="20">
        <f>+P196-P198+P296</f>
        <v>-1748813.3799999966</v>
      </c>
      <c r="Q311" s="14"/>
      <c r="R311" s="21">
        <f>IF(P$12=0,0,P311/P$12)</f>
        <v>-0.34004212900746866</v>
      </c>
      <c r="S311" s="14"/>
      <c r="T311" s="20">
        <f>+T196-T198+T296</f>
        <v>2167793.3600000092</v>
      </c>
      <c r="U311" s="14"/>
      <c r="V311" s="21">
        <f>IF(T$12=0,0,T311/T$12)</f>
        <v>0.11991446051276815</v>
      </c>
      <c r="W311" s="15"/>
      <c r="X311" s="20">
        <f>+P311-T311</f>
        <v>-3916606.7400000058</v>
      </c>
      <c r="Y311" s="15"/>
      <c r="Z311" s="21">
        <f>IF(T311=0,0,X311/T311)</f>
        <v>-1.8067251299265854</v>
      </c>
    </row>
    <row r="312" spans="1:26" x14ac:dyDescent="0.25">
      <c r="A312" s="9"/>
      <c r="B312" s="10"/>
      <c r="C312" s="9"/>
      <c r="D312" s="3"/>
      <c r="E312" s="3"/>
      <c r="F312" s="8"/>
      <c r="G312" s="3"/>
      <c r="H312" s="3"/>
      <c r="I312" s="3"/>
      <c r="J312" s="8"/>
      <c r="K312" s="3"/>
      <c r="L312" s="3"/>
      <c r="M312" s="3"/>
      <c r="N312" s="8"/>
      <c r="P312" s="3"/>
      <c r="Q312" s="3"/>
      <c r="R312" s="8"/>
      <c r="S312" s="3"/>
      <c r="T312" s="3"/>
      <c r="U312" s="3"/>
      <c r="V312" s="8"/>
      <c r="W312" s="3"/>
      <c r="X312" s="3"/>
      <c r="Y312" s="3"/>
      <c r="Z312" s="8"/>
    </row>
    <row r="313" spans="1:26" s="23" customFormat="1" x14ac:dyDescent="0.25">
      <c r="A313" s="51"/>
      <c r="B313" s="10" t="s">
        <v>13</v>
      </c>
      <c r="C313" s="10"/>
      <c r="D313" s="4">
        <v>211174.95</v>
      </c>
      <c r="E313" s="4"/>
      <c r="F313" s="12">
        <f>IF(D$12=0,0,D313/D$12)</f>
        <v>0.43672036710204698</v>
      </c>
      <c r="G313" s="4"/>
      <c r="H313" s="4">
        <v>248255.84000000003</v>
      </c>
      <c r="I313" s="4"/>
      <c r="J313" s="12">
        <f>IF(H$12=0,0,H313/H$12)</f>
        <v>0.12516547229851757</v>
      </c>
      <c r="K313" s="4"/>
      <c r="L313" s="4">
        <f>+D313-H313</f>
        <v>-37080.890000000014</v>
      </c>
      <c r="M313" s="4"/>
      <c r="N313" s="12">
        <f>IF(H313=0,0,L313/H313)</f>
        <v>-0.14936563023049129</v>
      </c>
      <c r="O313" s="10"/>
      <c r="P313" s="4">
        <v>951551.21</v>
      </c>
      <c r="Q313" s="4"/>
      <c r="R313" s="12">
        <f>IF(P$12=0,0,P313/P$12)</f>
        <v>0.18502117093136236</v>
      </c>
      <c r="S313" s="4"/>
      <c r="T313" s="4">
        <v>1952544.9800000002</v>
      </c>
      <c r="U313" s="4"/>
      <c r="V313" s="12">
        <f>IF(T$12=0,0,T313/T$12)</f>
        <v>0.10800770139069561</v>
      </c>
      <c r="W313" s="4"/>
      <c r="X313" s="4">
        <f>+P313-T313</f>
        <v>-1000993.7700000003</v>
      </c>
      <c r="Y313" s="4"/>
      <c r="Z313" s="12">
        <f>IF(T313=0,0,X313/T313)</f>
        <v>-0.51266105531663608</v>
      </c>
    </row>
    <row r="314" spans="1:26" x14ac:dyDescent="0.25">
      <c r="A314" s="9"/>
      <c r="B314" s="10"/>
      <c r="C314" s="10"/>
      <c r="D314" s="3"/>
      <c r="E314" s="3"/>
      <c r="F314" s="8"/>
      <c r="G314" s="3"/>
      <c r="H314" s="3"/>
      <c r="I314" s="3"/>
      <c r="J314" s="8"/>
      <c r="K314" s="3"/>
      <c r="L314" s="3"/>
      <c r="M314" s="3"/>
      <c r="N314" s="8"/>
      <c r="O314" s="10"/>
      <c r="P314" s="3"/>
      <c r="Q314" s="3"/>
      <c r="R314" s="8"/>
      <c r="S314" s="3"/>
      <c r="T314" s="3"/>
      <c r="U314" s="3"/>
      <c r="V314" s="8"/>
      <c r="W314" s="3"/>
      <c r="X314" s="3"/>
      <c r="Y314" s="3"/>
      <c r="Z314" s="8"/>
    </row>
    <row r="315" spans="1:26" s="23" customFormat="1" ht="15.75" thickBot="1" x14ac:dyDescent="0.3">
      <c r="A315" s="10"/>
      <c r="B315" s="28" t="s">
        <v>4</v>
      </c>
      <c r="C315" s="28"/>
      <c r="D315" s="33">
        <f>+D311-D313</f>
        <v>-610559.93999999994</v>
      </c>
      <c r="E315" s="14"/>
      <c r="F315" s="34">
        <f>IF(D$12=0,0,D315/D$12)</f>
        <v>-1.2626685179023542</v>
      </c>
      <c r="G315" s="14"/>
      <c r="H315" s="33">
        <f>+H311-H313</f>
        <v>-286914.81999999931</v>
      </c>
      <c r="I315" s="14"/>
      <c r="J315" s="34">
        <f>IF(H$12=0,0,H315/H$12)</f>
        <v>-0.14465653236896284</v>
      </c>
      <c r="K315" s="15"/>
      <c r="L315" s="33">
        <f>D315-H315</f>
        <v>-323645.12000000064</v>
      </c>
      <c r="M315" s="15"/>
      <c r="N315" s="34">
        <f>IF(H315=0,0,L315/H315)</f>
        <v>1.1280181344414395</v>
      </c>
      <c r="O315" s="29"/>
      <c r="P315" s="33">
        <f>+P311-P313</f>
        <v>-2700364.5899999966</v>
      </c>
      <c r="Q315" s="14"/>
      <c r="R315" s="34">
        <f>IF(P$12=0,0,P315/P$12)</f>
        <v>-0.52506329993883105</v>
      </c>
      <c r="S315" s="14"/>
      <c r="T315" s="33">
        <f>+T311-T313</f>
        <v>215248.38000000897</v>
      </c>
      <c r="U315" s="14"/>
      <c r="V315" s="34">
        <f>IF(T$12=0,0,T315/T$12)</f>
        <v>1.1906759122072539E-2</v>
      </c>
      <c r="W315" s="15"/>
      <c r="X315" s="33">
        <f>P315-T315</f>
        <v>-2915612.9700000053</v>
      </c>
      <c r="Y315" s="15"/>
      <c r="Z315" s="34">
        <f>IF(T315=0,0,X315/T315)</f>
        <v>-13.545342222784134</v>
      </c>
    </row>
    <row r="316" spans="1:26" ht="15.75" thickTop="1" x14ac:dyDescent="0.25">
      <c r="A316" s="9"/>
      <c r="B316" s="9"/>
      <c r="C316" s="9"/>
      <c r="D316" s="3"/>
      <c r="E316" s="3"/>
      <c r="F316" s="8"/>
      <c r="G316" s="3"/>
      <c r="H316" s="3"/>
      <c r="I316" s="3"/>
      <c r="J316" s="8"/>
      <c r="K316" s="3"/>
      <c r="L316" s="3"/>
      <c r="M316" s="3"/>
      <c r="N316" s="8"/>
      <c r="P316" s="3"/>
      <c r="Q316" s="3"/>
      <c r="R316" s="8"/>
      <c r="S316" s="3"/>
      <c r="T316" s="3"/>
      <c r="U316" s="3"/>
      <c r="V316" s="8"/>
      <c r="W316" s="3"/>
      <c r="X316" s="3"/>
      <c r="Y316" s="3"/>
      <c r="Z316" s="8"/>
    </row>
    <row r="317" spans="1:26" s="23" customFormat="1" x14ac:dyDescent="0.25">
      <c r="A317" s="51"/>
      <c r="B317" s="10" t="s">
        <v>2</v>
      </c>
      <c r="C317" s="10"/>
      <c r="D317" s="4">
        <f>--344647.12</f>
        <v>344647.12</v>
      </c>
      <c r="E317" s="4"/>
      <c r="F317" s="12">
        <f t="shared" ref="F317:F318" si="174">IF(D$12=0,0,D317/D$12)</f>
        <v>0.7127474956999551</v>
      </c>
      <c r="G317" s="4"/>
      <c r="H317" s="4">
        <f>--207006.23</f>
        <v>207006.23</v>
      </c>
      <c r="I317" s="4"/>
      <c r="J317" s="12">
        <f t="shared" ref="J317:J318" si="175">IF(H$12=0,0,H317/H$12)</f>
        <v>0.10436827003419358</v>
      </c>
      <c r="K317" s="4"/>
      <c r="L317" s="4">
        <f t="shared" ref="L317:L318" si="176">+D317-H317</f>
        <v>137640.88999999998</v>
      </c>
      <c r="M317" s="4"/>
      <c r="N317" s="12">
        <f t="shared" ref="N317:N318" si="177">IF(H317=0,0,L317/H317)</f>
        <v>0.66491182415137928</v>
      </c>
      <c r="O317" s="10"/>
      <c r="P317" s="4">
        <f>--1994053.3</f>
        <v>1994053.3</v>
      </c>
      <c r="Q317" s="4"/>
      <c r="R317" s="12">
        <f t="shared" ref="R317:R318" si="178">IF(P$12=0,0,P317/P$12)</f>
        <v>0.38772697947128582</v>
      </c>
      <c r="S317" s="4"/>
      <c r="T317" s="4">
        <f>--524210.9</f>
        <v>524210.9</v>
      </c>
      <c r="U317" s="4"/>
      <c r="V317" s="12">
        <f t="shared" ref="V317:V318" si="179">IF(T$12=0,0,T317/T$12)</f>
        <v>2.8997444326710361E-2</v>
      </c>
      <c r="W317" s="4"/>
      <c r="X317" s="4">
        <f t="shared" ref="X317:X318" si="180">+P317-T317</f>
        <v>1469842.4</v>
      </c>
      <c r="Y317" s="4"/>
      <c r="Z317" s="12">
        <f t="shared" ref="Z317:Z318" si="181">IF(T317=0,0,X317/T317)</f>
        <v>2.8039142261254009</v>
      </c>
    </row>
    <row r="318" spans="1:26" s="23" customFormat="1" x14ac:dyDescent="0.25">
      <c r="A318" s="51"/>
      <c r="B318" s="10" t="s">
        <v>1</v>
      </c>
      <c r="C318" s="10"/>
      <c r="D318" s="4">
        <f>--50933.37</f>
        <v>50933.37</v>
      </c>
      <c r="E318" s="4"/>
      <c r="F318" s="12">
        <f t="shared" si="174"/>
        <v>0.10533275866358385</v>
      </c>
      <c r="G318" s="4"/>
      <c r="H318" s="4">
        <f>--80889.64</f>
        <v>80889.64</v>
      </c>
      <c r="I318" s="4"/>
      <c r="J318" s="12">
        <f t="shared" si="175"/>
        <v>4.0782887502896437E-2</v>
      </c>
      <c r="K318" s="4"/>
      <c r="L318" s="4">
        <f t="shared" si="176"/>
        <v>-29956.269999999997</v>
      </c>
      <c r="M318" s="4"/>
      <c r="N318" s="12">
        <f t="shared" si="177"/>
        <v>-0.37033506392165916</v>
      </c>
      <c r="O318" s="10"/>
      <c r="P318" s="4">
        <f>--44510.83</f>
        <v>44510.83</v>
      </c>
      <c r="Q318" s="4"/>
      <c r="R318" s="12">
        <f t="shared" si="178"/>
        <v>8.6547584608996624E-3</v>
      </c>
      <c r="S318" s="4"/>
      <c r="T318" s="4">
        <f>--159064.94</f>
        <v>159064.94</v>
      </c>
      <c r="U318" s="4"/>
      <c r="V318" s="12">
        <f t="shared" si="179"/>
        <v>8.7988951431218314E-3</v>
      </c>
      <c r="W318" s="4"/>
      <c r="X318" s="4">
        <f t="shared" si="180"/>
        <v>-114554.11</v>
      </c>
      <c r="Y318" s="4"/>
      <c r="Z318" s="12">
        <f t="shared" si="181"/>
        <v>-0.72017196247017101</v>
      </c>
    </row>
    <row r="319" spans="1:26" x14ac:dyDescent="0.25">
      <c r="A319" s="9"/>
      <c r="B319" s="9"/>
      <c r="C319" s="9"/>
      <c r="D319" s="3"/>
      <c r="E319" s="3"/>
      <c r="F319" s="8"/>
      <c r="G319" s="3"/>
      <c r="H319" s="3"/>
      <c r="I319" s="3"/>
      <c r="J319" s="8"/>
      <c r="K319" s="3"/>
      <c r="L319" s="3"/>
      <c r="M319" s="3"/>
      <c r="N319" s="8"/>
      <c r="P319" s="3"/>
      <c r="Q319" s="3"/>
      <c r="R319" s="8"/>
      <c r="S319" s="3"/>
      <c r="T319" s="3"/>
      <c r="U319" s="3"/>
      <c r="V319" s="8"/>
      <c r="W319" s="3"/>
      <c r="X319" s="3"/>
      <c r="Y319" s="3"/>
      <c r="Z319" s="8"/>
    </row>
    <row r="320" spans="1:26" s="23" customFormat="1" ht="15.75" thickBot="1" x14ac:dyDescent="0.3">
      <c r="A320" s="10"/>
      <c r="B320" s="28" t="s">
        <v>5</v>
      </c>
      <c r="C320" s="28"/>
      <c r="D320" s="30">
        <f>SUM(D315:D319)</f>
        <v>-214979.44999999995</v>
      </c>
      <c r="E320" s="14"/>
      <c r="F320" s="32">
        <f>IF(D$12=0,0,D320/D$12)</f>
        <v>-0.4445882635388152</v>
      </c>
      <c r="G320" s="14"/>
      <c r="H320" s="30">
        <f>SUM(H315:H319)</f>
        <v>981.0500000007014</v>
      </c>
      <c r="I320" s="14"/>
      <c r="J320" s="32">
        <f>IF(H$12=0,0,H320/H$12)</f>
        <v>4.9462516812715635E-4</v>
      </c>
      <c r="K320" s="15"/>
      <c r="L320" s="30">
        <f>+D320-H320</f>
        <v>-215960.50000000064</v>
      </c>
      <c r="M320" s="15"/>
      <c r="N320" s="32">
        <f>IF(H320=0,0,L320/H320)</f>
        <v>-220.13200142688572</v>
      </c>
      <c r="O320" s="29"/>
      <c r="P320" s="30">
        <f>SUM(P315:P319)</f>
        <v>-661800.45999999659</v>
      </c>
      <c r="Q320" s="14"/>
      <c r="R320" s="32">
        <f>IF(P$12=0,0,P320/P$12)</f>
        <v>-0.12868156200664554</v>
      </c>
      <c r="S320" s="14"/>
      <c r="T320" s="30">
        <f>SUM(T315:T319)</f>
        <v>898524.22000000905</v>
      </c>
      <c r="U320" s="14"/>
      <c r="V320" s="32">
        <f>IF(T$12=0,0,T320/T$12)</f>
        <v>4.9703098591904735E-2</v>
      </c>
      <c r="W320" s="15"/>
      <c r="X320" s="30">
        <f>+P320-T320</f>
        <v>-1560324.6800000058</v>
      </c>
      <c r="Y320" s="15"/>
      <c r="Z320" s="32">
        <f>IF(T320=0,0,X320/T320)</f>
        <v>-1.736541592612818</v>
      </c>
    </row>
    <row r="321" spans="1:24" ht="15.75" thickTop="1" x14ac:dyDescent="0.25">
      <c r="A321" s="9"/>
      <c r="C321" s="9"/>
      <c r="D321" s="17"/>
      <c r="E321" s="17"/>
      <c r="G321" s="17"/>
      <c r="H321" s="17"/>
      <c r="I321" s="17"/>
      <c r="J321" s="43"/>
      <c r="K321" s="17"/>
      <c r="L321" s="17"/>
      <c r="M321" s="17"/>
      <c r="P321" s="17"/>
      <c r="Q321" s="17"/>
      <c r="R321" s="43"/>
      <c r="S321" s="17"/>
      <c r="T321" s="17"/>
      <c r="U321" s="17"/>
      <c r="V321" s="43"/>
      <c r="W321" s="17"/>
      <c r="X321" s="17"/>
    </row>
    <row r="322" spans="1:24" x14ac:dyDescent="0.25">
      <c r="A322" s="9"/>
      <c r="B322" s="58">
        <v>44209.521241319446</v>
      </c>
      <c r="D322" s="17"/>
      <c r="E322" s="17"/>
      <c r="G322" s="17"/>
      <c r="H322" s="17"/>
      <c r="I322" s="17"/>
      <c r="J322" s="43"/>
      <c r="K322" s="17"/>
      <c r="L322" s="17"/>
      <c r="M322" s="17"/>
      <c r="P322" s="17"/>
      <c r="Q322" s="17"/>
      <c r="R322" s="43"/>
      <c r="S322" s="17"/>
      <c r="T322" s="17"/>
      <c r="U322" s="17"/>
      <c r="V322" s="43"/>
      <c r="W322" s="17"/>
      <c r="X322" s="17"/>
    </row>
    <row r="323" spans="1:24" x14ac:dyDescent="0.25">
      <c r="A323" s="9"/>
      <c r="B323" s="61" t="s">
        <v>313</v>
      </c>
      <c r="D323" s="17"/>
      <c r="E323" s="17"/>
      <c r="G323" s="17"/>
      <c r="H323" s="17"/>
      <c r="I323" s="17"/>
      <c r="J323" s="43"/>
      <c r="K323" s="17"/>
      <c r="L323" s="17"/>
      <c r="M323" s="17"/>
      <c r="P323" s="17"/>
      <c r="Q323" s="17"/>
      <c r="R323" s="43"/>
      <c r="S323" s="17"/>
      <c r="T323" s="17"/>
      <c r="U323" s="17"/>
      <c r="V323" s="43"/>
      <c r="W323" s="17"/>
      <c r="X323" s="17"/>
    </row>
    <row r="324" spans="1:24" x14ac:dyDescent="0.25">
      <c r="A324" s="9"/>
      <c r="B324" s="57"/>
      <c r="D324" s="17"/>
      <c r="E324" s="17"/>
      <c r="G324" s="17"/>
      <c r="H324" s="17"/>
      <c r="I324" s="17"/>
      <c r="J324" s="43"/>
      <c r="K324" s="17"/>
      <c r="L324" s="17"/>
      <c r="M324" s="17"/>
      <c r="P324" s="17"/>
      <c r="Q324" s="17"/>
      <c r="R324" s="43"/>
      <c r="S324" s="17"/>
      <c r="T324" s="17"/>
      <c r="U324" s="17"/>
      <c r="V324" s="43"/>
      <c r="W324" s="17"/>
      <c r="X324" s="17"/>
    </row>
    <row r="325" spans="1:24" x14ac:dyDescent="0.25">
      <c r="D325" s="17"/>
      <c r="E325" s="17"/>
      <c r="G325" s="17"/>
      <c r="H325" s="17"/>
      <c r="I325" s="17"/>
      <c r="J325" s="43"/>
      <c r="K325" s="17"/>
      <c r="L325" s="17"/>
      <c r="M325" s="17"/>
      <c r="P325" s="17"/>
      <c r="Q325" s="17"/>
      <c r="R325" s="43"/>
      <c r="S325" s="17"/>
      <c r="T325" s="17"/>
      <c r="U325" s="17"/>
      <c r="V325" s="43"/>
      <c r="W325" s="17"/>
      <c r="X325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312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299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299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300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300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296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296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310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310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","100", " - ", "Corporate")</f>
        <v>Department 100 - Corporate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SUM(0)</f>
        <v>0</v>
      </c>
      <c r="E18" s="22"/>
      <c r="F18" s="36">
        <f>IF(D$12=0,0,D18/D$12)</f>
        <v>0</v>
      </c>
      <c r="G18" s="22"/>
      <c r="H18" s="22">
        <f>SUM(0)</f>
        <v>0</v>
      </c>
      <c r="I18" s="22"/>
      <c r="J18" s="36">
        <f>IF(H$12=0,0,H18/H$12)</f>
        <v>0</v>
      </c>
      <c r="K18" s="4"/>
      <c r="L18" s="22">
        <f>+D18-H18</f>
        <v>0</v>
      </c>
      <c r="M18" s="4"/>
      <c r="N18" s="36">
        <f>IF(H18=0,0,L18/H18)</f>
        <v>0</v>
      </c>
      <c r="O18" s="10"/>
      <c r="P18" s="22">
        <f>SUM(0)</f>
        <v>0</v>
      </c>
      <c r="Q18" s="22"/>
      <c r="R18" s="36">
        <f>IF(P$12=0,0,P18/P$12)</f>
        <v>0</v>
      </c>
      <c r="S18" s="22"/>
      <c r="T18" s="22">
        <f>SUM(0)</f>
        <v>0</v>
      </c>
      <c r="U18" s="22"/>
      <c r="V18" s="36">
        <f>IF(T$12=0,0,T18/T$12)</f>
        <v>0</v>
      </c>
      <c r="W18" s="4"/>
      <c r="X18" s="22">
        <f>+P18-T18</f>
        <v>0</v>
      </c>
      <c r="Y18" s="4"/>
      <c r="Z18" s="36">
        <f>IF(T18=0,0,X18/T18)</f>
        <v>0</v>
      </c>
    </row>
    <row r="19" spans="1:26" s="55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1">
        <f>IF(D$12=0,0,D22/D$12)</f>
        <v>0</v>
      </c>
      <c r="G22" s="14"/>
      <c r="H22" s="20">
        <f>+H16-H18+H20</f>
        <v>0</v>
      </c>
      <c r="I22" s="14"/>
      <c r="J22" s="21">
        <f>IF(H$12=0,0,H22/H$12)</f>
        <v>0</v>
      </c>
      <c r="K22" s="15"/>
      <c r="L22" s="20">
        <f>+D22-H22</f>
        <v>0</v>
      </c>
      <c r="M22" s="15"/>
      <c r="N22" s="21">
        <f>IF(H22=0,0,L22/H22)</f>
        <v>0</v>
      </c>
      <c r="O22" s="29"/>
      <c r="P22" s="20">
        <f>+P16-P18+P20</f>
        <v>0</v>
      </c>
      <c r="Q22" s="14"/>
      <c r="R22" s="21">
        <f>IF(P$12=0,0,P22/P$12)</f>
        <v>0</v>
      </c>
      <c r="S22" s="14"/>
      <c r="T22" s="20">
        <f>+T16-T18+T20</f>
        <v>0</v>
      </c>
      <c r="U22" s="14"/>
      <c r="V22" s="21">
        <f>IF(T$12=0,0,T22/T$12)</f>
        <v>0</v>
      </c>
      <c r="W22" s="15"/>
      <c r="X22" s="20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3">
        <f>+D22-D24</f>
        <v>0</v>
      </c>
      <c r="E26" s="14"/>
      <c r="F26" s="34">
        <f>IF(D$12=0,0,D26/D$12)</f>
        <v>0</v>
      </c>
      <c r="G26" s="14"/>
      <c r="H26" s="33">
        <f>+H22-H24</f>
        <v>0</v>
      </c>
      <c r="I26" s="14"/>
      <c r="J26" s="34">
        <f>IF(H$12=0,0,H26/H$12)</f>
        <v>0</v>
      </c>
      <c r="K26" s="15"/>
      <c r="L26" s="33">
        <f>D26-H26</f>
        <v>0</v>
      </c>
      <c r="M26" s="15"/>
      <c r="N26" s="34">
        <f>IF(H26=0,0,L26/H26)</f>
        <v>0</v>
      </c>
      <c r="O26" s="29"/>
      <c r="P26" s="33">
        <f>+P22-P24</f>
        <v>0</v>
      </c>
      <c r="Q26" s="14"/>
      <c r="R26" s="34">
        <f>IF(P$12=0,0,P26/P$12)</f>
        <v>0</v>
      </c>
      <c r="S26" s="14"/>
      <c r="T26" s="33">
        <f>+T22-T24</f>
        <v>0</v>
      </c>
      <c r="U26" s="14"/>
      <c r="V26" s="34">
        <f>IF(T$12=0,0,T26/T$12)</f>
        <v>0</v>
      </c>
      <c r="W26" s="15"/>
      <c r="X26" s="33">
        <f>P26-T26</f>
        <v>0</v>
      </c>
      <c r="Y26" s="15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--344647.12</f>
        <v>344647.12</v>
      </c>
      <c r="E28" s="4"/>
      <c r="F28" s="12">
        <f t="shared" ref="F28:F29" si="0">IF(D$12=0,0,D28/D$12)</f>
        <v>0</v>
      </c>
      <c r="G28" s="4"/>
      <c r="H28" s="4">
        <f>--207006.23</f>
        <v>207006.23</v>
      </c>
      <c r="I28" s="4"/>
      <c r="J28" s="12">
        <f t="shared" ref="J28:J29" si="1">IF(H$12=0,0,H28/H$12)</f>
        <v>0</v>
      </c>
      <c r="K28" s="4"/>
      <c r="L28" s="4">
        <f t="shared" ref="L28:L29" si="2">+D28-H28</f>
        <v>137640.88999999998</v>
      </c>
      <c r="M28" s="4"/>
      <c r="N28" s="12">
        <f t="shared" ref="N28:N29" si="3">IF(H28=0,0,L28/H28)</f>
        <v>0.66491182415137928</v>
      </c>
      <c r="O28" s="10"/>
      <c r="P28" s="4">
        <f>--1994053.3</f>
        <v>1994053.3</v>
      </c>
      <c r="Q28" s="4"/>
      <c r="R28" s="12">
        <f t="shared" ref="R28:R29" si="4">IF(P$12=0,0,P28/P$12)</f>
        <v>0</v>
      </c>
      <c r="S28" s="4"/>
      <c r="T28" s="4">
        <f>--524210.9</f>
        <v>524210.9</v>
      </c>
      <c r="U28" s="4"/>
      <c r="V28" s="12">
        <f t="shared" ref="V28:V29" si="5">IF(T$12=0,0,T28/T$12)</f>
        <v>0</v>
      </c>
      <c r="W28" s="4"/>
      <c r="X28" s="4">
        <f t="shared" ref="X28:X29" si="6">+P28-T28</f>
        <v>1469842.4</v>
      </c>
      <c r="Y28" s="4"/>
      <c r="Z28" s="12">
        <f t="shared" ref="Z28:Z29" si="7">IF(T28=0,0,X28/T28)</f>
        <v>2.8039142261254009</v>
      </c>
    </row>
    <row r="29" spans="1:26" s="23" customFormat="1" x14ac:dyDescent="0.25">
      <c r="A29" s="51"/>
      <c r="B29" s="10" t="s">
        <v>1</v>
      </c>
      <c r="C29" s="10"/>
      <c r="D29" s="4">
        <f>--50933.37</f>
        <v>50933.37</v>
      </c>
      <c r="E29" s="4"/>
      <c r="F29" s="12">
        <f t="shared" si="0"/>
        <v>0</v>
      </c>
      <c r="G29" s="4"/>
      <c r="H29" s="4">
        <f>--80889.64</f>
        <v>80889.64</v>
      </c>
      <c r="I29" s="4"/>
      <c r="J29" s="12">
        <f t="shared" si="1"/>
        <v>0</v>
      </c>
      <c r="K29" s="4"/>
      <c r="L29" s="4">
        <f t="shared" si="2"/>
        <v>-29956.269999999997</v>
      </c>
      <c r="M29" s="4"/>
      <c r="N29" s="12">
        <f t="shared" si="3"/>
        <v>-0.37033506392165916</v>
      </c>
      <c r="O29" s="10"/>
      <c r="P29" s="4">
        <f>--44510.83</f>
        <v>44510.83</v>
      </c>
      <c r="Q29" s="4"/>
      <c r="R29" s="12">
        <f t="shared" si="4"/>
        <v>0</v>
      </c>
      <c r="S29" s="4"/>
      <c r="T29" s="4">
        <f>--159064.94</f>
        <v>159064.94</v>
      </c>
      <c r="U29" s="4"/>
      <c r="V29" s="12">
        <f t="shared" si="5"/>
        <v>0</v>
      </c>
      <c r="W29" s="4"/>
      <c r="X29" s="4">
        <f t="shared" si="6"/>
        <v>-114554.11</v>
      </c>
      <c r="Y29" s="4"/>
      <c r="Z29" s="12">
        <f t="shared" si="7"/>
        <v>-0.72017196247017101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0">
        <f>SUM(D26:D30)</f>
        <v>395580.49</v>
      </c>
      <c r="E31" s="14"/>
      <c r="F31" s="32">
        <f>IF(D$12=0,0,D31/D$12)</f>
        <v>0</v>
      </c>
      <c r="G31" s="14"/>
      <c r="H31" s="30">
        <f>SUM(H26:H30)</f>
        <v>287895.87</v>
      </c>
      <c r="I31" s="14"/>
      <c r="J31" s="32">
        <f>IF(H$12=0,0,H31/H$12)</f>
        <v>0</v>
      </c>
      <c r="K31" s="15"/>
      <c r="L31" s="30">
        <f>+D31-H31</f>
        <v>107684.62</v>
      </c>
      <c r="M31" s="15"/>
      <c r="N31" s="32">
        <f>IF(H31=0,0,L31/H31)</f>
        <v>0.37404016945432389</v>
      </c>
      <c r="O31" s="29"/>
      <c r="P31" s="30">
        <f>SUM(P26:P30)</f>
        <v>2038564.1300000001</v>
      </c>
      <c r="Q31" s="14"/>
      <c r="R31" s="32">
        <f>IF(P$12=0,0,P31/P$12)</f>
        <v>0</v>
      </c>
      <c r="S31" s="14"/>
      <c r="T31" s="30">
        <f>SUM(T26:T30)</f>
        <v>683275.84000000008</v>
      </c>
      <c r="U31" s="14"/>
      <c r="V31" s="32">
        <f>IF(T$12=0,0,T31/T$12)</f>
        <v>0</v>
      </c>
      <c r="W31" s="15"/>
      <c r="X31" s="30">
        <f>+P31-T31</f>
        <v>1355288.29</v>
      </c>
      <c r="Y31" s="15"/>
      <c r="Z31" s="32">
        <f>IF(T31=0,0,X31/T31)</f>
        <v>1.9835156033030523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8">
        <v>44209.521552511571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61" t="s">
        <v>313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57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295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298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211174.95</v>
      </c>
      <c r="E18" s="22"/>
      <c r="F18" s="36">
        <f t="shared" ref="F18:F30" si="0">IF(D$12=0,0,D18/D$12)</f>
        <v>0</v>
      </c>
      <c r="G18" s="22"/>
      <c r="H18" s="22">
        <f>SUM(OSRRefH22x_0)</f>
        <v>248255.84</v>
      </c>
      <c r="I18" s="22"/>
      <c r="J18" s="36">
        <f t="shared" ref="J18:J30" si="1">IF(H$12=0,0,H18/H$12)</f>
        <v>0</v>
      </c>
      <c r="K18" s="4"/>
      <c r="L18" s="22">
        <f t="shared" ref="L18:L30" si="2">+D18-H18</f>
        <v>-37080.889999999985</v>
      </c>
      <c r="M18" s="4"/>
      <c r="N18" s="36">
        <f t="shared" ref="N18:N30" si="3">IF(H18=0,0,L18/H18)</f>
        <v>-0.14936563023049121</v>
      </c>
      <c r="O18" s="10"/>
      <c r="P18" s="22">
        <f>SUM(OSRRefP22x_0)</f>
        <v>951551.21</v>
      </c>
      <c r="Q18" s="22"/>
      <c r="R18" s="36">
        <f t="shared" ref="R18:R30" si="4">IF(P$12=0,0,P18/P$12)</f>
        <v>0</v>
      </c>
      <c r="S18" s="22"/>
      <c r="T18" s="22">
        <f>SUM(OSRRefT22x_0)</f>
        <v>1952544.9799999997</v>
      </c>
      <c r="U18" s="22"/>
      <c r="V18" s="36">
        <f t="shared" ref="V18:V30" si="5">IF(T$12=0,0,T18/T$12)</f>
        <v>0</v>
      </c>
      <c r="W18" s="4"/>
      <c r="X18" s="22">
        <f t="shared" ref="X18:X30" si="6">+P18-T18</f>
        <v>-1000993.7699999998</v>
      </c>
      <c r="Y18" s="4"/>
      <c r="Z18" s="36">
        <f t="shared" ref="Z18:Z30" si="7">IF(T18=0,0,X18/T18)</f>
        <v>-0.51266105531663597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78521.52</v>
      </c>
      <c r="E19" s="1"/>
      <c r="F19" s="5">
        <f t="shared" si="0"/>
        <v>0</v>
      </c>
      <c r="G19" s="1"/>
      <c r="H19" s="1">
        <f>SUM(OSRRefH22_0x_0)</f>
        <v>81291.73</v>
      </c>
      <c r="I19" s="1"/>
      <c r="J19" s="5">
        <f t="shared" si="1"/>
        <v>0</v>
      </c>
      <c r="K19" s="1"/>
      <c r="L19" s="1">
        <f t="shared" si="2"/>
        <v>-2770.2099999999919</v>
      </c>
      <c r="M19" s="1"/>
      <c r="N19" s="5">
        <f t="shared" si="3"/>
        <v>-3.4077390160105976E-2</v>
      </c>
      <c r="O19" s="13"/>
      <c r="P19" s="1">
        <f>SUM(OSRRefP22_0x_0)</f>
        <v>105476.05999999995</v>
      </c>
      <c r="Q19" s="1"/>
      <c r="R19" s="5">
        <f t="shared" si="4"/>
        <v>0</v>
      </c>
      <c r="S19" s="1"/>
      <c r="T19" s="1">
        <f>SUM(OSRRefT22_0x_0)</f>
        <v>555415.54999999993</v>
      </c>
      <c r="U19" s="1"/>
      <c r="V19" s="5">
        <f t="shared" si="5"/>
        <v>0</v>
      </c>
      <c r="W19" s="1"/>
      <c r="X19" s="1">
        <f t="shared" si="6"/>
        <v>-449939.49</v>
      </c>
      <c r="Y19" s="1"/>
      <c r="Z19" s="5">
        <f t="shared" si="7"/>
        <v>-0.81009523409994566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5976.26</v>
      </c>
      <c r="E20" s="2"/>
      <c r="F20" s="6">
        <f t="shared" si="0"/>
        <v>0</v>
      </c>
      <c r="G20" s="2"/>
      <c r="H20" s="7">
        <v>7386.85</v>
      </c>
      <c r="I20" s="2"/>
      <c r="J20" s="6">
        <f t="shared" si="1"/>
        <v>0</v>
      </c>
      <c r="K20" s="2"/>
      <c r="L20" s="7">
        <f t="shared" si="2"/>
        <v>-1410.5900000000001</v>
      </c>
      <c r="M20" s="2"/>
      <c r="N20" s="6">
        <f t="shared" si="3"/>
        <v>-0.19095961065948275</v>
      </c>
      <c r="O20" s="11"/>
      <c r="P20" s="7">
        <v>47834.33</v>
      </c>
      <c r="Q20" s="2"/>
      <c r="R20" s="6">
        <f t="shared" si="4"/>
        <v>0</v>
      </c>
      <c r="S20" s="2"/>
      <c r="T20" s="7">
        <v>59304.5</v>
      </c>
      <c r="U20" s="2"/>
      <c r="V20" s="6">
        <f t="shared" si="5"/>
        <v>0</v>
      </c>
      <c r="W20" s="2"/>
      <c r="X20" s="7">
        <f t="shared" si="6"/>
        <v>-11470.169999999998</v>
      </c>
      <c r="Y20" s="2"/>
      <c r="Z20" s="6">
        <f t="shared" si="7"/>
        <v>-0.19341146118759955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1162.5899999999999</v>
      </c>
      <c r="E21" s="2"/>
      <c r="F21" s="6">
        <f t="shared" si="0"/>
        <v>0</v>
      </c>
      <c r="G21" s="2"/>
      <c r="H21" s="7">
        <v>974.53</v>
      </c>
      <c r="I21" s="2"/>
      <c r="J21" s="6">
        <f t="shared" si="1"/>
        <v>0</v>
      </c>
      <c r="K21" s="2"/>
      <c r="L21" s="7">
        <f t="shared" si="2"/>
        <v>188.05999999999995</v>
      </c>
      <c r="M21" s="2"/>
      <c r="N21" s="6">
        <f t="shared" si="3"/>
        <v>0.19297507516443818</v>
      </c>
      <c r="O21" s="11"/>
      <c r="P21" s="7">
        <v>4707.0200000000004</v>
      </c>
      <c r="Q21" s="2"/>
      <c r="R21" s="6">
        <f t="shared" si="4"/>
        <v>0</v>
      </c>
      <c r="S21" s="2"/>
      <c r="T21" s="7">
        <v>3939.32</v>
      </c>
      <c r="U21" s="2"/>
      <c r="V21" s="6">
        <f t="shared" si="5"/>
        <v>0</v>
      </c>
      <c r="W21" s="2"/>
      <c r="X21" s="7">
        <f t="shared" si="6"/>
        <v>767.70000000000027</v>
      </c>
      <c r="Y21" s="2"/>
      <c r="Z21" s="6">
        <f t="shared" si="7"/>
        <v>0.19488135008072466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23241.89</v>
      </c>
      <c r="E22" s="2"/>
      <c r="F22" s="6">
        <f t="shared" si="0"/>
        <v>0</v>
      </c>
      <c r="G22" s="2"/>
      <c r="H22" s="7">
        <v>22318.01</v>
      </c>
      <c r="I22" s="2"/>
      <c r="J22" s="6">
        <f t="shared" si="1"/>
        <v>0</v>
      </c>
      <c r="K22" s="2"/>
      <c r="L22" s="7">
        <f t="shared" si="2"/>
        <v>923.88000000000102</v>
      </c>
      <c r="M22" s="2"/>
      <c r="N22" s="6">
        <f t="shared" si="3"/>
        <v>4.1396163905294471E-2</v>
      </c>
      <c r="O22" s="11"/>
      <c r="P22" s="7">
        <v>137967.78</v>
      </c>
      <c r="Q22" s="2"/>
      <c r="R22" s="6">
        <f t="shared" si="4"/>
        <v>0</v>
      </c>
      <c r="S22" s="2"/>
      <c r="T22" s="7">
        <v>135314.57999999999</v>
      </c>
      <c r="U22" s="2"/>
      <c r="V22" s="6">
        <f t="shared" si="5"/>
        <v>0</v>
      </c>
      <c r="W22" s="2"/>
      <c r="X22" s="7">
        <f t="shared" si="6"/>
        <v>2653.2000000000116</v>
      </c>
      <c r="Y22" s="2"/>
      <c r="Z22" s="6">
        <f t="shared" si="7"/>
        <v>1.9607643167499113E-2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435.27</v>
      </c>
      <c r="I23" s="2"/>
      <c r="J23" s="6">
        <f t="shared" si="1"/>
        <v>0</v>
      </c>
      <c r="K23" s="2"/>
      <c r="L23" s="7">
        <f t="shared" si="2"/>
        <v>-435.27</v>
      </c>
      <c r="M23" s="2"/>
      <c r="N23" s="6">
        <f t="shared" si="3"/>
        <v>-1</v>
      </c>
      <c r="O23" s="11"/>
      <c r="P23" s="7">
        <v>1570.72</v>
      </c>
      <c r="Q23" s="2"/>
      <c r="R23" s="6">
        <f t="shared" si="4"/>
        <v>0</v>
      </c>
      <c r="S23" s="2"/>
      <c r="T23" s="7">
        <v>2519.06</v>
      </c>
      <c r="U23" s="2"/>
      <c r="V23" s="6">
        <f t="shared" si="5"/>
        <v>0</v>
      </c>
      <c r="W23" s="2"/>
      <c r="X23" s="7">
        <f t="shared" si="6"/>
        <v>-948.33999999999992</v>
      </c>
      <c r="Y23" s="2"/>
      <c r="Z23" s="6">
        <f t="shared" si="7"/>
        <v>-0.37646582455360328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7443.75</v>
      </c>
      <c r="E24" s="2"/>
      <c r="F24" s="6">
        <f t="shared" si="0"/>
        <v>0</v>
      </c>
      <c r="G24" s="2"/>
      <c r="H24" s="7">
        <v>6783.07</v>
      </c>
      <c r="I24" s="2"/>
      <c r="J24" s="6">
        <f t="shared" si="1"/>
        <v>0</v>
      </c>
      <c r="K24" s="2"/>
      <c r="L24" s="7">
        <f t="shared" si="2"/>
        <v>660.68000000000029</v>
      </c>
      <c r="M24" s="2"/>
      <c r="N24" s="6">
        <f t="shared" si="3"/>
        <v>9.7401324179169663E-2</v>
      </c>
      <c r="O24" s="11"/>
      <c r="P24" s="7">
        <v>55305.279999999999</v>
      </c>
      <c r="Q24" s="2"/>
      <c r="R24" s="6">
        <f t="shared" si="4"/>
        <v>0</v>
      </c>
      <c r="S24" s="2"/>
      <c r="T24" s="7">
        <v>53508.009999999995</v>
      </c>
      <c r="U24" s="2"/>
      <c r="V24" s="6">
        <f t="shared" si="5"/>
        <v>0</v>
      </c>
      <c r="W24" s="2"/>
      <c r="X24" s="7">
        <f t="shared" si="6"/>
        <v>1797.2700000000041</v>
      </c>
      <c r="Y24" s="2"/>
      <c r="Z24" s="6">
        <f t="shared" si="7"/>
        <v>3.3588802872691476E-2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134</v>
      </c>
      <c r="I25" s="2"/>
      <c r="J25" s="6">
        <f t="shared" si="1"/>
        <v>0</v>
      </c>
      <c r="K25" s="2"/>
      <c r="L25" s="7">
        <f t="shared" si="2"/>
        <v>-134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2105.94</v>
      </c>
      <c r="U25" s="2"/>
      <c r="V25" s="6">
        <f t="shared" si="5"/>
        <v>0</v>
      </c>
      <c r="W25" s="2"/>
      <c r="X25" s="7">
        <f t="shared" si="6"/>
        <v>-2105.94</v>
      </c>
      <c r="Y25" s="2"/>
      <c r="Z25" s="6">
        <f t="shared" si="7"/>
        <v>-1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590.65</v>
      </c>
      <c r="E26" s="2"/>
      <c r="F26" s="6">
        <f t="shared" si="0"/>
        <v>0</v>
      </c>
      <c r="G26" s="2"/>
      <c r="H26" s="7">
        <v>821.81</v>
      </c>
      <c r="I26" s="2"/>
      <c r="J26" s="6">
        <f t="shared" si="1"/>
        <v>0</v>
      </c>
      <c r="K26" s="2"/>
      <c r="L26" s="7">
        <f t="shared" si="2"/>
        <v>-231.15999999999997</v>
      </c>
      <c r="M26" s="2"/>
      <c r="N26" s="6">
        <f t="shared" si="3"/>
        <v>-0.28128156143147443</v>
      </c>
      <c r="O26" s="11"/>
      <c r="P26" s="7">
        <v>4758.09</v>
      </c>
      <c r="Q26" s="2"/>
      <c r="R26" s="6">
        <f t="shared" si="4"/>
        <v>0</v>
      </c>
      <c r="S26" s="2"/>
      <c r="T26" s="7">
        <v>5159.45</v>
      </c>
      <c r="U26" s="2"/>
      <c r="V26" s="6">
        <f t="shared" si="5"/>
        <v>0</v>
      </c>
      <c r="W26" s="2"/>
      <c r="X26" s="7">
        <f t="shared" si="6"/>
        <v>-401.35999999999967</v>
      </c>
      <c r="Y26" s="2"/>
      <c r="Z26" s="6">
        <f t="shared" si="7"/>
        <v>-7.7791237438098959E-2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7">
        <v>5615.14</v>
      </c>
      <c r="E27" s="2"/>
      <c r="F27" s="6">
        <f t="shared" si="0"/>
        <v>0</v>
      </c>
      <c r="G27" s="2"/>
      <c r="H27" s="7">
        <v>6671.6</v>
      </c>
      <c r="I27" s="2"/>
      <c r="J27" s="6">
        <f t="shared" si="1"/>
        <v>0</v>
      </c>
      <c r="K27" s="2"/>
      <c r="L27" s="7">
        <f t="shared" si="2"/>
        <v>-1056.46</v>
      </c>
      <c r="M27" s="2"/>
      <c r="N27" s="6">
        <f t="shared" si="3"/>
        <v>-0.15835181965345643</v>
      </c>
      <c r="O27" s="11"/>
      <c r="P27" s="7">
        <v>39469.82</v>
      </c>
      <c r="Q27" s="2"/>
      <c r="R27" s="6">
        <f t="shared" si="4"/>
        <v>0</v>
      </c>
      <c r="S27" s="2"/>
      <c r="T27" s="7">
        <v>55014.2</v>
      </c>
      <c r="U27" s="2"/>
      <c r="V27" s="6">
        <f t="shared" si="5"/>
        <v>0</v>
      </c>
      <c r="W27" s="2"/>
      <c r="X27" s="7">
        <f t="shared" si="6"/>
        <v>-15544.379999999997</v>
      </c>
      <c r="Y27" s="2"/>
      <c r="Z27" s="6">
        <f t="shared" si="7"/>
        <v>-0.28255214108357474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7">
        <v>4003.52</v>
      </c>
      <c r="E28" s="2"/>
      <c r="F28" s="6">
        <f t="shared" si="0"/>
        <v>0</v>
      </c>
      <c r="G28" s="2"/>
      <c r="H28" s="7">
        <v>4225.0600000000004</v>
      </c>
      <c r="I28" s="2"/>
      <c r="J28" s="6">
        <f t="shared" si="1"/>
        <v>0</v>
      </c>
      <c r="K28" s="2"/>
      <c r="L28" s="7">
        <f t="shared" si="2"/>
        <v>-221.54000000000042</v>
      </c>
      <c r="M28" s="2"/>
      <c r="N28" s="6">
        <f t="shared" si="3"/>
        <v>-5.2434758322958824E-2</v>
      </c>
      <c r="O28" s="11"/>
      <c r="P28" s="7">
        <v>26797.78</v>
      </c>
      <c r="Q28" s="2"/>
      <c r="R28" s="6">
        <f t="shared" si="4"/>
        <v>0</v>
      </c>
      <c r="S28" s="2"/>
      <c r="T28" s="7">
        <v>48431.92</v>
      </c>
      <c r="U28" s="2"/>
      <c r="V28" s="6">
        <f t="shared" si="5"/>
        <v>0</v>
      </c>
      <c r="W28" s="2"/>
      <c r="X28" s="7">
        <f t="shared" si="6"/>
        <v>-21634.14</v>
      </c>
      <c r="Y28" s="2"/>
      <c r="Z28" s="6">
        <f t="shared" si="7"/>
        <v>-0.44669176856915854</v>
      </c>
    </row>
    <row r="29" spans="1:26" s="24" customFormat="1" hidden="1" outlineLevel="2" x14ac:dyDescent="0.25">
      <c r="A29" s="27"/>
      <c r="B29" s="11" t="str">
        <f>CONCATENATE("          ", "6120", " - ", "RETIREES HEALTH INSURANCE")</f>
        <v xml:space="preserve">          6120 - RETIREES HEALTH INSURANCE</v>
      </c>
      <c r="C29" s="11"/>
      <c r="D29" s="7">
        <v>29918.37</v>
      </c>
      <c r="E29" s="2"/>
      <c r="F29" s="6">
        <f t="shared" si="0"/>
        <v>0</v>
      </c>
      <c r="G29" s="2"/>
      <c r="H29" s="7">
        <v>29195.759999999998</v>
      </c>
      <c r="I29" s="2"/>
      <c r="J29" s="6">
        <f t="shared" si="1"/>
        <v>0</v>
      </c>
      <c r="K29" s="2"/>
      <c r="L29" s="7">
        <f t="shared" si="2"/>
        <v>722.61000000000058</v>
      </c>
      <c r="M29" s="2"/>
      <c r="N29" s="6">
        <f t="shared" si="3"/>
        <v>2.4750511718139915E-2</v>
      </c>
      <c r="O29" s="11"/>
      <c r="P29" s="7">
        <v>-217338.28</v>
      </c>
      <c r="Q29" s="2"/>
      <c r="R29" s="6">
        <f t="shared" si="4"/>
        <v>0</v>
      </c>
      <c r="S29" s="2"/>
      <c r="T29" s="7">
        <v>175624.88</v>
      </c>
      <c r="U29" s="2"/>
      <c r="V29" s="6">
        <f t="shared" si="5"/>
        <v>0</v>
      </c>
      <c r="W29" s="2"/>
      <c r="X29" s="7">
        <f t="shared" si="6"/>
        <v>-392963.16000000003</v>
      </c>
      <c r="Y29" s="2"/>
      <c r="Z29" s="6">
        <f t="shared" si="7"/>
        <v>-2.2375141836395849</v>
      </c>
    </row>
    <row r="30" spans="1:26" s="24" customFormat="1" hidden="1" outlineLevel="2" x14ac:dyDescent="0.25">
      <c r="A30" s="27"/>
      <c r="B30" s="11" t="str">
        <f>CONCATENATE("          ", "6156", " - ", "EMPLOYEE MEALS")</f>
        <v xml:space="preserve">          6156 - EMPLOYEE MEALS</v>
      </c>
      <c r="C30" s="11"/>
      <c r="D30" s="7">
        <v>569.35</v>
      </c>
      <c r="E30" s="2"/>
      <c r="F30" s="6">
        <f t="shared" si="0"/>
        <v>0</v>
      </c>
      <c r="G30" s="2"/>
      <c r="H30" s="7">
        <v>2345.77</v>
      </c>
      <c r="I30" s="2"/>
      <c r="J30" s="6">
        <f t="shared" si="1"/>
        <v>0</v>
      </c>
      <c r="K30" s="2"/>
      <c r="L30" s="7">
        <f t="shared" si="2"/>
        <v>-1776.42</v>
      </c>
      <c r="M30" s="2"/>
      <c r="N30" s="6">
        <f t="shared" si="3"/>
        <v>-0.75728651999130359</v>
      </c>
      <c r="O30" s="11"/>
      <c r="P30" s="7">
        <v>4403.5200000000004</v>
      </c>
      <c r="Q30" s="2"/>
      <c r="R30" s="6">
        <f t="shared" si="4"/>
        <v>0</v>
      </c>
      <c r="S30" s="2"/>
      <c r="T30" s="7">
        <v>14493.69</v>
      </c>
      <c r="U30" s="2"/>
      <c r="V30" s="6">
        <f t="shared" si="5"/>
        <v>0</v>
      </c>
      <c r="W30" s="2"/>
      <c r="X30" s="7">
        <f t="shared" si="6"/>
        <v>-10090.17</v>
      </c>
      <c r="Y30" s="2"/>
      <c r="Z30" s="6">
        <f t="shared" si="7"/>
        <v>-0.6961767500201812</v>
      </c>
    </row>
    <row r="31" spans="1:26" s="25" customFormat="1" outlineLevel="1" collapsed="1" x14ac:dyDescent="0.25">
      <c r="A31" s="26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87998.749999999985</v>
      </c>
      <c r="E31" s="1"/>
      <c r="F31" s="5">
        <f t="shared" ref="F31:F38" si="8">IF(D$12=0,0,D31/D$12)</f>
        <v>0</v>
      </c>
      <c r="G31" s="1"/>
      <c r="H31" s="1">
        <f>SUM(OSRRefH22_1x_0)</f>
        <v>107533.82000000002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-19535.070000000036</v>
      </c>
      <c r="M31" s="1"/>
      <c r="N31" s="5">
        <f t="shared" ref="N31:N38" si="11">IF(H31=0,0,L31/H31)</f>
        <v>-0.18166442892105975</v>
      </c>
      <c r="O31" s="13"/>
      <c r="P31" s="1">
        <f>SUM(OSRRefP22_1x_0)</f>
        <v>543945.34</v>
      </c>
      <c r="Q31" s="1"/>
      <c r="R31" s="5">
        <f t="shared" ref="R31:R38" si="12">IF(P$12=0,0,P31/P$12)</f>
        <v>0</v>
      </c>
      <c r="S31" s="1"/>
      <c r="T31" s="1">
        <f>SUM(OSRRefT22_1x_0)</f>
        <v>650371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-106425.66000000003</v>
      </c>
      <c r="Y31" s="1"/>
      <c r="Z31" s="5">
        <f t="shared" ref="Z31:Z38" si="15">IF(T31=0,0,X31/T31)</f>
        <v>-0.16363838486033361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7">
        <v>24034.959999999999</v>
      </c>
      <c r="E32" s="2"/>
      <c r="F32" s="6">
        <f t="shared" si="8"/>
        <v>0</v>
      </c>
      <c r="G32" s="2"/>
      <c r="H32" s="7">
        <v>22685.68</v>
      </c>
      <c r="I32" s="2"/>
      <c r="J32" s="6">
        <f t="shared" si="9"/>
        <v>0</v>
      </c>
      <c r="K32" s="2"/>
      <c r="L32" s="7">
        <f t="shared" si="10"/>
        <v>1349.2799999999988</v>
      </c>
      <c r="M32" s="2"/>
      <c r="N32" s="6">
        <f t="shared" si="11"/>
        <v>5.9477167975568679E-2</v>
      </c>
      <c r="O32" s="11"/>
      <c r="P32" s="7">
        <v>147976.54999999999</v>
      </c>
      <c r="Q32" s="2"/>
      <c r="R32" s="6">
        <f t="shared" si="12"/>
        <v>0</v>
      </c>
      <c r="S32" s="2"/>
      <c r="T32" s="7">
        <v>148129.06</v>
      </c>
      <c r="U32" s="2"/>
      <c r="V32" s="6">
        <f t="shared" si="13"/>
        <v>0</v>
      </c>
      <c r="W32" s="2"/>
      <c r="X32" s="7">
        <f t="shared" si="14"/>
        <v>-152.51000000000931</v>
      </c>
      <c r="Y32" s="2"/>
      <c r="Z32" s="6">
        <f t="shared" si="15"/>
        <v>-1.0295751556109877E-3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>
        <v>43397.52</v>
      </c>
      <c r="E33" s="2"/>
      <c r="F33" s="6">
        <f t="shared" si="8"/>
        <v>0</v>
      </c>
      <c r="G33" s="2"/>
      <c r="H33" s="7">
        <v>43612.060000000005</v>
      </c>
      <c r="I33" s="2"/>
      <c r="J33" s="6">
        <f t="shared" si="9"/>
        <v>0</v>
      </c>
      <c r="K33" s="2"/>
      <c r="L33" s="7">
        <f t="shared" si="10"/>
        <v>-214.54000000000815</v>
      </c>
      <c r="M33" s="2"/>
      <c r="N33" s="6">
        <f t="shared" si="11"/>
        <v>-4.9192815014931224E-3</v>
      </c>
      <c r="O33" s="11"/>
      <c r="P33" s="7">
        <v>287432.07</v>
      </c>
      <c r="Q33" s="2"/>
      <c r="R33" s="6">
        <f t="shared" si="12"/>
        <v>0</v>
      </c>
      <c r="S33" s="2"/>
      <c r="T33" s="7">
        <v>277662.83999999997</v>
      </c>
      <c r="U33" s="2"/>
      <c r="V33" s="6">
        <f t="shared" si="13"/>
        <v>0</v>
      </c>
      <c r="W33" s="2"/>
      <c r="X33" s="7">
        <f t="shared" si="14"/>
        <v>9769.2300000000396</v>
      </c>
      <c r="Y33" s="2"/>
      <c r="Z33" s="6">
        <f t="shared" si="15"/>
        <v>3.5183786206321455E-2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7">
        <v>14243.95</v>
      </c>
      <c r="E34" s="2"/>
      <c r="F34" s="6">
        <f t="shared" si="8"/>
        <v>0</v>
      </c>
      <c r="G34" s="2"/>
      <c r="H34" s="7">
        <v>20633.990000000002</v>
      </c>
      <c r="I34" s="2"/>
      <c r="J34" s="6">
        <f t="shared" si="9"/>
        <v>0</v>
      </c>
      <c r="K34" s="2"/>
      <c r="L34" s="7">
        <f t="shared" si="10"/>
        <v>-6390.0400000000009</v>
      </c>
      <c r="M34" s="2"/>
      <c r="N34" s="6">
        <f t="shared" si="11"/>
        <v>-0.30968513603040421</v>
      </c>
      <c r="O34" s="11"/>
      <c r="P34" s="7">
        <v>108617.58</v>
      </c>
      <c r="Q34" s="2"/>
      <c r="R34" s="6">
        <f t="shared" si="12"/>
        <v>0</v>
      </c>
      <c r="S34" s="2"/>
      <c r="T34" s="7">
        <v>136990.57</v>
      </c>
      <c r="U34" s="2"/>
      <c r="V34" s="6">
        <f t="shared" si="13"/>
        <v>0</v>
      </c>
      <c r="W34" s="2"/>
      <c r="X34" s="7">
        <f t="shared" si="14"/>
        <v>-28372.990000000005</v>
      </c>
      <c r="Y34" s="2"/>
      <c r="Z34" s="6">
        <f t="shared" si="15"/>
        <v>-0.20711637304669953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>
        <v>5217.28</v>
      </c>
      <c r="E35" s="2"/>
      <c r="F35" s="6">
        <f t="shared" si="8"/>
        <v>0</v>
      </c>
      <c r="G35" s="2"/>
      <c r="H35" s="7">
        <v>8428.3799999999992</v>
      </c>
      <c r="I35" s="2"/>
      <c r="J35" s="6">
        <f t="shared" si="9"/>
        <v>0</v>
      </c>
      <c r="K35" s="2"/>
      <c r="L35" s="7">
        <f t="shared" si="10"/>
        <v>-3211.0999999999995</v>
      </c>
      <c r="M35" s="2"/>
      <c r="N35" s="6">
        <f t="shared" si="11"/>
        <v>-0.3809866190181268</v>
      </c>
      <c r="O35" s="11"/>
      <c r="P35" s="7">
        <v>36531.53</v>
      </c>
      <c r="Q35" s="2"/>
      <c r="R35" s="6">
        <f t="shared" si="12"/>
        <v>0</v>
      </c>
      <c r="S35" s="2"/>
      <c r="T35" s="7">
        <v>59191.61</v>
      </c>
      <c r="U35" s="2"/>
      <c r="V35" s="6">
        <f t="shared" si="13"/>
        <v>0</v>
      </c>
      <c r="W35" s="2"/>
      <c r="X35" s="7">
        <f t="shared" si="14"/>
        <v>-22660.080000000002</v>
      </c>
      <c r="Y35" s="2"/>
      <c r="Z35" s="6">
        <f t="shared" si="15"/>
        <v>-0.38282587684301883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/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2361.4299999999998</v>
      </c>
      <c r="U36" s="2"/>
      <c r="V36" s="6">
        <f t="shared" si="13"/>
        <v>0</v>
      </c>
      <c r="W36" s="2"/>
      <c r="X36" s="7">
        <f t="shared" si="14"/>
        <v>-2361.4299999999998</v>
      </c>
      <c r="Y36" s="2"/>
      <c r="Z36" s="6">
        <f t="shared" si="15"/>
        <v>-1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8"/>
        <v>0</v>
      </c>
      <c r="G37" s="2"/>
      <c r="H37" s="7">
        <v>10975.77</v>
      </c>
      <c r="I37" s="2"/>
      <c r="J37" s="6">
        <f t="shared" si="9"/>
        <v>0</v>
      </c>
      <c r="K37" s="2"/>
      <c r="L37" s="7">
        <f t="shared" si="10"/>
        <v>-10975.77</v>
      </c>
      <c r="M37" s="2"/>
      <c r="N37" s="6">
        <f t="shared" si="11"/>
        <v>-1</v>
      </c>
      <c r="O37" s="11"/>
      <c r="P37" s="7">
        <v>-44841.009999999995</v>
      </c>
      <c r="Q37" s="2"/>
      <c r="R37" s="6">
        <f t="shared" si="12"/>
        <v>0</v>
      </c>
      <c r="S37" s="2"/>
      <c r="T37" s="7">
        <v>15952.849999999999</v>
      </c>
      <c r="U37" s="2"/>
      <c r="V37" s="6">
        <f t="shared" si="13"/>
        <v>0</v>
      </c>
      <c r="W37" s="2"/>
      <c r="X37" s="7">
        <f t="shared" si="14"/>
        <v>-60793.859999999993</v>
      </c>
      <c r="Y37" s="2"/>
      <c r="Z37" s="6">
        <f t="shared" si="15"/>
        <v>-3.8108463378017094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>
        <v>1105.04</v>
      </c>
      <c r="E38" s="2"/>
      <c r="F38" s="6">
        <f t="shared" si="8"/>
        <v>0</v>
      </c>
      <c r="G38" s="2"/>
      <c r="H38" s="7">
        <v>1197.94</v>
      </c>
      <c r="I38" s="2"/>
      <c r="J38" s="6">
        <f t="shared" si="9"/>
        <v>0</v>
      </c>
      <c r="K38" s="2"/>
      <c r="L38" s="7">
        <f t="shared" si="10"/>
        <v>-92.900000000000091</v>
      </c>
      <c r="M38" s="2"/>
      <c r="N38" s="6">
        <f t="shared" si="11"/>
        <v>-7.754979381271189E-2</v>
      </c>
      <c r="O38" s="11"/>
      <c r="P38" s="7">
        <v>8228.6200000000008</v>
      </c>
      <c r="Q38" s="2"/>
      <c r="R38" s="6">
        <f t="shared" si="12"/>
        <v>0</v>
      </c>
      <c r="S38" s="2"/>
      <c r="T38" s="7">
        <v>10082.64</v>
      </c>
      <c r="U38" s="2"/>
      <c r="V38" s="6">
        <f t="shared" si="13"/>
        <v>0</v>
      </c>
      <c r="W38" s="2"/>
      <c r="X38" s="7">
        <f t="shared" si="14"/>
        <v>-1854.0199999999986</v>
      </c>
      <c r="Y38" s="2"/>
      <c r="Z38" s="6">
        <f t="shared" si="15"/>
        <v>-0.18388239588044389</v>
      </c>
    </row>
    <row r="39" spans="1:26" s="25" customFormat="1" outlineLevel="1" collapsed="1" x14ac:dyDescent="0.25">
      <c r="A39" s="26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173.21</v>
      </c>
      <c r="E39" s="1"/>
      <c r="F39" s="5">
        <f t="shared" ref="F39:F55" si="16">IF(D$12=0,0,D39/D$12)</f>
        <v>0</v>
      </c>
      <c r="G39" s="1"/>
      <c r="H39" s="1">
        <f>SUM(OSRRefH22_2x_0)</f>
        <v>-4899.93</v>
      </c>
      <c r="I39" s="1"/>
      <c r="J39" s="5">
        <f t="shared" ref="J39:J55" si="17">IF(H$12=0,0,H39/H$12)</f>
        <v>0</v>
      </c>
      <c r="K39" s="1"/>
      <c r="L39" s="1">
        <f t="shared" ref="L39:L55" si="18">+D39-H39</f>
        <v>5073.1400000000003</v>
      </c>
      <c r="M39" s="1"/>
      <c r="N39" s="5">
        <f t="shared" ref="N39:N55" si="19">IF(H39=0,0,L39/H39)</f>
        <v>-1.0353494845844737</v>
      </c>
      <c r="O39" s="13"/>
      <c r="P39" s="1">
        <f>SUM(OSRRefP22_2x_0)</f>
        <v>932.85</v>
      </c>
      <c r="Q39" s="1"/>
      <c r="R39" s="5">
        <f t="shared" ref="R39:R55" si="20">IF(P$12=0,0,P39/P$12)</f>
        <v>0</v>
      </c>
      <c r="S39" s="1"/>
      <c r="T39" s="1">
        <f>SUM(OSRRefT22_2x_0)</f>
        <v>-22766.74</v>
      </c>
      <c r="U39" s="1"/>
      <c r="V39" s="5">
        <f t="shared" ref="V39:V55" si="21">IF(T$12=0,0,T39/T$12)</f>
        <v>0</v>
      </c>
      <c r="W39" s="1"/>
      <c r="X39" s="1">
        <f t="shared" ref="X39:X55" si="22">+P39-T39</f>
        <v>23699.59</v>
      </c>
      <c r="Y39" s="1"/>
      <c r="Z39" s="5">
        <f t="shared" ref="Z39:Z55" si="23">IF(T39=0,0,X39/T39)</f>
        <v>-1.0409742457637763</v>
      </c>
    </row>
    <row r="40" spans="1:26" s="24" customFormat="1" hidden="1" outlineLevel="2" x14ac:dyDescent="0.25">
      <c r="A40" s="27"/>
      <c r="B40" s="11" t="str">
        <f>CONCATENATE("          ", "6362", " - ", "ADVERTISING EXPENSE")</f>
        <v xml:space="preserve">          6362 - ADVERTISING EXPENSE</v>
      </c>
      <c r="C40" s="11"/>
      <c r="D40" s="7">
        <v>173.21</v>
      </c>
      <c r="E40" s="2"/>
      <c r="F40" s="6">
        <f t="shared" si="16"/>
        <v>0</v>
      </c>
      <c r="G40" s="2"/>
      <c r="H40" s="7">
        <v>-4899.93</v>
      </c>
      <c r="I40" s="2"/>
      <c r="J40" s="6">
        <f t="shared" si="17"/>
        <v>0</v>
      </c>
      <c r="K40" s="2"/>
      <c r="L40" s="7">
        <f t="shared" si="18"/>
        <v>5073.1400000000003</v>
      </c>
      <c r="M40" s="2"/>
      <c r="N40" s="6">
        <f t="shared" si="19"/>
        <v>-1.0353494845844737</v>
      </c>
      <c r="O40" s="11"/>
      <c r="P40" s="7">
        <v>932.85</v>
      </c>
      <c r="Q40" s="2"/>
      <c r="R40" s="6">
        <f t="shared" si="20"/>
        <v>0</v>
      </c>
      <c r="S40" s="2"/>
      <c r="T40" s="7">
        <v>-22766.74</v>
      </c>
      <c r="U40" s="2"/>
      <c r="V40" s="6">
        <f t="shared" si="21"/>
        <v>0</v>
      </c>
      <c r="W40" s="2"/>
      <c r="X40" s="7">
        <f t="shared" si="22"/>
        <v>23699.59</v>
      </c>
      <c r="Y40" s="2"/>
      <c r="Z40" s="6">
        <f t="shared" si="23"/>
        <v>-1.0409742457637763</v>
      </c>
    </row>
    <row r="41" spans="1:26" s="25" customFormat="1" outlineLevel="1" collapsed="1" x14ac:dyDescent="0.25">
      <c r="A41" s="26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SUM(OSRRefD22_3x_0)</f>
        <v>7</v>
      </c>
      <c r="E41" s="1"/>
      <c r="F41" s="5">
        <f t="shared" si="16"/>
        <v>0</v>
      </c>
      <c r="G41" s="1"/>
      <c r="H41" s="1">
        <f>SUM(OSRRefH22_3x_0)</f>
        <v>1670.48</v>
      </c>
      <c r="I41" s="1"/>
      <c r="J41" s="5">
        <f t="shared" si="17"/>
        <v>0</v>
      </c>
      <c r="K41" s="1"/>
      <c r="L41" s="1">
        <f t="shared" si="18"/>
        <v>-1663.48</v>
      </c>
      <c r="M41" s="1"/>
      <c r="N41" s="5">
        <f t="shared" si="19"/>
        <v>-0.99580958766342609</v>
      </c>
      <c r="O41" s="13"/>
      <c r="P41" s="1">
        <f>SUM(OSRRefP22_3x_0)</f>
        <v>2904.58</v>
      </c>
      <c r="Q41" s="1"/>
      <c r="R41" s="5">
        <f t="shared" si="20"/>
        <v>0</v>
      </c>
      <c r="S41" s="1"/>
      <c r="T41" s="1">
        <f>SUM(OSRRefT22_3x_0)</f>
        <v>24427.200000000001</v>
      </c>
      <c r="U41" s="1"/>
      <c r="V41" s="5">
        <f t="shared" si="21"/>
        <v>0</v>
      </c>
      <c r="W41" s="1"/>
      <c r="X41" s="1">
        <f t="shared" si="22"/>
        <v>-21522.620000000003</v>
      </c>
      <c r="Y41" s="1"/>
      <c r="Z41" s="5">
        <f t="shared" si="23"/>
        <v>-0.88109238881247143</v>
      </c>
    </row>
    <row r="42" spans="1:26" s="24" customFormat="1" hidden="1" outlineLevel="2" x14ac:dyDescent="0.25">
      <c r="A42" s="27"/>
      <c r="B42" s="11" t="str">
        <f>CONCATENATE("          ", "6381", " - ", "BANK/CREDIT CARD FEES")</f>
        <v xml:space="preserve">          6381 - BANK/CREDIT CARD FEES</v>
      </c>
      <c r="C42" s="11"/>
      <c r="D42" s="7">
        <v>7</v>
      </c>
      <c r="E42" s="2"/>
      <c r="F42" s="6">
        <f t="shared" si="16"/>
        <v>0</v>
      </c>
      <c r="G42" s="2"/>
      <c r="H42" s="7">
        <v>1670.48</v>
      </c>
      <c r="I42" s="2"/>
      <c r="J42" s="6">
        <f t="shared" si="17"/>
        <v>0</v>
      </c>
      <c r="K42" s="2"/>
      <c r="L42" s="7">
        <f t="shared" si="18"/>
        <v>-1663.48</v>
      </c>
      <c r="M42" s="2"/>
      <c r="N42" s="6">
        <f t="shared" si="19"/>
        <v>-0.99580958766342609</v>
      </c>
      <c r="O42" s="11"/>
      <c r="P42" s="7">
        <v>2904.58</v>
      </c>
      <c r="Q42" s="2"/>
      <c r="R42" s="6">
        <f t="shared" si="20"/>
        <v>0</v>
      </c>
      <c r="S42" s="2"/>
      <c r="T42" s="7">
        <v>24427.200000000001</v>
      </c>
      <c r="U42" s="2"/>
      <c r="V42" s="6">
        <f t="shared" si="21"/>
        <v>0</v>
      </c>
      <c r="W42" s="2"/>
      <c r="X42" s="7">
        <f t="shared" si="22"/>
        <v>-21522.620000000003</v>
      </c>
      <c r="Y42" s="2"/>
      <c r="Z42" s="6">
        <f t="shared" si="23"/>
        <v>-0.88109238881247143</v>
      </c>
    </row>
    <row r="43" spans="1:26" s="25" customFormat="1" outlineLevel="1" collapsed="1" x14ac:dyDescent="0.25">
      <c r="A43" s="26"/>
      <c r="B43" s="13" t="str">
        <f>CONCATENATE("     ","Board                                             ")</f>
        <v xml:space="preserve">     Board                                             </v>
      </c>
      <c r="C43" s="13"/>
      <c r="D43" s="1">
        <f>SUM(OSRRefD22_4x_0)</f>
        <v>714.82</v>
      </c>
      <c r="E43" s="1"/>
      <c r="F43" s="5">
        <f t="shared" si="16"/>
        <v>0</v>
      </c>
      <c r="G43" s="1"/>
      <c r="H43" s="1">
        <f>SUM(OSRRefH22_4x_0)</f>
        <v>2632.84</v>
      </c>
      <c r="I43" s="1"/>
      <c r="J43" s="5">
        <f t="shared" si="17"/>
        <v>0</v>
      </c>
      <c r="K43" s="1"/>
      <c r="L43" s="1">
        <f t="shared" si="18"/>
        <v>-1918.02</v>
      </c>
      <c r="M43" s="1"/>
      <c r="N43" s="5">
        <f t="shared" si="19"/>
        <v>-0.72849850351711454</v>
      </c>
      <c r="O43" s="13"/>
      <c r="P43" s="1">
        <f>SUM(OSRRefP22_4x_0)</f>
        <v>7836.99</v>
      </c>
      <c r="Q43" s="1"/>
      <c r="R43" s="5">
        <f t="shared" si="20"/>
        <v>0</v>
      </c>
      <c r="S43" s="1"/>
      <c r="T43" s="1">
        <f>SUM(OSRRefT22_4x_0)</f>
        <v>16797.95</v>
      </c>
      <c r="U43" s="1"/>
      <c r="V43" s="5">
        <f t="shared" si="21"/>
        <v>0</v>
      </c>
      <c r="W43" s="1"/>
      <c r="X43" s="1">
        <f t="shared" si="22"/>
        <v>-8960.9600000000009</v>
      </c>
      <c r="Y43" s="1"/>
      <c r="Z43" s="5">
        <f t="shared" si="23"/>
        <v>-0.5334555704713968</v>
      </c>
    </row>
    <row r="44" spans="1:26" s="24" customFormat="1" hidden="1" outlineLevel="2" x14ac:dyDescent="0.25">
      <c r="A44" s="27"/>
      <c r="B44" s="11" t="str">
        <f>CONCATENATE("          ", "6397", " - ", "BOARD EXPENSES")</f>
        <v xml:space="preserve">          6397 - BOARD EXPENSES</v>
      </c>
      <c r="C44" s="11"/>
      <c r="D44" s="7">
        <v>714.82</v>
      </c>
      <c r="E44" s="2"/>
      <c r="F44" s="6">
        <f t="shared" si="16"/>
        <v>0</v>
      </c>
      <c r="G44" s="2"/>
      <c r="H44" s="7">
        <v>2632.84</v>
      </c>
      <c r="I44" s="2"/>
      <c r="J44" s="6">
        <f t="shared" si="17"/>
        <v>0</v>
      </c>
      <c r="K44" s="2"/>
      <c r="L44" s="7">
        <f t="shared" si="18"/>
        <v>-1918.02</v>
      </c>
      <c r="M44" s="2"/>
      <c r="N44" s="6">
        <f t="shared" si="19"/>
        <v>-0.72849850351711454</v>
      </c>
      <c r="O44" s="11"/>
      <c r="P44" s="7">
        <v>7836.99</v>
      </c>
      <c r="Q44" s="2"/>
      <c r="R44" s="6">
        <f t="shared" si="20"/>
        <v>0</v>
      </c>
      <c r="S44" s="2"/>
      <c r="T44" s="7">
        <v>16797.95</v>
      </c>
      <c r="U44" s="2"/>
      <c r="V44" s="6">
        <f t="shared" si="21"/>
        <v>0</v>
      </c>
      <c r="W44" s="2"/>
      <c r="X44" s="7">
        <f t="shared" si="22"/>
        <v>-8960.9600000000009</v>
      </c>
      <c r="Y44" s="2"/>
      <c r="Z44" s="6">
        <f t="shared" si="23"/>
        <v>-0.5334555704713968</v>
      </c>
    </row>
    <row r="45" spans="1:26" s="25" customFormat="1" outlineLevel="1" collapsed="1" x14ac:dyDescent="0.25">
      <c r="A45" s="26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7139.05</v>
      </c>
      <c r="E45" s="1"/>
      <c r="F45" s="5">
        <f t="shared" si="16"/>
        <v>0</v>
      </c>
      <c r="G45" s="1"/>
      <c r="H45" s="1">
        <f>SUM(OSRRefH22_5x_0)</f>
        <v>8599.93</v>
      </c>
      <c r="I45" s="1"/>
      <c r="J45" s="5">
        <f t="shared" si="17"/>
        <v>0</v>
      </c>
      <c r="K45" s="1"/>
      <c r="L45" s="1">
        <f t="shared" si="18"/>
        <v>-1460.88</v>
      </c>
      <c r="M45" s="1"/>
      <c r="N45" s="5">
        <f t="shared" si="19"/>
        <v>-0.16987115011401258</v>
      </c>
      <c r="O45" s="13"/>
      <c r="P45" s="1">
        <f>SUM(OSRRefP22_5x_0)</f>
        <v>44404.82</v>
      </c>
      <c r="Q45" s="1"/>
      <c r="R45" s="5">
        <f t="shared" si="20"/>
        <v>0</v>
      </c>
      <c r="S45" s="1"/>
      <c r="T45" s="1">
        <f>SUM(OSRRefT22_5x_0)</f>
        <v>51599.58</v>
      </c>
      <c r="U45" s="1"/>
      <c r="V45" s="5">
        <f t="shared" si="21"/>
        <v>0</v>
      </c>
      <c r="W45" s="1"/>
      <c r="X45" s="1">
        <f t="shared" si="22"/>
        <v>-7194.760000000002</v>
      </c>
      <c r="Y45" s="1"/>
      <c r="Z45" s="5">
        <f t="shared" si="23"/>
        <v>-0.13943446826505179</v>
      </c>
    </row>
    <row r="46" spans="1:26" s="24" customFormat="1" hidden="1" outlineLevel="2" x14ac:dyDescent="0.2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7139.05</v>
      </c>
      <c r="E46" s="2"/>
      <c r="F46" s="6">
        <f t="shared" si="16"/>
        <v>0</v>
      </c>
      <c r="G46" s="2"/>
      <c r="H46" s="7">
        <v>8599.93</v>
      </c>
      <c r="I46" s="2"/>
      <c r="J46" s="6">
        <f t="shared" si="17"/>
        <v>0</v>
      </c>
      <c r="K46" s="2"/>
      <c r="L46" s="7">
        <f t="shared" si="18"/>
        <v>-1460.88</v>
      </c>
      <c r="M46" s="2"/>
      <c r="N46" s="6">
        <f t="shared" si="19"/>
        <v>-0.16987115011401258</v>
      </c>
      <c r="O46" s="11"/>
      <c r="P46" s="7">
        <v>44404.82</v>
      </c>
      <c r="Q46" s="2"/>
      <c r="R46" s="6">
        <f t="shared" si="20"/>
        <v>0</v>
      </c>
      <c r="S46" s="2"/>
      <c r="T46" s="7">
        <v>51599.58</v>
      </c>
      <c r="U46" s="2"/>
      <c r="V46" s="6">
        <f t="shared" si="21"/>
        <v>0</v>
      </c>
      <c r="W46" s="2"/>
      <c r="X46" s="7">
        <f t="shared" si="22"/>
        <v>-7194.760000000002</v>
      </c>
      <c r="Y46" s="2"/>
      <c r="Z46" s="6">
        <f t="shared" si="23"/>
        <v>-0.13943446826505179</v>
      </c>
    </row>
    <row r="47" spans="1:26" s="25" customFormat="1" outlineLevel="1" collapsed="1" x14ac:dyDescent="0.25">
      <c r="A47" s="26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SUM(OSRRefD22_6x_0)</f>
        <v>0</v>
      </c>
      <c r="E47" s="1"/>
      <c r="F47" s="5">
        <f t="shared" si="16"/>
        <v>0</v>
      </c>
      <c r="G47" s="1"/>
      <c r="H47" s="1">
        <f>SUM(OSRRefH22_6x_0)</f>
        <v>2.21</v>
      </c>
      <c r="I47" s="1"/>
      <c r="J47" s="5">
        <f t="shared" si="17"/>
        <v>0</v>
      </c>
      <c r="K47" s="1"/>
      <c r="L47" s="1">
        <f t="shared" si="18"/>
        <v>-2.21</v>
      </c>
      <c r="M47" s="1"/>
      <c r="N47" s="5">
        <f t="shared" si="19"/>
        <v>-1</v>
      </c>
      <c r="O47" s="13"/>
      <c r="P47" s="1">
        <f>SUM(OSRRefP22_6x_0)</f>
        <v>25000</v>
      </c>
      <c r="Q47" s="1"/>
      <c r="R47" s="5">
        <f t="shared" si="20"/>
        <v>0</v>
      </c>
      <c r="S47" s="1"/>
      <c r="T47" s="1">
        <f>SUM(OSRRefT22_6x_0)</f>
        <v>243145</v>
      </c>
      <c r="U47" s="1"/>
      <c r="V47" s="5">
        <f t="shared" si="21"/>
        <v>0</v>
      </c>
      <c r="W47" s="1"/>
      <c r="X47" s="1">
        <f t="shared" si="22"/>
        <v>-218145</v>
      </c>
      <c r="Y47" s="1"/>
      <c r="Z47" s="5">
        <f t="shared" si="23"/>
        <v>-0.89718069464722694</v>
      </c>
    </row>
    <row r="48" spans="1:26" s="24" customFormat="1" hidden="1" outlineLevel="2" x14ac:dyDescent="0.25">
      <c r="A48" s="27"/>
      <c r="B48" s="11" t="str">
        <f>CONCATENATE("          ", "6399", " - ", "DONATION-ON CAMPUS")</f>
        <v xml:space="preserve">          6399 - DONATION-ON CAMPUS</v>
      </c>
      <c r="C48" s="11"/>
      <c r="D48" s="7"/>
      <c r="E48" s="2"/>
      <c r="F48" s="6">
        <f t="shared" si="16"/>
        <v>0</v>
      </c>
      <c r="G48" s="2"/>
      <c r="H48" s="7">
        <v>2.21</v>
      </c>
      <c r="I48" s="2"/>
      <c r="J48" s="6">
        <f t="shared" si="17"/>
        <v>0</v>
      </c>
      <c r="K48" s="2"/>
      <c r="L48" s="7">
        <f t="shared" si="18"/>
        <v>-2.21</v>
      </c>
      <c r="M48" s="2"/>
      <c r="N48" s="6">
        <f t="shared" si="19"/>
        <v>-1</v>
      </c>
      <c r="O48" s="11"/>
      <c r="P48" s="7">
        <v>25000</v>
      </c>
      <c r="Q48" s="2"/>
      <c r="R48" s="6">
        <f t="shared" si="20"/>
        <v>0</v>
      </c>
      <c r="S48" s="2"/>
      <c r="T48" s="7">
        <v>243145</v>
      </c>
      <c r="U48" s="2"/>
      <c r="V48" s="6">
        <f t="shared" si="21"/>
        <v>0</v>
      </c>
      <c r="W48" s="2"/>
      <c r="X48" s="7">
        <f t="shared" si="22"/>
        <v>-218145</v>
      </c>
      <c r="Y48" s="2"/>
      <c r="Z48" s="6">
        <f t="shared" si="23"/>
        <v>-0.89718069464722694</v>
      </c>
    </row>
    <row r="49" spans="1:26" s="25" customFormat="1" outlineLevel="1" collapsed="1" x14ac:dyDescent="0.25">
      <c r="A49" s="26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SUM(OSRRefD22_7x_0)</f>
        <v>0</v>
      </c>
      <c r="E49" s="1"/>
      <c r="F49" s="5">
        <f t="shared" si="16"/>
        <v>0</v>
      </c>
      <c r="G49" s="1"/>
      <c r="H49" s="1">
        <f>SUM(OSRRefH22_7x_0)</f>
        <v>12678.74</v>
      </c>
      <c r="I49" s="1"/>
      <c r="J49" s="5">
        <f t="shared" si="17"/>
        <v>0</v>
      </c>
      <c r="K49" s="1"/>
      <c r="L49" s="1">
        <f t="shared" si="18"/>
        <v>-12678.74</v>
      </c>
      <c r="M49" s="1"/>
      <c r="N49" s="5">
        <f t="shared" si="19"/>
        <v>-1</v>
      </c>
      <c r="O49" s="13"/>
      <c r="P49" s="1">
        <f>SUM(OSRRefP22_7x_0)</f>
        <v>81.56</v>
      </c>
      <c r="Q49" s="1"/>
      <c r="R49" s="5">
        <f t="shared" si="20"/>
        <v>0</v>
      </c>
      <c r="S49" s="1"/>
      <c r="T49" s="1">
        <f>SUM(OSRRefT22_7x_0)</f>
        <v>24837.86</v>
      </c>
      <c r="U49" s="1"/>
      <c r="V49" s="5">
        <f t="shared" si="21"/>
        <v>0</v>
      </c>
      <c r="W49" s="1"/>
      <c r="X49" s="1">
        <f t="shared" si="22"/>
        <v>-24756.3</v>
      </c>
      <c r="Y49" s="1"/>
      <c r="Z49" s="5">
        <f t="shared" si="23"/>
        <v>-0.9967163032563997</v>
      </c>
    </row>
    <row r="50" spans="1:26" s="24" customFormat="1" hidden="1" outlineLevel="2" x14ac:dyDescent="0.25">
      <c r="A50" s="27"/>
      <c r="B50" s="11" t="str">
        <f>CONCATENATE("          ", "6277", " - ", "EMPLOYEE APPRECIATION")</f>
        <v xml:space="preserve">          6277 - EMPLOYEE APPRECIATION</v>
      </c>
      <c r="C50" s="11"/>
      <c r="D50" s="7"/>
      <c r="E50" s="2"/>
      <c r="F50" s="6">
        <f t="shared" si="16"/>
        <v>0</v>
      </c>
      <c r="G50" s="2"/>
      <c r="H50" s="7">
        <v>12678.74</v>
      </c>
      <c r="I50" s="2"/>
      <c r="J50" s="6">
        <f t="shared" si="17"/>
        <v>0</v>
      </c>
      <c r="K50" s="2"/>
      <c r="L50" s="7">
        <f t="shared" si="18"/>
        <v>-12678.74</v>
      </c>
      <c r="M50" s="2"/>
      <c r="N50" s="6">
        <f t="shared" si="19"/>
        <v>-1</v>
      </c>
      <c r="O50" s="11"/>
      <c r="P50" s="7">
        <v>81.56</v>
      </c>
      <c r="Q50" s="2"/>
      <c r="R50" s="6">
        <f t="shared" si="20"/>
        <v>0</v>
      </c>
      <c r="S50" s="2"/>
      <c r="T50" s="7">
        <v>24837.86</v>
      </c>
      <c r="U50" s="2"/>
      <c r="V50" s="6">
        <f t="shared" si="21"/>
        <v>0</v>
      </c>
      <c r="W50" s="2"/>
      <c r="X50" s="7">
        <f t="shared" si="22"/>
        <v>-24756.3</v>
      </c>
      <c r="Y50" s="2"/>
      <c r="Z50" s="6">
        <f t="shared" si="23"/>
        <v>-0.9967163032563997</v>
      </c>
    </row>
    <row r="51" spans="1:26" s="25" customFormat="1" outlineLevel="1" collapsed="1" x14ac:dyDescent="0.25">
      <c r="A51" s="26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SUM(OSRRefD22_8x_0)</f>
        <v>208.97</v>
      </c>
      <c r="E51" s="1"/>
      <c r="F51" s="5">
        <f t="shared" si="16"/>
        <v>0</v>
      </c>
      <c r="G51" s="1"/>
      <c r="H51" s="1">
        <f>SUM(OSRRefH22_8x_0)</f>
        <v>0</v>
      </c>
      <c r="I51" s="1"/>
      <c r="J51" s="5">
        <f t="shared" si="17"/>
        <v>0</v>
      </c>
      <c r="K51" s="1"/>
      <c r="L51" s="1">
        <f t="shared" si="18"/>
        <v>208.97</v>
      </c>
      <c r="M51" s="1"/>
      <c r="N51" s="5">
        <f t="shared" si="19"/>
        <v>0</v>
      </c>
      <c r="O51" s="13"/>
      <c r="P51" s="1">
        <f>SUM(OSRRefP22_8x_0)</f>
        <v>1253.82</v>
      </c>
      <c r="Q51" s="1"/>
      <c r="R51" s="5">
        <f t="shared" si="20"/>
        <v>0</v>
      </c>
      <c r="S51" s="1"/>
      <c r="T51" s="1">
        <f>SUM(OSRRefT22_8x_0)</f>
        <v>1527.66</v>
      </c>
      <c r="U51" s="1"/>
      <c r="V51" s="5">
        <f t="shared" si="21"/>
        <v>0</v>
      </c>
      <c r="W51" s="1"/>
      <c r="X51" s="1">
        <f t="shared" si="22"/>
        <v>-273.84000000000015</v>
      </c>
      <c r="Y51" s="1"/>
      <c r="Z51" s="5">
        <f t="shared" si="23"/>
        <v>-0.17925454616865019</v>
      </c>
    </row>
    <row r="52" spans="1:26" s="24" customFormat="1" hidden="1" outlineLevel="2" x14ac:dyDescent="0.25">
      <c r="A52" s="27"/>
      <c r="B52" s="11" t="str">
        <f>CONCATENATE("          ", "6351", " - ", "EQUIPMENT RENTAL")</f>
        <v xml:space="preserve">          6351 - EQUIPMENT RENTAL</v>
      </c>
      <c r="C52" s="11"/>
      <c r="D52" s="7">
        <v>208.97</v>
      </c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208.97</v>
      </c>
      <c r="M52" s="2"/>
      <c r="N52" s="6">
        <f t="shared" si="19"/>
        <v>0</v>
      </c>
      <c r="O52" s="11"/>
      <c r="P52" s="7">
        <v>1253.82</v>
      </c>
      <c r="Q52" s="2"/>
      <c r="R52" s="6">
        <f t="shared" si="20"/>
        <v>0</v>
      </c>
      <c r="S52" s="2"/>
      <c r="T52" s="7">
        <v>1527.66</v>
      </c>
      <c r="U52" s="2"/>
      <c r="V52" s="6">
        <f t="shared" si="21"/>
        <v>0</v>
      </c>
      <c r="W52" s="2"/>
      <c r="X52" s="7">
        <f t="shared" si="22"/>
        <v>-273.84000000000015</v>
      </c>
      <c r="Y52" s="2"/>
      <c r="Z52" s="6">
        <f t="shared" si="23"/>
        <v>-0.17925454616865019</v>
      </c>
    </row>
    <row r="53" spans="1:26" s="25" customFormat="1" outlineLevel="1" collapsed="1" x14ac:dyDescent="0.25">
      <c r="A53" s="26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SUM(OSRRefD22_9x_0)</f>
        <v>97.5</v>
      </c>
      <c r="E53" s="1"/>
      <c r="F53" s="5">
        <f t="shared" si="16"/>
        <v>0</v>
      </c>
      <c r="G53" s="1"/>
      <c r="H53" s="1">
        <f>SUM(OSRRefH22_9x_0)</f>
        <v>206.9</v>
      </c>
      <c r="I53" s="1"/>
      <c r="J53" s="5">
        <f t="shared" si="17"/>
        <v>0</v>
      </c>
      <c r="K53" s="1"/>
      <c r="L53" s="1">
        <f t="shared" si="18"/>
        <v>-109.4</v>
      </c>
      <c r="M53" s="1"/>
      <c r="N53" s="5">
        <f t="shared" si="19"/>
        <v>-0.52875785403576603</v>
      </c>
      <c r="O53" s="13"/>
      <c r="P53" s="1">
        <f>SUM(OSRRefP22_9x_0)</f>
        <v>781.17</v>
      </c>
      <c r="Q53" s="1"/>
      <c r="R53" s="5">
        <f t="shared" si="20"/>
        <v>0</v>
      </c>
      <c r="S53" s="1"/>
      <c r="T53" s="1">
        <f>SUM(OSRRefT22_9x_0)</f>
        <v>1164.9000000000001</v>
      </c>
      <c r="U53" s="1"/>
      <c r="V53" s="5">
        <f t="shared" si="21"/>
        <v>0</v>
      </c>
      <c r="W53" s="1"/>
      <c r="X53" s="1">
        <f t="shared" si="22"/>
        <v>-383.73000000000013</v>
      </c>
      <c r="Y53" s="1"/>
      <c r="Z53" s="5">
        <f t="shared" si="23"/>
        <v>-0.32941024980685046</v>
      </c>
    </row>
    <row r="54" spans="1:26" s="24" customFormat="1" hidden="1" outlineLevel="2" x14ac:dyDescent="0.25">
      <c r="A54" s="27"/>
      <c r="B54" s="11" t="str">
        <f>CONCATENATE("          ", "6305", " - ", "FREIGHT OUT")</f>
        <v xml:space="preserve">          6305 - FREIGHT OUT</v>
      </c>
      <c r="C54" s="11"/>
      <c r="D54" s="7"/>
      <c r="E54" s="2"/>
      <c r="F54" s="6">
        <f t="shared" si="16"/>
        <v>0</v>
      </c>
      <c r="G54" s="2"/>
      <c r="H54" s="7"/>
      <c r="I54" s="2"/>
      <c r="J54" s="6">
        <f t="shared" si="17"/>
        <v>0</v>
      </c>
      <c r="K54" s="2"/>
      <c r="L54" s="7">
        <f t="shared" si="18"/>
        <v>0</v>
      </c>
      <c r="M54" s="2"/>
      <c r="N54" s="6">
        <f t="shared" si="19"/>
        <v>0</v>
      </c>
      <c r="O54" s="11"/>
      <c r="P54" s="7">
        <v>5.41</v>
      </c>
      <c r="Q54" s="2"/>
      <c r="R54" s="6">
        <f t="shared" si="20"/>
        <v>0</v>
      </c>
      <c r="S54" s="2"/>
      <c r="T54" s="7"/>
      <c r="U54" s="2"/>
      <c r="V54" s="6">
        <f t="shared" si="21"/>
        <v>0</v>
      </c>
      <c r="W54" s="2"/>
      <c r="X54" s="7">
        <f t="shared" si="22"/>
        <v>5.41</v>
      </c>
      <c r="Y54" s="2"/>
      <c r="Z54" s="6">
        <f t="shared" si="23"/>
        <v>0</v>
      </c>
    </row>
    <row r="55" spans="1:26" s="24" customFormat="1" hidden="1" outlineLevel="2" x14ac:dyDescent="0.25">
      <c r="A55" s="27"/>
      <c r="B55" s="11" t="str">
        <f>CONCATENATE("          ", "6307", " - ", "POSTAGE")</f>
        <v xml:space="preserve">          6307 - POSTAGE</v>
      </c>
      <c r="C55" s="11"/>
      <c r="D55" s="7">
        <v>97.5</v>
      </c>
      <c r="E55" s="2"/>
      <c r="F55" s="6">
        <f t="shared" si="16"/>
        <v>0</v>
      </c>
      <c r="G55" s="2"/>
      <c r="H55" s="7">
        <v>206.9</v>
      </c>
      <c r="I55" s="2"/>
      <c r="J55" s="6">
        <f t="shared" si="17"/>
        <v>0</v>
      </c>
      <c r="K55" s="2"/>
      <c r="L55" s="7">
        <f t="shared" si="18"/>
        <v>-109.4</v>
      </c>
      <c r="M55" s="2"/>
      <c r="N55" s="6">
        <f t="shared" si="19"/>
        <v>-0.52875785403576603</v>
      </c>
      <c r="O55" s="11"/>
      <c r="P55" s="7">
        <v>775.76</v>
      </c>
      <c r="Q55" s="2"/>
      <c r="R55" s="6">
        <f t="shared" si="20"/>
        <v>0</v>
      </c>
      <c r="S55" s="2"/>
      <c r="T55" s="7">
        <v>1164.9000000000001</v>
      </c>
      <c r="U55" s="2"/>
      <c r="V55" s="6">
        <f t="shared" si="21"/>
        <v>0</v>
      </c>
      <c r="W55" s="2"/>
      <c r="X55" s="7">
        <f t="shared" si="22"/>
        <v>-389.1400000000001</v>
      </c>
      <c r="Y55" s="2"/>
      <c r="Z55" s="6">
        <f t="shared" si="23"/>
        <v>-0.33405442527255563</v>
      </c>
    </row>
    <row r="56" spans="1:26" s="25" customFormat="1" outlineLevel="1" collapsed="1" x14ac:dyDescent="0.25">
      <c r="A56" s="26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0</v>
      </c>
      <c r="E56" s="1"/>
      <c r="F56" s="5">
        <f t="shared" ref="F56:F64" si="24">IF(D$12=0,0,D56/D$12)</f>
        <v>0</v>
      </c>
      <c r="G56" s="1"/>
      <c r="H56" s="1">
        <f>SUM(OSRRefH22_10x_0)</f>
        <v>64.08</v>
      </c>
      <c r="I56" s="1"/>
      <c r="J56" s="5">
        <f t="shared" ref="J56:J64" si="25">IF(H$12=0,0,H56/H$12)</f>
        <v>0</v>
      </c>
      <c r="K56" s="1"/>
      <c r="L56" s="1">
        <f t="shared" ref="L56:L64" si="26">+D56-H56</f>
        <v>-64.08</v>
      </c>
      <c r="M56" s="1"/>
      <c r="N56" s="5">
        <f t="shared" ref="N56:N64" si="27">IF(H56=0,0,L56/H56)</f>
        <v>-1</v>
      </c>
      <c r="O56" s="13"/>
      <c r="P56" s="1">
        <f>SUM(OSRRefP22_10x_0)</f>
        <v>166.54</v>
      </c>
      <c r="Q56" s="1"/>
      <c r="R56" s="5">
        <f t="shared" ref="R56:R64" si="28">IF(P$12=0,0,P56/P$12)</f>
        <v>0</v>
      </c>
      <c r="S56" s="1"/>
      <c r="T56" s="1">
        <f>SUM(OSRRefT22_10x_0)</f>
        <v>12635.43</v>
      </c>
      <c r="U56" s="1"/>
      <c r="V56" s="5">
        <f t="shared" ref="V56:V64" si="29">IF(T$12=0,0,T56/T$12)</f>
        <v>0</v>
      </c>
      <c r="W56" s="1"/>
      <c r="X56" s="1">
        <f t="shared" ref="X56:X64" si="30">+P56-T56</f>
        <v>-12468.89</v>
      </c>
      <c r="Y56" s="1"/>
      <c r="Z56" s="5">
        <f t="shared" ref="Z56:Z64" si="31">IF(T56=0,0,X56/T56)</f>
        <v>-0.98681960170726279</v>
      </c>
    </row>
    <row r="57" spans="1:26" s="24" customFormat="1" hidden="1" outlineLevel="2" x14ac:dyDescent="0.25">
      <c r="A57" s="27"/>
      <c r="B57" s="11" t="str">
        <f>CONCATENATE("          ", "6279", " - ", "GENERAL EXPENSE")</f>
        <v xml:space="preserve">          6279 - GENERAL EXPENSE</v>
      </c>
      <c r="C57" s="11"/>
      <c r="D57" s="7"/>
      <c r="E57" s="2"/>
      <c r="F57" s="6">
        <f t="shared" si="24"/>
        <v>0</v>
      </c>
      <c r="G57" s="2"/>
      <c r="H57" s="7">
        <v>64.08</v>
      </c>
      <c r="I57" s="2"/>
      <c r="J57" s="6">
        <f t="shared" si="25"/>
        <v>0</v>
      </c>
      <c r="K57" s="2"/>
      <c r="L57" s="7">
        <f t="shared" si="26"/>
        <v>-64.08</v>
      </c>
      <c r="M57" s="2"/>
      <c r="N57" s="6">
        <f t="shared" si="27"/>
        <v>-1</v>
      </c>
      <c r="O57" s="11"/>
      <c r="P57" s="7">
        <v>166.54</v>
      </c>
      <c r="Q57" s="2"/>
      <c r="R57" s="6">
        <f t="shared" si="28"/>
        <v>0</v>
      </c>
      <c r="S57" s="2"/>
      <c r="T57" s="7">
        <v>12635.43</v>
      </c>
      <c r="U57" s="2"/>
      <c r="V57" s="6">
        <f t="shared" si="29"/>
        <v>0</v>
      </c>
      <c r="W57" s="2"/>
      <c r="X57" s="7">
        <f t="shared" si="30"/>
        <v>-12468.89</v>
      </c>
      <c r="Y57" s="2"/>
      <c r="Z57" s="6">
        <f t="shared" si="31"/>
        <v>-0.98681960170726279</v>
      </c>
    </row>
    <row r="58" spans="1:26" s="25" customFormat="1" outlineLevel="1" collapsed="1" x14ac:dyDescent="0.25">
      <c r="A58" s="26"/>
      <c r="B58" s="13" t="str">
        <f>CONCATENATE("     ","Insurance                                         ")</f>
        <v xml:space="preserve">     Insurance                                         </v>
      </c>
      <c r="C58" s="13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393.67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3"/>
      <c r="P58" s="1">
        <f>SUM(OSRRefP22_11x_0)</f>
        <v>2362.02</v>
      </c>
      <c r="Q58" s="1"/>
      <c r="R58" s="5">
        <f t="shared" si="28"/>
        <v>0</v>
      </c>
      <c r="S58" s="1"/>
      <c r="T58" s="1">
        <f>SUM(OSRRefT22_11x_0)</f>
        <v>2362.02</v>
      </c>
      <c r="U58" s="1"/>
      <c r="V58" s="5">
        <f t="shared" si="29"/>
        <v>0</v>
      </c>
      <c r="W58" s="1"/>
      <c r="X58" s="1">
        <f t="shared" si="30"/>
        <v>0</v>
      </c>
      <c r="Y58" s="1"/>
      <c r="Z58" s="5">
        <f t="shared" si="31"/>
        <v>0</v>
      </c>
    </row>
    <row r="59" spans="1:26" s="24" customFormat="1" hidden="1" outlineLevel="2" x14ac:dyDescent="0.25">
      <c r="A59" s="27"/>
      <c r="B59" s="11" t="str">
        <f>CONCATENATE("          ", "6314", " - ", "LIABILITY INSURANCE")</f>
        <v xml:space="preserve">          6314 - LIABILITY INSURANCE</v>
      </c>
      <c r="C59" s="11"/>
      <c r="D59" s="7">
        <v>393.67</v>
      </c>
      <c r="E59" s="2"/>
      <c r="F59" s="6">
        <f t="shared" si="24"/>
        <v>0</v>
      </c>
      <c r="G59" s="2"/>
      <c r="H59" s="7">
        <v>393.67</v>
      </c>
      <c r="I59" s="2"/>
      <c r="J59" s="6">
        <f t="shared" si="25"/>
        <v>0</v>
      </c>
      <c r="K59" s="2"/>
      <c r="L59" s="7">
        <f t="shared" si="26"/>
        <v>0</v>
      </c>
      <c r="M59" s="2"/>
      <c r="N59" s="6">
        <f t="shared" si="27"/>
        <v>0</v>
      </c>
      <c r="O59" s="11"/>
      <c r="P59" s="7">
        <v>2362.02</v>
      </c>
      <c r="Q59" s="2"/>
      <c r="R59" s="6">
        <f t="shared" si="28"/>
        <v>0</v>
      </c>
      <c r="S59" s="2"/>
      <c r="T59" s="7">
        <v>2362.02</v>
      </c>
      <c r="U59" s="2"/>
      <c r="V59" s="6">
        <f t="shared" si="29"/>
        <v>0</v>
      </c>
      <c r="W59" s="2"/>
      <c r="X59" s="7">
        <f t="shared" si="30"/>
        <v>0</v>
      </c>
      <c r="Y59" s="2"/>
      <c r="Z59" s="6">
        <f t="shared" si="31"/>
        <v>0</v>
      </c>
    </row>
    <row r="60" spans="1:26" s="25" customFormat="1" outlineLevel="1" collapsed="1" x14ac:dyDescent="0.25">
      <c r="A60" s="26"/>
      <c r="B60" s="13" t="str">
        <f>CONCATENATE("     ","Professional Services                             ")</f>
        <v xml:space="preserve">     Professional Services                             </v>
      </c>
      <c r="C60" s="13"/>
      <c r="D60" s="1">
        <f>SUM(OSRRefD22_12x_0)</f>
        <v>13804.86</v>
      </c>
      <c r="E60" s="1"/>
      <c r="F60" s="5">
        <f t="shared" si="24"/>
        <v>0</v>
      </c>
      <c r="G60" s="1"/>
      <c r="H60" s="1">
        <f>SUM(OSRRefH22_12x_0)</f>
        <v>245.95</v>
      </c>
      <c r="I60" s="1"/>
      <c r="J60" s="5">
        <f t="shared" si="25"/>
        <v>0</v>
      </c>
      <c r="K60" s="1"/>
      <c r="L60" s="1">
        <f t="shared" si="26"/>
        <v>13558.91</v>
      </c>
      <c r="M60" s="1"/>
      <c r="N60" s="5">
        <f t="shared" si="27"/>
        <v>55.128725350681037</v>
      </c>
      <c r="O60" s="13"/>
      <c r="P60" s="1">
        <f>SUM(OSRRefP22_12x_0)</f>
        <v>78693.320000000007</v>
      </c>
      <c r="Q60" s="1"/>
      <c r="R60" s="5">
        <f t="shared" si="28"/>
        <v>0</v>
      </c>
      <c r="S60" s="1"/>
      <c r="T60" s="1">
        <f>SUM(OSRRefT22_12x_0)</f>
        <v>144037.78</v>
      </c>
      <c r="U60" s="1"/>
      <c r="V60" s="5">
        <f t="shared" si="29"/>
        <v>0</v>
      </c>
      <c r="W60" s="1"/>
      <c r="X60" s="1">
        <f t="shared" si="30"/>
        <v>-65344.459999999992</v>
      </c>
      <c r="Y60" s="1"/>
      <c r="Z60" s="5">
        <f t="shared" si="31"/>
        <v>-0.4536619489692218</v>
      </c>
    </row>
    <row r="61" spans="1:26" s="24" customFormat="1" hidden="1" outlineLevel="2" x14ac:dyDescent="0.25">
      <c r="A61" s="27"/>
      <c r="B61" s="11" t="str">
        <f>CONCATENATE("          ", "6331", " - ", "INDIRECT COSTS-AUXILIARY ORGAN")</f>
        <v xml:space="preserve">          6331 - INDIRECT COSTS-AUXILIARY ORGAN</v>
      </c>
      <c r="C61" s="11"/>
      <c r="D61" s="7">
        <v>12850</v>
      </c>
      <c r="E61" s="2"/>
      <c r="F61" s="6">
        <f t="shared" si="24"/>
        <v>0</v>
      </c>
      <c r="G61" s="2"/>
      <c r="H61" s="7"/>
      <c r="I61" s="2"/>
      <c r="J61" s="6">
        <f t="shared" si="25"/>
        <v>0</v>
      </c>
      <c r="K61" s="2"/>
      <c r="L61" s="7">
        <f t="shared" si="26"/>
        <v>12850</v>
      </c>
      <c r="M61" s="2"/>
      <c r="N61" s="6">
        <f t="shared" si="27"/>
        <v>0</v>
      </c>
      <c r="O61" s="11"/>
      <c r="P61" s="7">
        <v>69246.5</v>
      </c>
      <c r="Q61" s="2"/>
      <c r="R61" s="6">
        <f t="shared" si="28"/>
        <v>0</v>
      </c>
      <c r="S61" s="2"/>
      <c r="T61" s="7">
        <v>68749</v>
      </c>
      <c r="U61" s="2"/>
      <c r="V61" s="6">
        <f t="shared" si="29"/>
        <v>0</v>
      </c>
      <c r="W61" s="2"/>
      <c r="X61" s="7">
        <f t="shared" si="30"/>
        <v>497.5</v>
      </c>
      <c r="Y61" s="2"/>
      <c r="Z61" s="6">
        <f t="shared" si="31"/>
        <v>7.2364688940930047E-3</v>
      </c>
    </row>
    <row r="62" spans="1:26" s="24" customFormat="1" hidden="1" outlineLevel="2" x14ac:dyDescent="0.25">
      <c r="A62" s="27"/>
      <c r="B62" s="11" t="str">
        <f>CONCATENATE("          ", "6332", " - ", "CONSULTANT FEES")</f>
        <v xml:space="preserve">          6332 - CONSULTANT FEES</v>
      </c>
      <c r="C62" s="11"/>
      <c r="D62" s="7"/>
      <c r="E62" s="2"/>
      <c r="F62" s="6">
        <f t="shared" si="24"/>
        <v>0</v>
      </c>
      <c r="G62" s="2"/>
      <c r="H62" s="7"/>
      <c r="I62" s="2"/>
      <c r="J62" s="6">
        <f t="shared" si="25"/>
        <v>0</v>
      </c>
      <c r="K62" s="2"/>
      <c r="L62" s="7">
        <f t="shared" si="26"/>
        <v>0</v>
      </c>
      <c r="M62" s="2"/>
      <c r="N62" s="6">
        <f t="shared" si="27"/>
        <v>0</v>
      </c>
      <c r="O62" s="11"/>
      <c r="P62" s="7"/>
      <c r="Q62" s="2"/>
      <c r="R62" s="6">
        <f t="shared" si="28"/>
        <v>0</v>
      </c>
      <c r="S62" s="2"/>
      <c r="T62" s="7">
        <v>15144.74</v>
      </c>
      <c r="U62" s="2"/>
      <c r="V62" s="6">
        <f t="shared" si="29"/>
        <v>0</v>
      </c>
      <c r="W62" s="2"/>
      <c r="X62" s="7">
        <f t="shared" si="30"/>
        <v>-15144.74</v>
      </c>
      <c r="Y62" s="2"/>
      <c r="Z62" s="6">
        <f t="shared" si="31"/>
        <v>-1</v>
      </c>
    </row>
    <row r="63" spans="1:26" s="24" customFormat="1" hidden="1" outlineLevel="2" x14ac:dyDescent="0.25">
      <c r="A63" s="27"/>
      <c r="B63" s="11" t="str">
        <f>CONCATENATE("          ", "6334", " - ", "LEGAL COUNCIL EXPENSE")</f>
        <v xml:space="preserve">          6334 - LEGAL COUNCIL EXPENSE</v>
      </c>
      <c r="C63" s="11"/>
      <c r="D63" s="7">
        <v>954.86</v>
      </c>
      <c r="E63" s="2"/>
      <c r="F63" s="6">
        <f t="shared" si="24"/>
        <v>0</v>
      </c>
      <c r="G63" s="2"/>
      <c r="H63" s="7">
        <v>100</v>
      </c>
      <c r="I63" s="2"/>
      <c r="J63" s="6">
        <f t="shared" si="25"/>
        <v>0</v>
      </c>
      <c r="K63" s="2"/>
      <c r="L63" s="7">
        <f t="shared" si="26"/>
        <v>854.86</v>
      </c>
      <c r="M63" s="2"/>
      <c r="N63" s="6">
        <f t="shared" si="27"/>
        <v>8.5486000000000004</v>
      </c>
      <c r="O63" s="11"/>
      <c r="P63" s="7">
        <v>5029.24</v>
      </c>
      <c r="Q63" s="2"/>
      <c r="R63" s="6">
        <f t="shared" si="28"/>
        <v>0</v>
      </c>
      <c r="S63" s="2"/>
      <c r="T63" s="7">
        <v>38300</v>
      </c>
      <c r="U63" s="2"/>
      <c r="V63" s="6">
        <f t="shared" si="29"/>
        <v>0</v>
      </c>
      <c r="W63" s="2"/>
      <c r="X63" s="7">
        <f t="shared" si="30"/>
        <v>-33270.76</v>
      </c>
      <c r="Y63" s="2"/>
      <c r="Z63" s="6">
        <f t="shared" si="31"/>
        <v>-0.86868825065274158</v>
      </c>
    </row>
    <row r="64" spans="1:26" s="24" customFormat="1" hidden="1" outlineLevel="2" x14ac:dyDescent="0.25">
      <c r="A64" s="27"/>
      <c r="B64" s="11" t="str">
        <f>CONCATENATE("          ", "6336", " - ", "PROFESSIONAL SERVICES")</f>
        <v xml:space="preserve">          6336 - PROFESSIONAL SERVICES</v>
      </c>
      <c r="C64" s="11"/>
      <c r="D64" s="7"/>
      <c r="E64" s="2"/>
      <c r="F64" s="6">
        <f t="shared" si="24"/>
        <v>0</v>
      </c>
      <c r="G64" s="2"/>
      <c r="H64" s="7">
        <v>145.94999999999999</v>
      </c>
      <c r="I64" s="2"/>
      <c r="J64" s="6">
        <f t="shared" si="25"/>
        <v>0</v>
      </c>
      <c r="K64" s="2"/>
      <c r="L64" s="7">
        <f t="shared" si="26"/>
        <v>-145.94999999999999</v>
      </c>
      <c r="M64" s="2"/>
      <c r="N64" s="6">
        <f t="shared" si="27"/>
        <v>-1</v>
      </c>
      <c r="O64" s="11"/>
      <c r="P64" s="7">
        <v>4417.58</v>
      </c>
      <c r="Q64" s="2"/>
      <c r="R64" s="6">
        <f t="shared" si="28"/>
        <v>0</v>
      </c>
      <c r="S64" s="2"/>
      <c r="T64" s="7">
        <v>21844.04</v>
      </c>
      <c r="U64" s="2"/>
      <c r="V64" s="6">
        <f t="shared" si="29"/>
        <v>0</v>
      </c>
      <c r="W64" s="2"/>
      <c r="X64" s="7">
        <f t="shared" si="30"/>
        <v>-17426.46</v>
      </c>
      <c r="Y64" s="2"/>
      <c r="Z64" s="6">
        <f t="shared" si="31"/>
        <v>-0.79776726283233312</v>
      </c>
    </row>
    <row r="65" spans="1:26" s="25" customFormat="1" outlineLevel="1" collapsed="1" x14ac:dyDescent="0.25">
      <c r="A65" s="26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SUM(OSRRefD22_13x_0)</f>
        <v>17905.829999999998</v>
      </c>
      <c r="E65" s="1"/>
      <c r="F65" s="5">
        <f t="shared" ref="F65:F68" si="32">IF(D$12=0,0,D65/D$12)</f>
        <v>0</v>
      </c>
      <c r="G65" s="1"/>
      <c r="H65" s="1">
        <f>SUM(OSRRefH22_13x_0)</f>
        <v>28869.850000000002</v>
      </c>
      <c r="I65" s="1"/>
      <c r="J65" s="5">
        <f t="shared" ref="J65:J68" si="33">IF(H$12=0,0,H65/H$12)</f>
        <v>0</v>
      </c>
      <c r="K65" s="1"/>
      <c r="L65" s="1">
        <f t="shared" ref="L65:L68" si="34">+D65-H65</f>
        <v>-10964.020000000004</v>
      </c>
      <c r="M65" s="1"/>
      <c r="N65" s="5">
        <f t="shared" ref="N65:N68" si="35">IF(H65=0,0,L65/H65)</f>
        <v>-0.37977405493966898</v>
      </c>
      <c r="O65" s="13"/>
      <c r="P65" s="1">
        <f>SUM(OSRRefP22_13x_0)</f>
        <v>116821.90999999999</v>
      </c>
      <c r="Q65" s="1"/>
      <c r="R65" s="5">
        <f t="shared" ref="R65:R68" si="36">IF(P$12=0,0,P65/P$12)</f>
        <v>0</v>
      </c>
      <c r="S65" s="1"/>
      <c r="T65" s="1">
        <f>SUM(OSRRefT22_13x_0)</f>
        <v>158908.66</v>
      </c>
      <c r="U65" s="1"/>
      <c r="V65" s="5">
        <f t="shared" ref="V65:V68" si="37">IF(T$12=0,0,T65/T$12)</f>
        <v>0</v>
      </c>
      <c r="W65" s="1"/>
      <c r="X65" s="1">
        <f t="shared" ref="X65:X68" si="38">+P65-T65</f>
        <v>-42086.750000000015</v>
      </c>
      <c r="Y65" s="1"/>
      <c r="Z65" s="5">
        <f t="shared" ref="Z65:Z68" si="39">IF(T65=0,0,X65/T65)</f>
        <v>-0.26484868728991873</v>
      </c>
    </row>
    <row r="66" spans="1:26" s="24" customFormat="1" hidden="1" outlineLevel="2" x14ac:dyDescent="0.25">
      <c r="A66" s="27"/>
      <c r="B66" s="11" t="str">
        <f>CONCATENATE("          ", "6371", " - ", "COMPUTER SOFTWARE MAINTENANCE")</f>
        <v xml:space="preserve">          6371 - COMPUTER SOFTWARE MAINTENANCE</v>
      </c>
      <c r="C66" s="11"/>
      <c r="D66" s="7">
        <v>2990.93</v>
      </c>
      <c r="E66" s="2"/>
      <c r="F66" s="6">
        <f t="shared" si="32"/>
        <v>0</v>
      </c>
      <c r="G66" s="2"/>
      <c r="H66" s="7">
        <v>15170.02</v>
      </c>
      <c r="I66" s="2"/>
      <c r="J66" s="6">
        <f t="shared" si="33"/>
        <v>0</v>
      </c>
      <c r="K66" s="2"/>
      <c r="L66" s="7">
        <f t="shared" si="34"/>
        <v>-12179.09</v>
      </c>
      <c r="M66" s="2"/>
      <c r="N66" s="6">
        <f t="shared" si="35"/>
        <v>-0.80283941616425025</v>
      </c>
      <c r="O66" s="11"/>
      <c r="P66" s="7">
        <v>26193.609999999997</v>
      </c>
      <c r="Q66" s="2"/>
      <c r="R66" s="6">
        <f t="shared" si="36"/>
        <v>0</v>
      </c>
      <c r="S66" s="2"/>
      <c r="T66" s="7">
        <v>73438.89</v>
      </c>
      <c r="U66" s="2"/>
      <c r="V66" s="6">
        <f t="shared" si="37"/>
        <v>0</v>
      </c>
      <c r="W66" s="2"/>
      <c r="X66" s="7">
        <f t="shared" si="38"/>
        <v>-47245.279999999999</v>
      </c>
      <c r="Y66" s="2"/>
      <c r="Z66" s="6">
        <f t="shared" si="39"/>
        <v>-0.64332780628901121</v>
      </c>
    </row>
    <row r="67" spans="1:26" s="24" customFormat="1" hidden="1" outlineLevel="2" x14ac:dyDescent="0.25">
      <c r="A67" s="27"/>
      <c r="B67" s="11" t="str">
        <f>CONCATENATE("          ", "6373", " - ", "MAINTENANCE CONTRACTS")</f>
        <v xml:space="preserve">          6373 - MAINTENANCE CONTRACTS</v>
      </c>
      <c r="C67" s="11"/>
      <c r="D67" s="7">
        <v>14914.9</v>
      </c>
      <c r="E67" s="2"/>
      <c r="F67" s="6">
        <f t="shared" si="32"/>
        <v>0</v>
      </c>
      <c r="G67" s="2"/>
      <c r="H67" s="7">
        <v>13604.79</v>
      </c>
      <c r="I67" s="2"/>
      <c r="J67" s="6">
        <f t="shared" si="33"/>
        <v>0</v>
      </c>
      <c r="K67" s="2"/>
      <c r="L67" s="7">
        <f t="shared" si="34"/>
        <v>1310.1099999999988</v>
      </c>
      <c r="M67" s="2"/>
      <c r="N67" s="6">
        <f t="shared" si="35"/>
        <v>9.6297701030298791E-2</v>
      </c>
      <c r="O67" s="11"/>
      <c r="P67" s="7">
        <v>88458.01</v>
      </c>
      <c r="Q67" s="2"/>
      <c r="R67" s="6">
        <f t="shared" si="36"/>
        <v>0</v>
      </c>
      <c r="S67" s="2"/>
      <c r="T67" s="7">
        <v>83826.69</v>
      </c>
      <c r="U67" s="2"/>
      <c r="V67" s="6">
        <f t="shared" si="37"/>
        <v>0</v>
      </c>
      <c r="W67" s="2"/>
      <c r="X67" s="7">
        <f t="shared" si="38"/>
        <v>4631.3199999999924</v>
      </c>
      <c r="Y67" s="2"/>
      <c r="Z67" s="6">
        <f t="shared" si="39"/>
        <v>5.5248751918988953E-2</v>
      </c>
    </row>
    <row r="68" spans="1:26" s="24" customFormat="1" hidden="1" outlineLevel="2" x14ac:dyDescent="0.25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7"/>
      <c r="E68" s="2"/>
      <c r="F68" s="6">
        <f t="shared" si="32"/>
        <v>0</v>
      </c>
      <c r="G68" s="2"/>
      <c r="H68" s="7">
        <v>95.04</v>
      </c>
      <c r="I68" s="2"/>
      <c r="J68" s="6">
        <f t="shared" si="33"/>
        <v>0</v>
      </c>
      <c r="K68" s="2"/>
      <c r="L68" s="7">
        <f t="shared" si="34"/>
        <v>-95.04</v>
      </c>
      <c r="M68" s="2"/>
      <c r="N68" s="6">
        <f t="shared" si="35"/>
        <v>-1</v>
      </c>
      <c r="O68" s="11"/>
      <c r="P68" s="7">
        <v>2170.29</v>
      </c>
      <c r="Q68" s="2"/>
      <c r="R68" s="6">
        <f t="shared" si="36"/>
        <v>0</v>
      </c>
      <c r="S68" s="2"/>
      <c r="T68" s="7">
        <v>1643.08</v>
      </c>
      <c r="U68" s="2"/>
      <c r="V68" s="6">
        <f t="shared" si="37"/>
        <v>0</v>
      </c>
      <c r="W68" s="2"/>
      <c r="X68" s="7">
        <f t="shared" si="38"/>
        <v>527.21</v>
      </c>
      <c r="Y68" s="2"/>
      <c r="Z68" s="6">
        <f t="shared" si="39"/>
        <v>0.32086690848893545</v>
      </c>
    </row>
    <row r="69" spans="1:26" s="25" customFormat="1" outlineLevel="1" collapsed="1" x14ac:dyDescent="0.25">
      <c r="A69" s="26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SUM(OSRRefD22_14x_0)</f>
        <v>512.48</v>
      </c>
      <c r="E69" s="1"/>
      <c r="F69" s="5">
        <f t="shared" ref="F69:F71" si="40">IF(D$12=0,0,D69/D$12)</f>
        <v>0</v>
      </c>
      <c r="G69" s="1"/>
      <c r="H69" s="1">
        <f>SUM(OSRRefH22_14x_0)</f>
        <v>513.21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-0.73000000000001819</v>
      </c>
      <c r="M69" s="1"/>
      <c r="N69" s="5">
        <f t="shared" ref="N69:N71" si="43">IF(H69=0,0,L69/H69)</f>
        <v>-1.4224196722589547E-3</v>
      </c>
      <c r="O69" s="13"/>
      <c r="P69" s="1">
        <f>SUM(OSRRefP22_14x_0)</f>
        <v>3074.88</v>
      </c>
      <c r="Q69" s="1"/>
      <c r="R69" s="5">
        <f t="shared" ref="R69:R71" si="44">IF(P$12=0,0,P69/P$12)</f>
        <v>0</v>
      </c>
      <c r="S69" s="1"/>
      <c r="T69" s="1">
        <f>SUM(OSRRefT22_14x_0)</f>
        <v>8148.0199999999995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-5073.1399999999994</v>
      </c>
      <c r="Y69" s="1"/>
      <c r="Z69" s="5">
        <f t="shared" ref="Z69:Z71" si="47">IF(T69=0,0,X69/T69)</f>
        <v>-0.62262242851637573</v>
      </c>
    </row>
    <row r="70" spans="1:26" s="24" customFormat="1" hidden="1" outlineLevel="2" x14ac:dyDescent="0.25">
      <c r="A70" s="27"/>
      <c r="B70" s="11" t="str">
        <f>CONCATENATE("          ", "6281", " - ", "STORAGE FEE")</f>
        <v xml:space="preserve">          6281 - STORAGE FEE</v>
      </c>
      <c r="C70" s="11"/>
      <c r="D70" s="7">
        <v>512.48</v>
      </c>
      <c r="E70" s="2"/>
      <c r="F70" s="6">
        <f t="shared" si="40"/>
        <v>0</v>
      </c>
      <c r="G70" s="2"/>
      <c r="H70" s="7">
        <v>504.37</v>
      </c>
      <c r="I70" s="2"/>
      <c r="J70" s="6">
        <f t="shared" si="41"/>
        <v>0</v>
      </c>
      <c r="K70" s="2"/>
      <c r="L70" s="7">
        <f t="shared" si="42"/>
        <v>8.1100000000000136</v>
      </c>
      <c r="M70" s="2"/>
      <c r="N70" s="6">
        <f t="shared" si="43"/>
        <v>1.6079465471776699E-2</v>
      </c>
      <c r="O70" s="11"/>
      <c r="P70" s="7">
        <v>3074.88</v>
      </c>
      <c r="Q70" s="2"/>
      <c r="R70" s="6">
        <f t="shared" si="44"/>
        <v>0</v>
      </c>
      <c r="S70" s="2"/>
      <c r="T70" s="7">
        <v>8099.4</v>
      </c>
      <c r="U70" s="2"/>
      <c r="V70" s="6">
        <f t="shared" si="45"/>
        <v>0</v>
      </c>
      <c r="W70" s="2"/>
      <c r="X70" s="7">
        <f t="shared" si="46"/>
        <v>-5024.5199999999995</v>
      </c>
      <c r="Y70" s="2"/>
      <c r="Z70" s="6">
        <f t="shared" si="47"/>
        <v>-0.62035706348618413</v>
      </c>
    </row>
    <row r="71" spans="1:26" s="24" customFormat="1" hidden="1" outlineLevel="2" x14ac:dyDescent="0.25">
      <c r="A71" s="27"/>
      <c r="B71" s="11" t="str">
        <f>CONCATENATE("          ", "6286", " - ", "LAUNDRY EXPENSE")</f>
        <v xml:space="preserve">          6286 - LAUNDRY EXPENSE</v>
      </c>
      <c r="C71" s="11"/>
      <c r="D71" s="7"/>
      <c r="E71" s="2"/>
      <c r="F71" s="6">
        <f t="shared" si="40"/>
        <v>0</v>
      </c>
      <c r="G71" s="2"/>
      <c r="H71" s="7">
        <v>8.84</v>
      </c>
      <c r="I71" s="2"/>
      <c r="J71" s="6">
        <f t="shared" si="41"/>
        <v>0</v>
      </c>
      <c r="K71" s="2"/>
      <c r="L71" s="7">
        <f t="shared" si="42"/>
        <v>-8.84</v>
      </c>
      <c r="M71" s="2"/>
      <c r="N71" s="6">
        <f t="shared" si="43"/>
        <v>-1</v>
      </c>
      <c r="O71" s="11"/>
      <c r="P71" s="7"/>
      <c r="Q71" s="2"/>
      <c r="R71" s="6">
        <f t="shared" si="44"/>
        <v>0</v>
      </c>
      <c r="S71" s="2"/>
      <c r="T71" s="7">
        <v>48.62</v>
      </c>
      <c r="U71" s="2"/>
      <c r="V71" s="6">
        <f t="shared" si="45"/>
        <v>0</v>
      </c>
      <c r="W71" s="2"/>
      <c r="X71" s="7">
        <f t="shared" si="46"/>
        <v>-48.62</v>
      </c>
      <c r="Y71" s="2"/>
      <c r="Z71" s="6">
        <f t="shared" si="47"/>
        <v>-1</v>
      </c>
    </row>
    <row r="72" spans="1:26" s="25" customFormat="1" outlineLevel="1" collapsed="1" x14ac:dyDescent="0.25">
      <c r="A72" s="26"/>
      <c r="B72" s="13" t="str">
        <f>CONCATENATE("     ","Subscriptions &amp; Dues                              ")</f>
        <v xml:space="preserve">     Subscriptions &amp; Dues                              </v>
      </c>
      <c r="C72" s="13"/>
      <c r="D72" s="1">
        <f>SUM(OSRRefD22_15x_0)</f>
        <v>0</v>
      </c>
      <c r="E72" s="1"/>
      <c r="F72" s="5">
        <f t="shared" ref="F72:F79" si="48">IF(D$12=0,0,D72/D$12)</f>
        <v>0</v>
      </c>
      <c r="G72" s="1"/>
      <c r="H72" s="1">
        <f>SUM(OSRRefH22_15x_0)</f>
        <v>795</v>
      </c>
      <c r="I72" s="1"/>
      <c r="J72" s="5">
        <f t="shared" ref="J72:J79" si="49">IF(H$12=0,0,H72/H$12)</f>
        <v>0</v>
      </c>
      <c r="K72" s="1"/>
      <c r="L72" s="1">
        <f t="shared" ref="L72:L79" si="50">+D72-H72</f>
        <v>-795</v>
      </c>
      <c r="M72" s="1"/>
      <c r="N72" s="5">
        <f t="shared" ref="N72:N79" si="51">IF(H72=0,0,L72/H72)</f>
        <v>-1</v>
      </c>
      <c r="O72" s="13"/>
      <c r="P72" s="1">
        <f>SUM(OSRRefP22_15x_0)</f>
        <v>2259.9899999999998</v>
      </c>
      <c r="Q72" s="1"/>
      <c r="R72" s="5">
        <f t="shared" ref="R72:R79" si="52">IF(P$12=0,0,P72/P$12)</f>
        <v>0</v>
      </c>
      <c r="S72" s="1"/>
      <c r="T72" s="1">
        <f>SUM(OSRRefT22_15x_0)</f>
        <v>2421</v>
      </c>
      <c r="U72" s="1"/>
      <c r="V72" s="5">
        <f t="shared" ref="V72:V79" si="53">IF(T$12=0,0,T72/T$12)</f>
        <v>0</v>
      </c>
      <c r="W72" s="1"/>
      <c r="X72" s="1">
        <f t="shared" ref="X72:X79" si="54">+P72-T72</f>
        <v>-161.01000000000022</v>
      </c>
      <c r="Y72" s="1"/>
      <c r="Z72" s="5">
        <f t="shared" ref="Z72:Z79" si="55">IF(T72=0,0,X72/T72)</f>
        <v>-6.6505576208178527E-2</v>
      </c>
    </row>
    <row r="73" spans="1:26" s="24" customFormat="1" hidden="1" outlineLevel="2" x14ac:dyDescent="0.25">
      <c r="A73" s="27"/>
      <c r="B73" s="11" t="str">
        <f>CONCATENATE("          ", "6258", " - ", "MEMBERSHIP DUES")</f>
        <v xml:space="preserve">          6258 - MEMBERSHIP DUES</v>
      </c>
      <c r="C73" s="11"/>
      <c r="D73" s="7"/>
      <c r="E73" s="2"/>
      <c r="F73" s="6">
        <f t="shared" si="48"/>
        <v>0</v>
      </c>
      <c r="G73" s="2"/>
      <c r="H73" s="7">
        <v>795</v>
      </c>
      <c r="I73" s="2"/>
      <c r="J73" s="6">
        <f t="shared" si="49"/>
        <v>0</v>
      </c>
      <c r="K73" s="2"/>
      <c r="L73" s="7">
        <f t="shared" si="50"/>
        <v>-795</v>
      </c>
      <c r="M73" s="2"/>
      <c r="N73" s="6">
        <f t="shared" si="51"/>
        <v>-1</v>
      </c>
      <c r="O73" s="11"/>
      <c r="P73" s="7">
        <v>2259.9899999999998</v>
      </c>
      <c r="Q73" s="2"/>
      <c r="R73" s="6">
        <f t="shared" si="52"/>
        <v>0</v>
      </c>
      <c r="S73" s="2"/>
      <c r="T73" s="7">
        <v>2421</v>
      </c>
      <c r="U73" s="2"/>
      <c r="V73" s="6">
        <f t="shared" si="53"/>
        <v>0</v>
      </c>
      <c r="W73" s="2"/>
      <c r="X73" s="7">
        <f t="shared" si="54"/>
        <v>-161.01000000000022</v>
      </c>
      <c r="Y73" s="2"/>
      <c r="Z73" s="6">
        <f t="shared" si="55"/>
        <v>-6.6505576208178527E-2</v>
      </c>
    </row>
    <row r="74" spans="1:26" s="25" customFormat="1" outlineLevel="1" collapsed="1" x14ac:dyDescent="0.25">
      <c r="A74" s="26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SUM(OSRRefD22_16x_0)</f>
        <v>308.95</v>
      </c>
      <c r="E74" s="1"/>
      <c r="F74" s="5">
        <f t="shared" si="48"/>
        <v>0</v>
      </c>
      <c r="G74" s="1"/>
      <c r="H74" s="1">
        <f>SUM(OSRRefH22_16x_0)</f>
        <v>3984.77</v>
      </c>
      <c r="I74" s="1"/>
      <c r="J74" s="5">
        <f t="shared" si="49"/>
        <v>0</v>
      </c>
      <c r="K74" s="1"/>
      <c r="L74" s="1">
        <f t="shared" si="50"/>
        <v>-3675.82</v>
      </c>
      <c r="M74" s="1"/>
      <c r="N74" s="5">
        <f t="shared" si="51"/>
        <v>-0.9224672942227532</v>
      </c>
      <c r="O74" s="13"/>
      <c r="P74" s="1">
        <f>SUM(OSRRefP22_16x_0)</f>
        <v>-73.579999999999956</v>
      </c>
      <c r="Q74" s="1"/>
      <c r="R74" s="5">
        <f t="shared" si="52"/>
        <v>0</v>
      </c>
      <c r="S74" s="1"/>
      <c r="T74" s="1">
        <f>SUM(OSRRefT22_16x_0)</f>
        <v>42357.210000000006</v>
      </c>
      <c r="U74" s="1"/>
      <c r="V74" s="5">
        <f t="shared" si="53"/>
        <v>0</v>
      </c>
      <c r="W74" s="1"/>
      <c r="X74" s="1">
        <f t="shared" si="54"/>
        <v>-42430.790000000008</v>
      </c>
      <c r="Y74" s="1"/>
      <c r="Z74" s="5">
        <f t="shared" si="55"/>
        <v>-1.0017371304672806</v>
      </c>
    </row>
    <row r="75" spans="1:26" s="24" customFormat="1" hidden="1" outlineLevel="2" x14ac:dyDescent="0.25">
      <c r="A75" s="27"/>
      <c r="B75" s="11" t="str">
        <f>CONCATENATE("          ", "6234", " - ", "EXPENDABLE SUPPLIES &amp; EQUIPMEN")</f>
        <v xml:space="preserve">          6234 - EXPENDABLE SUPPLIES &amp; EQUIPMEN</v>
      </c>
      <c r="C75" s="11"/>
      <c r="D75" s="7"/>
      <c r="E75" s="2"/>
      <c r="F75" s="6">
        <f t="shared" si="48"/>
        <v>0</v>
      </c>
      <c r="G75" s="2"/>
      <c r="H75" s="7">
        <v>313.08999999999997</v>
      </c>
      <c r="I75" s="2"/>
      <c r="J75" s="6">
        <f t="shared" si="49"/>
        <v>0</v>
      </c>
      <c r="K75" s="2"/>
      <c r="L75" s="7">
        <f t="shared" si="50"/>
        <v>-313.08999999999997</v>
      </c>
      <c r="M75" s="2"/>
      <c r="N75" s="6">
        <f t="shared" si="51"/>
        <v>-1</v>
      </c>
      <c r="O75" s="11"/>
      <c r="P75" s="7"/>
      <c r="Q75" s="2"/>
      <c r="R75" s="6">
        <f t="shared" si="52"/>
        <v>0</v>
      </c>
      <c r="S75" s="2"/>
      <c r="T75" s="7">
        <v>1223.6099999999999</v>
      </c>
      <c r="U75" s="2"/>
      <c r="V75" s="6">
        <f t="shared" si="53"/>
        <v>0</v>
      </c>
      <c r="W75" s="2"/>
      <c r="X75" s="7">
        <f t="shared" si="54"/>
        <v>-1223.6099999999999</v>
      </c>
      <c r="Y75" s="2"/>
      <c r="Z75" s="6">
        <f t="shared" si="55"/>
        <v>-1</v>
      </c>
    </row>
    <row r="76" spans="1:26" s="24" customFormat="1" hidden="1" outlineLevel="2" x14ac:dyDescent="0.25">
      <c r="A76" s="27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48"/>
        <v>0</v>
      </c>
      <c r="G76" s="2"/>
      <c r="H76" s="7"/>
      <c r="I76" s="2"/>
      <c r="J76" s="6">
        <f t="shared" si="49"/>
        <v>0</v>
      </c>
      <c r="K76" s="2"/>
      <c r="L76" s="7">
        <f t="shared" si="50"/>
        <v>0</v>
      </c>
      <c r="M76" s="2"/>
      <c r="N76" s="6">
        <f t="shared" si="51"/>
        <v>0</v>
      </c>
      <c r="O76" s="11"/>
      <c r="P76" s="7">
        <v>810.3</v>
      </c>
      <c r="Q76" s="2"/>
      <c r="R76" s="6">
        <f t="shared" si="52"/>
        <v>0</v>
      </c>
      <c r="S76" s="2"/>
      <c r="T76" s="7"/>
      <c r="U76" s="2"/>
      <c r="V76" s="6">
        <f t="shared" si="53"/>
        <v>0</v>
      </c>
      <c r="W76" s="2"/>
      <c r="X76" s="7">
        <f t="shared" si="54"/>
        <v>810.3</v>
      </c>
      <c r="Y76" s="2"/>
      <c r="Z76" s="6">
        <f t="shared" si="55"/>
        <v>0</v>
      </c>
    </row>
    <row r="77" spans="1:26" s="24" customFormat="1" hidden="1" outlineLevel="2" x14ac:dyDescent="0.25">
      <c r="A77" s="27"/>
      <c r="B77" s="11" t="str">
        <f>CONCATENATE("          ", "6241", " - ", "OFFICE EXPENSE")</f>
        <v xml:space="preserve">          6241 - OFFICE EXPENSE</v>
      </c>
      <c r="C77" s="11"/>
      <c r="D77" s="7">
        <v>308.95</v>
      </c>
      <c r="E77" s="2"/>
      <c r="F77" s="6">
        <f t="shared" si="48"/>
        <v>0</v>
      </c>
      <c r="G77" s="2"/>
      <c r="H77" s="7">
        <v>3557.96</v>
      </c>
      <c r="I77" s="2"/>
      <c r="J77" s="6">
        <f t="shared" si="49"/>
        <v>0</v>
      </c>
      <c r="K77" s="2"/>
      <c r="L77" s="7">
        <f t="shared" si="50"/>
        <v>-3249.01</v>
      </c>
      <c r="M77" s="2"/>
      <c r="N77" s="6">
        <f t="shared" si="51"/>
        <v>-0.91316653363163169</v>
      </c>
      <c r="O77" s="11"/>
      <c r="P77" s="7">
        <v>-1106.5899999999999</v>
      </c>
      <c r="Q77" s="2"/>
      <c r="R77" s="6">
        <f t="shared" si="52"/>
        <v>0</v>
      </c>
      <c r="S77" s="2"/>
      <c r="T77" s="7">
        <v>36536.990000000005</v>
      </c>
      <c r="U77" s="2"/>
      <c r="V77" s="6">
        <f t="shared" si="53"/>
        <v>0</v>
      </c>
      <c r="W77" s="2"/>
      <c r="X77" s="7">
        <f t="shared" si="54"/>
        <v>-37643.58</v>
      </c>
      <c r="Y77" s="2"/>
      <c r="Z77" s="6">
        <f t="shared" si="55"/>
        <v>-1.0302868408152943</v>
      </c>
    </row>
    <row r="78" spans="1:26" s="24" customFormat="1" hidden="1" outlineLevel="2" x14ac:dyDescent="0.25">
      <c r="A78" s="27"/>
      <c r="B78" s="11" t="str">
        <f>CONCATENATE("          ", "6244", " - ", "SAFETY SUPPLY EXPENSE")</f>
        <v xml:space="preserve">          6244 - SAFETY SUPPLY EXPENSE</v>
      </c>
      <c r="C78" s="11"/>
      <c r="D78" s="7"/>
      <c r="E78" s="2"/>
      <c r="F78" s="6">
        <f t="shared" si="48"/>
        <v>0</v>
      </c>
      <c r="G78" s="2"/>
      <c r="H78" s="7">
        <v>50</v>
      </c>
      <c r="I78" s="2"/>
      <c r="J78" s="6">
        <f t="shared" si="49"/>
        <v>0</v>
      </c>
      <c r="K78" s="2"/>
      <c r="L78" s="7">
        <f t="shared" si="50"/>
        <v>-50</v>
      </c>
      <c r="M78" s="2"/>
      <c r="N78" s="6">
        <f t="shared" si="51"/>
        <v>-1</v>
      </c>
      <c r="O78" s="11"/>
      <c r="P78" s="7">
        <v>222.71</v>
      </c>
      <c r="Q78" s="2"/>
      <c r="R78" s="6">
        <f t="shared" si="52"/>
        <v>0</v>
      </c>
      <c r="S78" s="2"/>
      <c r="T78" s="7">
        <v>1557.33</v>
      </c>
      <c r="U78" s="2"/>
      <c r="V78" s="6">
        <f t="shared" si="53"/>
        <v>0</v>
      </c>
      <c r="W78" s="2"/>
      <c r="X78" s="7">
        <f t="shared" si="54"/>
        <v>-1334.62</v>
      </c>
      <c r="Y78" s="2"/>
      <c r="Z78" s="6">
        <f t="shared" si="55"/>
        <v>-0.85699241650774083</v>
      </c>
    </row>
    <row r="79" spans="1:26" s="24" customFormat="1" hidden="1" outlineLevel="2" x14ac:dyDescent="0.25">
      <c r="A79" s="27"/>
      <c r="B79" s="11" t="str">
        <f>CONCATENATE("          ", "6245", " - ", "PRINTING")</f>
        <v xml:space="preserve">          6245 - PRINTING</v>
      </c>
      <c r="C79" s="11"/>
      <c r="D79" s="7"/>
      <c r="E79" s="2"/>
      <c r="F79" s="6">
        <f t="shared" si="48"/>
        <v>0</v>
      </c>
      <c r="G79" s="2"/>
      <c r="H79" s="7">
        <v>63.72</v>
      </c>
      <c r="I79" s="2"/>
      <c r="J79" s="6">
        <f t="shared" si="49"/>
        <v>0</v>
      </c>
      <c r="K79" s="2"/>
      <c r="L79" s="7">
        <f t="shared" si="50"/>
        <v>-63.72</v>
      </c>
      <c r="M79" s="2"/>
      <c r="N79" s="6">
        <f t="shared" si="51"/>
        <v>-1</v>
      </c>
      <c r="O79" s="11"/>
      <c r="P79" s="7"/>
      <c r="Q79" s="2"/>
      <c r="R79" s="6">
        <f t="shared" si="52"/>
        <v>0</v>
      </c>
      <c r="S79" s="2"/>
      <c r="T79" s="7">
        <v>3039.28</v>
      </c>
      <c r="U79" s="2"/>
      <c r="V79" s="6">
        <f t="shared" si="53"/>
        <v>0</v>
      </c>
      <c r="W79" s="2"/>
      <c r="X79" s="7">
        <f t="shared" si="54"/>
        <v>-3039.28</v>
      </c>
      <c r="Y79" s="2"/>
      <c r="Z79" s="6">
        <f t="shared" si="55"/>
        <v>-1</v>
      </c>
    </row>
    <row r="80" spans="1:26" s="25" customFormat="1" outlineLevel="1" collapsed="1" x14ac:dyDescent="0.25">
      <c r="A80" s="26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SUM(OSRRefD22_17x_0)</f>
        <v>3139.3399999999997</v>
      </c>
      <c r="E80" s="1"/>
      <c r="F80" s="5">
        <f t="shared" ref="F80:F82" si="56">IF(D$12=0,0,D80/D$12)</f>
        <v>0</v>
      </c>
      <c r="G80" s="1"/>
      <c r="H80" s="1">
        <f>SUM(OSRRefH22_17x_0)</f>
        <v>3088.42</v>
      </c>
      <c r="I80" s="1"/>
      <c r="J80" s="5">
        <f t="shared" ref="J80:J82" si="57">IF(H$12=0,0,H80/H$12)</f>
        <v>0</v>
      </c>
      <c r="K80" s="1"/>
      <c r="L80" s="1">
        <f t="shared" ref="L80:L82" si="58">+D80-H80</f>
        <v>50.919999999999618</v>
      </c>
      <c r="M80" s="1"/>
      <c r="N80" s="5">
        <f t="shared" ref="N80:N82" si="59">IF(H80=0,0,L80/H80)</f>
        <v>1.6487394849146041E-2</v>
      </c>
      <c r="O80" s="13"/>
      <c r="P80" s="1">
        <f>SUM(OSRRefP22_17x_0)</f>
        <v>13185.82</v>
      </c>
      <c r="Q80" s="1"/>
      <c r="R80" s="5">
        <f t="shared" ref="R80:R82" si="60">IF(P$12=0,0,P80/P$12)</f>
        <v>0</v>
      </c>
      <c r="S80" s="1"/>
      <c r="T80" s="1">
        <f>SUM(OSRRefT22_17x_0)</f>
        <v>16619.490000000002</v>
      </c>
      <c r="U80" s="1"/>
      <c r="V80" s="5">
        <f t="shared" ref="V80:V82" si="61">IF(T$12=0,0,T80/T$12)</f>
        <v>0</v>
      </c>
      <c r="W80" s="1"/>
      <c r="X80" s="1">
        <f t="shared" ref="X80:X82" si="62">+P80-T80</f>
        <v>-3433.6700000000019</v>
      </c>
      <c r="Y80" s="1"/>
      <c r="Z80" s="5">
        <f t="shared" ref="Z80:Z82" si="63">IF(T80=0,0,X80/T80)</f>
        <v>-0.20660501615873902</v>
      </c>
    </row>
    <row r="81" spans="1:26" s="24" customFormat="1" hidden="1" outlineLevel="2" x14ac:dyDescent="0.25">
      <c r="A81" s="27"/>
      <c r="B81" s="11" t="str">
        <f>CONCATENATE("          ", "6303", " - ", "DATA PHONE LINES")</f>
        <v xml:space="preserve">          6303 - DATA PHONE LINES</v>
      </c>
      <c r="C81" s="11"/>
      <c r="D81" s="7">
        <v>238.97</v>
      </c>
      <c r="E81" s="2"/>
      <c r="F81" s="6">
        <f t="shared" si="56"/>
        <v>0</v>
      </c>
      <c r="G81" s="2"/>
      <c r="H81" s="7">
        <v>143.97999999999999</v>
      </c>
      <c r="I81" s="2"/>
      <c r="J81" s="6">
        <f t="shared" si="57"/>
        <v>0</v>
      </c>
      <c r="K81" s="2"/>
      <c r="L81" s="7">
        <f t="shared" si="58"/>
        <v>94.990000000000009</v>
      </c>
      <c r="M81" s="2"/>
      <c r="N81" s="6">
        <f t="shared" si="59"/>
        <v>0.65974440894568698</v>
      </c>
      <c r="O81" s="11"/>
      <c r="P81" s="7">
        <v>764.9</v>
      </c>
      <c r="Q81" s="2"/>
      <c r="R81" s="6">
        <f t="shared" si="60"/>
        <v>0</v>
      </c>
      <c r="S81" s="2"/>
      <c r="T81" s="7">
        <v>1026.07</v>
      </c>
      <c r="U81" s="2"/>
      <c r="V81" s="6">
        <f t="shared" si="61"/>
        <v>0</v>
      </c>
      <c r="W81" s="2"/>
      <c r="X81" s="7">
        <f t="shared" si="62"/>
        <v>-261.16999999999996</v>
      </c>
      <c r="Y81" s="2"/>
      <c r="Z81" s="6">
        <f t="shared" si="63"/>
        <v>-0.25453429103277553</v>
      </c>
    </row>
    <row r="82" spans="1:26" s="24" customFormat="1" hidden="1" outlineLevel="2" x14ac:dyDescent="0.25">
      <c r="A82" s="27"/>
      <c r="B82" s="11" t="str">
        <f>CONCATENATE("          ", "6309", " - ", "TELEPHONE")</f>
        <v xml:space="preserve">          6309 - TELEPHONE</v>
      </c>
      <c r="C82" s="11"/>
      <c r="D82" s="7">
        <v>2900.37</v>
      </c>
      <c r="E82" s="2"/>
      <c r="F82" s="6">
        <f t="shared" si="56"/>
        <v>0</v>
      </c>
      <c r="G82" s="2"/>
      <c r="H82" s="7">
        <v>2944.44</v>
      </c>
      <c r="I82" s="2"/>
      <c r="J82" s="6">
        <f t="shared" si="57"/>
        <v>0</v>
      </c>
      <c r="K82" s="2"/>
      <c r="L82" s="7">
        <f t="shared" si="58"/>
        <v>-44.070000000000164</v>
      </c>
      <c r="M82" s="2"/>
      <c r="N82" s="6">
        <f t="shared" si="59"/>
        <v>-1.4967192403309343E-2</v>
      </c>
      <c r="O82" s="11"/>
      <c r="P82" s="7">
        <v>12420.92</v>
      </c>
      <c r="Q82" s="2"/>
      <c r="R82" s="6">
        <f t="shared" si="60"/>
        <v>0</v>
      </c>
      <c r="S82" s="2"/>
      <c r="T82" s="7">
        <v>15593.42</v>
      </c>
      <c r="U82" s="2"/>
      <c r="V82" s="6">
        <f t="shared" si="61"/>
        <v>0</v>
      </c>
      <c r="W82" s="2"/>
      <c r="X82" s="7">
        <f t="shared" si="62"/>
        <v>-3172.5</v>
      </c>
      <c r="Y82" s="2"/>
      <c r="Z82" s="6">
        <f t="shared" si="63"/>
        <v>-0.20345119928790478</v>
      </c>
    </row>
    <row r="83" spans="1:26" s="25" customFormat="1" outlineLevel="1" collapsed="1" x14ac:dyDescent="0.25">
      <c r="A83" s="26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SUM(OSRRefD22_18x_0)</f>
        <v>249</v>
      </c>
      <c r="E83" s="1"/>
      <c r="F83" s="5">
        <f t="shared" ref="F83:F87" si="64">IF(D$12=0,0,D83/D$12)</f>
        <v>0</v>
      </c>
      <c r="G83" s="1"/>
      <c r="H83" s="1">
        <f>SUM(OSRRefH22_18x_0)</f>
        <v>524.22</v>
      </c>
      <c r="I83" s="1"/>
      <c r="J83" s="5">
        <f t="shared" ref="J83:J87" si="65">IF(H$12=0,0,H83/H$12)</f>
        <v>0</v>
      </c>
      <c r="K83" s="1"/>
      <c r="L83" s="1">
        <f t="shared" ref="L83:L87" si="66">+D83-H83</f>
        <v>-275.22000000000003</v>
      </c>
      <c r="M83" s="1"/>
      <c r="N83" s="5">
        <f t="shared" ref="N83:N87" si="67">IF(H83=0,0,L83/H83)</f>
        <v>-0.52500858418221363</v>
      </c>
      <c r="O83" s="13"/>
      <c r="P83" s="1">
        <f>SUM(OSRRefP22_18x_0)</f>
        <v>1676.5</v>
      </c>
      <c r="Q83" s="1"/>
      <c r="R83" s="5">
        <f t="shared" ref="R83:R87" si="68">IF(P$12=0,0,P83/P$12)</f>
        <v>0</v>
      </c>
      <c r="S83" s="1"/>
      <c r="T83" s="1">
        <f>SUM(OSRRefT22_18x_0)</f>
        <v>9614.7099999999991</v>
      </c>
      <c r="U83" s="1"/>
      <c r="V83" s="5">
        <f t="shared" ref="V83:V87" si="69">IF(T$12=0,0,T83/T$12)</f>
        <v>0</v>
      </c>
      <c r="W83" s="1"/>
      <c r="X83" s="1">
        <f t="shared" ref="X83:X87" si="70">+P83-T83</f>
        <v>-7938.2099999999991</v>
      </c>
      <c r="Y83" s="1"/>
      <c r="Z83" s="5">
        <f t="shared" ref="Z83:Z87" si="71">IF(T83=0,0,X83/T83)</f>
        <v>-0.82563176632472535</v>
      </c>
    </row>
    <row r="84" spans="1:26" s="24" customFormat="1" hidden="1" outlineLevel="2" x14ac:dyDescent="0.25">
      <c r="A84" s="27"/>
      <c r="B84" s="11" t="str">
        <f>CONCATENATE("          ", "6376", " - ", "TRAINING")</f>
        <v xml:space="preserve">          6376 - TRAINING</v>
      </c>
      <c r="C84" s="11"/>
      <c r="D84" s="7">
        <v>249</v>
      </c>
      <c r="E84" s="2"/>
      <c r="F84" s="6">
        <f t="shared" si="64"/>
        <v>0</v>
      </c>
      <c r="G84" s="2"/>
      <c r="H84" s="7">
        <v>524.22</v>
      </c>
      <c r="I84" s="2"/>
      <c r="J84" s="6">
        <f t="shared" si="65"/>
        <v>0</v>
      </c>
      <c r="K84" s="2"/>
      <c r="L84" s="7">
        <f t="shared" si="66"/>
        <v>-275.22000000000003</v>
      </c>
      <c r="M84" s="2"/>
      <c r="N84" s="6">
        <f t="shared" si="67"/>
        <v>-0.52500858418221363</v>
      </c>
      <c r="O84" s="11"/>
      <c r="P84" s="7">
        <v>1676.5</v>
      </c>
      <c r="Q84" s="2"/>
      <c r="R84" s="6">
        <f t="shared" si="68"/>
        <v>0</v>
      </c>
      <c r="S84" s="2"/>
      <c r="T84" s="7">
        <v>9614.7099999999991</v>
      </c>
      <c r="U84" s="2"/>
      <c r="V84" s="6">
        <f t="shared" si="69"/>
        <v>0</v>
      </c>
      <c r="W84" s="2"/>
      <c r="X84" s="7">
        <f t="shared" si="70"/>
        <v>-7938.2099999999991</v>
      </c>
      <c r="Y84" s="2"/>
      <c r="Z84" s="6">
        <f t="shared" si="71"/>
        <v>-0.82563176632472535</v>
      </c>
    </row>
    <row r="85" spans="1:26" s="25" customFormat="1" outlineLevel="1" collapsed="1" x14ac:dyDescent="0.25">
      <c r="A85" s="26"/>
      <c r="B85" s="13" t="str">
        <f>CONCATENATE("     ","Travel                                            ")</f>
        <v xml:space="preserve">     Travel                                            </v>
      </c>
      <c r="C85" s="13"/>
      <c r="D85" s="1">
        <f>SUM(OSRRefD22_19x_0)</f>
        <v>0</v>
      </c>
      <c r="E85" s="1"/>
      <c r="F85" s="5">
        <f t="shared" si="64"/>
        <v>0</v>
      </c>
      <c r="G85" s="1"/>
      <c r="H85" s="1">
        <f>SUM(OSRRefH22_19x_0)</f>
        <v>59.95</v>
      </c>
      <c r="I85" s="1"/>
      <c r="J85" s="5">
        <f t="shared" si="65"/>
        <v>0</v>
      </c>
      <c r="K85" s="1"/>
      <c r="L85" s="1">
        <f t="shared" si="66"/>
        <v>-59.95</v>
      </c>
      <c r="M85" s="1"/>
      <c r="N85" s="5">
        <f t="shared" si="67"/>
        <v>-1</v>
      </c>
      <c r="O85" s="13"/>
      <c r="P85" s="1">
        <f>SUM(OSRRefP22_19x_0)</f>
        <v>766.62</v>
      </c>
      <c r="Q85" s="1"/>
      <c r="R85" s="5">
        <f t="shared" si="68"/>
        <v>0</v>
      </c>
      <c r="S85" s="1"/>
      <c r="T85" s="1">
        <f>SUM(OSRRefT22_19x_0)</f>
        <v>8920.6999999999989</v>
      </c>
      <c r="U85" s="1"/>
      <c r="V85" s="5">
        <f t="shared" si="69"/>
        <v>0</v>
      </c>
      <c r="W85" s="1"/>
      <c r="X85" s="1">
        <f t="shared" si="70"/>
        <v>-8154.079999999999</v>
      </c>
      <c r="Y85" s="1"/>
      <c r="Z85" s="5">
        <f t="shared" si="71"/>
        <v>-0.91406279776250743</v>
      </c>
    </row>
    <row r="86" spans="1:26" s="24" customFormat="1" hidden="1" outlineLevel="2" x14ac:dyDescent="0.25">
      <c r="A86" s="27"/>
      <c r="B86" s="11" t="str">
        <f>CONCATENATE("          ", "6292", " - ", "TRAVEL/CONFERENCE")</f>
        <v xml:space="preserve">          6292 - TRAVEL/CONFERENCE</v>
      </c>
      <c r="C86" s="11"/>
      <c r="D86" s="7"/>
      <c r="E86" s="2"/>
      <c r="F86" s="6">
        <f t="shared" si="64"/>
        <v>0</v>
      </c>
      <c r="G86" s="2"/>
      <c r="H86" s="7">
        <v>59.95</v>
      </c>
      <c r="I86" s="2"/>
      <c r="J86" s="6">
        <f t="shared" si="65"/>
        <v>0</v>
      </c>
      <c r="K86" s="2"/>
      <c r="L86" s="7">
        <f t="shared" si="66"/>
        <v>-59.95</v>
      </c>
      <c r="M86" s="2"/>
      <c r="N86" s="6">
        <f t="shared" si="67"/>
        <v>-1</v>
      </c>
      <c r="O86" s="11"/>
      <c r="P86" s="7">
        <v>720</v>
      </c>
      <c r="Q86" s="2"/>
      <c r="R86" s="6">
        <f t="shared" si="68"/>
        <v>0</v>
      </c>
      <c r="S86" s="2"/>
      <c r="T86" s="7">
        <v>8896.7999999999993</v>
      </c>
      <c r="U86" s="2"/>
      <c r="V86" s="6">
        <f t="shared" si="69"/>
        <v>0</v>
      </c>
      <c r="W86" s="2"/>
      <c r="X86" s="7">
        <f t="shared" si="70"/>
        <v>-8176.7999999999993</v>
      </c>
      <c r="Y86" s="2"/>
      <c r="Z86" s="6">
        <f t="shared" si="71"/>
        <v>-0.91907202589695169</v>
      </c>
    </row>
    <row r="87" spans="1:26" s="24" customFormat="1" hidden="1" outlineLevel="2" x14ac:dyDescent="0.25">
      <c r="A87" s="27"/>
      <c r="B87" s="11" t="str">
        <f>CONCATENATE("          ", "6294", " - ", "TRAVEL OPERATIONAL")</f>
        <v xml:space="preserve">          6294 - TRAVEL OPERATIONAL</v>
      </c>
      <c r="C87" s="11"/>
      <c r="D87" s="7"/>
      <c r="E87" s="2"/>
      <c r="F87" s="6">
        <f t="shared" si="64"/>
        <v>0</v>
      </c>
      <c r="G87" s="2"/>
      <c r="H87" s="7"/>
      <c r="I87" s="2"/>
      <c r="J87" s="6">
        <f t="shared" si="65"/>
        <v>0</v>
      </c>
      <c r="K87" s="2"/>
      <c r="L87" s="7">
        <f t="shared" si="66"/>
        <v>0</v>
      </c>
      <c r="M87" s="2"/>
      <c r="N87" s="6">
        <f t="shared" si="67"/>
        <v>0</v>
      </c>
      <c r="O87" s="11"/>
      <c r="P87" s="7">
        <v>46.62</v>
      </c>
      <c r="Q87" s="2"/>
      <c r="R87" s="6">
        <f t="shared" si="68"/>
        <v>0</v>
      </c>
      <c r="S87" s="2"/>
      <c r="T87" s="7">
        <v>23.9</v>
      </c>
      <c r="U87" s="2"/>
      <c r="V87" s="6">
        <f t="shared" si="69"/>
        <v>0</v>
      </c>
      <c r="W87" s="2"/>
      <c r="X87" s="7">
        <f t="shared" si="70"/>
        <v>22.72</v>
      </c>
      <c r="Y87" s="2"/>
      <c r="Z87" s="6">
        <f t="shared" si="71"/>
        <v>0.9506276150627615</v>
      </c>
    </row>
    <row r="88" spans="1:26" s="55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9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8" t="s">
        <v>3</v>
      </c>
      <c r="C91" s="28"/>
      <c r="D91" s="20">
        <f>+D16-D18+D89</f>
        <v>-211174.95</v>
      </c>
      <c r="E91" s="14"/>
      <c r="F91" s="21">
        <f>IF(D$12=0,0,D91/D$12)</f>
        <v>0</v>
      </c>
      <c r="G91" s="14"/>
      <c r="H91" s="20">
        <f>+H16-H18+H89</f>
        <v>-248255.84</v>
      </c>
      <c r="I91" s="14"/>
      <c r="J91" s="21">
        <f>IF(H$12=0,0,H91/H$12)</f>
        <v>0</v>
      </c>
      <c r="K91" s="15"/>
      <c r="L91" s="20">
        <f>+D91-H91</f>
        <v>37080.889999999985</v>
      </c>
      <c r="M91" s="15"/>
      <c r="N91" s="21">
        <f>IF(H91=0,0,L91/H91)</f>
        <v>-0.14936563023049121</v>
      </c>
      <c r="O91" s="29"/>
      <c r="P91" s="20">
        <f>+P16-P18+P89</f>
        <v>-951551.21</v>
      </c>
      <c r="Q91" s="14"/>
      <c r="R91" s="21">
        <f>IF(P$12=0,0,P91/P$12)</f>
        <v>0</v>
      </c>
      <c r="S91" s="14"/>
      <c r="T91" s="20">
        <f>+T16-T18+T89</f>
        <v>-1952544.9799999997</v>
      </c>
      <c r="U91" s="14"/>
      <c r="V91" s="21">
        <f>IF(T$12=0,0,T91/T$12)</f>
        <v>0</v>
      </c>
      <c r="W91" s="15"/>
      <c r="X91" s="20">
        <f>+P91-T91</f>
        <v>1000993.7699999998</v>
      </c>
      <c r="Y91" s="15"/>
      <c r="Z91" s="21">
        <f>IF(T91=0,0,X91/T91)</f>
        <v>-0.51266105531663597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13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4</v>
      </c>
      <c r="C95" s="28"/>
      <c r="D95" s="33">
        <f>+D91-D93</f>
        <v>-211174.95</v>
      </c>
      <c r="E95" s="14"/>
      <c r="F95" s="34">
        <f>IF(D$12=0,0,D95/D$12)</f>
        <v>0</v>
      </c>
      <c r="G95" s="14"/>
      <c r="H95" s="33">
        <f>+H91-H93</f>
        <v>-248255.84</v>
      </c>
      <c r="I95" s="14"/>
      <c r="J95" s="34">
        <f>IF(H$12=0,0,H95/H$12)</f>
        <v>0</v>
      </c>
      <c r="K95" s="15"/>
      <c r="L95" s="33">
        <f>D95-H95</f>
        <v>37080.889999999985</v>
      </c>
      <c r="M95" s="15"/>
      <c r="N95" s="34">
        <f>IF(H95=0,0,L95/H95)</f>
        <v>-0.14936563023049121</v>
      </c>
      <c r="O95" s="29"/>
      <c r="P95" s="33">
        <f>+P91-P93</f>
        <v>-951551.21</v>
      </c>
      <c r="Q95" s="14"/>
      <c r="R95" s="34">
        <f>IF(P$12=0,0,P95/P$12)</f>
        <v>0</v>
      </c>
      <c r="S95" s="14"/>
      <c r="T95" s="33">
        <f>+T91-T93</f>
        <v>-1952544.9799999997</v>
      </c>
      <c r="U95" s="14"/>
      <c r="V95" s="34">
        <f>IF(T$12=0,0,T95/T$12)</f>
        <v>0</v>
      </c>
      <c r="W95" s="15"/>
      <c r="X95" s="33">
        <f>P95-T95</f>
        <v>1000993.7699999998</v>
      </c>
      <c r="Y95" s="15"/>
      <c r="Z95" s="34">
        <f>IF(T95=0,0,X95/T95)</f>
        <v>-0.51266105531663597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5</v>
      </c>
      <c r="C98" s="28"/>
      <c r="D98" s="30">
        <f>SUM(D95:D97)</f>
        <v>-211174.95</v>
      </c>
      <c r="E98" s="14"/>
      <c r="F98" s="32">
        <f>IF(D$12=0,0,D98/D$12)</f>
        <v>0</v>
      </c>
      <c r="G98" s="14"/>
      <c r="H98" s="30">
        <f>SUM(H95:H97)</f>
        <v>-248255.84</v>
      </c>
      <c r="I98" s="14"/>
      <c r="J98" s="32">
        <f>IF(H$12=0,0,H98/H$12)</f>
        <v>0</v>
      </c>
      <c r="K98" s="15"/>
      <c r="L98" s="30">
        <f>+D98-H98</f>
        <v>37080.889999999985</v>
      </c>
      <c r="M98" s="15"/>
      <c r="N98" s="32">
        <f>IF(H98=0,0,L98/H98)</f>
        <v>-0.14936563023049121</v>
      </c>
      <c r="O98" s="29"/>
      <c r="P98" s="30">
        <f>SUM(P95:P97)</f>
        <v>-951551.21</v>
      </c>
      <c r="Q98" s="14"/>
      <c r="R98" s="32">
        <f>IF(P$12=0,0,P98/P$12)</f>
        <v>0</v>
      </c>
      <c r="S98" s="14"/>
      <c r="T98" s="30">
        <f>SUM(T95:T97)</f>
        <v>-1952544.9799999997</v>
      </c>
      <c r="U98" s="14"/>
      <c r="V98" s="32">
        <f>IF(T$12=0,0,T98/T$12)</f>
        <v>0</v>
      </c>
      <c r="W98" s="15"/>
      <c r="X98" s="30">
        <f>+P98-T98</f>
        <v>1000993.7699999998</v>
      </c>
      <c r="Y98" s="15"/>
      <c r="Z98" s="32">
        <f>IF(T98=0,0,X98/T98)</f>
        <v>-0.51266105531663597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25">
      <c r="A100" s="9"/>
      <c r="B100" s="58">
        <v>44209.521273148152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61" t="s">
        <v>313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7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","200", " - ", "Corporate Expense")</f>
        <v>Department 200 - Corporate Expense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30640.19</v>
      </c>
      <c r="E18" s="22"/>
      <c r="F18" s="36">
        <f t="shared" ref="F18:F29" si="0">IF(D$12=0,0,D18/D$12)</f>
        <v>0</v>
      </c>
      <c r="G18" s="22"/>
      <c r="H18" s="22">
        <f>SUM(OSRRefH22x_0)</f>
        <v>33499.08</v>
      </c>
      <c r="I18" s="22"/>
      <c r="J18" s="36">
        <f t="shared" ref="J18:J29" si="1">IF(H$12=0,0,H18/H$12)</f>
        <v>0</v>
      </c>
      <c r="K18" s="4"/>
      <c r="L18" s="22">
        <f t="shared" ref="L18:L29" si="2">+D18-H18</f>
        <v>-2858.8900000000031</v>
      </c>
      <c r="M18" s="4"/>
      <c r="N18" s="36">
        <f t="shared" ref="N18:N29" si="3">IF(H18=0,0,L18/H18)</f>
        <v>-8.5342343730036851E-2</v>
      </c>
      <c r="O18" s="10"/>
      <c r="P18" s="22">
        <f>SUM(OSRRefP22x_0)</f>
        <v>-183200.21000000002</v>
      </c>
      <c r="Q18" s="22"/>
      <c r="R18" s="36">
        <f t="shared" ref="R18:R29" si="4">IF(P$12=0,0,P18/P$12)</f>
        <v>0</v>
      </c>
      <c r="S18" s="22"/>
      <c r="T18" s="22">
        <f>SUM(OSRRefT22x_0)</f>
        <v>352611.27</v>
      </c>
      <c r="U18" s="22"/>
      <c r="V18" s="36">
        <f t="shared" ref="V18:V29" si="5">IF(T$12=0,0,T18/T$12)</f>
        <v>0</v>
      </c>
      <c r="W18" s="4"/>
      <c r="X18" s="22">
        <f t="shared" ref="X18:X29" si="6">+P18-T18</f>
        <v>-535811.48</v>
      </c>
      <c r="Y18" s="4"/>
      <c r="Z18" s="36">
        <f t="shared" ref="Z18:Z29" si="7">IF(T18=0,0,X18/T18)</f>
        <v>-1.5195529059522117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29918.37</v>
      </c>
      <c r="E19" s="1"/>
      <c r="F19" s="5">
        <f t="shared" si="0"/>
        <v>0</v>
      </c>
      <c r="G19" s="1"/>
      <c r="H19" s="1">
        <f>SUM(OSRRefH22_0x_0)</f>
        <v>29195.759999999998</v>
      </c>
      <c r="I19" s="1"/>
      <c r="J19" s="5">
        <f t="shared" si="1"/>
        <v>0</v>
      </c>
      <c r="K19" s="1"/>
      <c r="L19" s="1">
        <f t="shared" si="2"/>
        <v>722.61000000000058</v>
      </c>
      <c r="M19" s="1"/>
      <c r="N19" s="5">
        <f t="shared" si="3"/>
        <v>2.4750511718139915E-2</v>
      </c>
      <c r="O19" s="13"/>
      <c r="P19" s="1">
        <f>SUM(OSRRefP22_0x_0)</f>
        <v>-217338.28</v>
      </c>
      <c r="Q19" s="1"/>
      <c r="R19" s="5">
        <f t="shared" si="4"/>
        <v>0</v>
      </c>
      <c r="S19" s="1"/>
      <c r="T19" s="1">
        <f>SUM(OSRRefT22_0x_0)</f>
        <v>175624.88</v>
      </c>
      <c r="U19" s="1"/>
      <c r="V19" s="5">
        <f t="shared" si="5"/>
        <v>0</v>
      </c>
      <c r="W19" s="1"/>
      <c r="X19" s="1">
        <f t="shared" si="6"/>
        <v>-392963.16000000003</v>
      </c>
      <c r="Y19" s="1"/>
      <c r="Z19" s="5">
        <f t="shared" si="7"/>
        <v>-2.2375141836395849</v>
      </c>
    </row>
    <row r="20" spans="1:26" s="24" customFormat="1" hidden="1" outlineLevel="2" x14ac:dyDescent="0.25">
      <c r="A20" s="27"/>
      <c r="B20" s="11" t="str">
        <f>CONCATENATE("          ", "6120", " - ", "RETIREES HEALTH INSURANCE")</f>
        <v xml:space="preserve">          6120 - RETIREES HEALTH INSURANCE</v>
      </c>
      <c r="C20" s="11"/>
      <c r="D20" s="7">
        <v>29918.37</v>
      </c>
      <c r="E20" s="2"/>
      <c r="F20" s="6">
        <f t="shared" si="0"/>
        <v>0</v>
      </c>
      <c r="G20" s="2"/>
      <c r="H20" s="7">
        <v>29195.759999999998</v>
      </c>
      <c r="I20" s="2"/>
      <c r="J20" s="6">
        <f t="shared" si="1"/>
        <v>0</v>
      </c>
      <c r="K20" s="2"/>
      <c r="L20" s="7">
        <f t="shared" si="2"/>
        <v>722.61000000000058</v>
      </c>
      <c r="M20" s="2"/>
      <c r="N20" s="6">
        <f t="shared" si="3"/>
        <v>2.4750511718139915E-2</v>
      </c>
      <c r="O20" s="11"/>
      <c r="P20" s="7">
        <v>-217338.28</v>
      </c>
      <c r="Q20" s="2"/>
      <c r="R20" s="6">
        <f t="shared" si="4"/>
        <v>0</v>
      </c>
      <c r="S20" s="2"/>
      <c r="T20" s="7">
        <v>175624.88</v>
      </c>
      <c r="U20" s="2"/>
      <c r="V20" s="6">
        <f t="shared" si="5"/>
        <v>0</v>
      </c>
      <c r="W20" s="2"/>
      <c r="X20" s="7">
        <f t="shared" si="6"/>
        <v>-392963.16000000003</v>
      </c>
      <c r="Y20" s="2"/>
      <c r="Z20" s="6">
        <f t="shared" si="7"/>
        <v>-2.2375141836395849</v>
      </c>
    </row>
    <row r="21" spans="1:26" s="25" customFormat="1" outlineLevel="1" collapsed="1" x14ac:dyDescent="0.25">
      <c r="A21" s="26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7</v>
      </c>
      <c r="E21" s="1"/>
      <c r="F21" s="5">
        <f t="shared" si="0"/>
        <v>0</v>
      </c>
      <c r="G21" s="1"/>
      <c r="H21" s="1">
        <f>SUM(OSRRefH22_1x_0)</f>
        <v>1670.48</v>
      </c>
      <c r="I21" s="1"/>
      <c r="J21" s="5">
        <f t="shared" si="1"/>
        <v>0</v>
      </c>
      <c r="K21" s="1"/>
      <c r="L21" s="1">
        <f t="shared" si="2"/>
        <v>-1663.48</v>
      </c>
      <c r="M21" s="1"/>
      <c r="N21" s="5">
        <f t="shared" si="3"/>
        <v>-0.99580958766342609</v>
      </c>
      <c r="O21" s="13"/>
      <c r="P21" s="1">
        <f>SUM(OSRRefP22_1x_0)</f>
        <v>2904.58</v>
      </c>
      <c r="Q21" s="1"/>
      <c r="R21" s="5">
        <f t="shared" si="4"/>
        <v>0</v>
      </c>
      <c r="S21" s="1"/>
      <c r="T21" s="1">
        <f>SUM(OSRRefT22_1x_0)</f>
        <v>24427.200000000001</v>
      </c>
      <c r="U21" s="1"/>
      <c r="V21" s="5">
        <f t="shared" si="5"/>
        <v>0</v>
      </c>
      <c r="W21" s="1"/>
      <c r="X21" s="1">
        <f t="shared" si="6"/>
        <v>-21522.620000000003</v>
      </c>
      <c r="Y21" s="1"/>
      <c r="Z21" s="5">
        <f t="shared" si="7"/>
        <v>-0.88109238881247143</v>
      </c>
    </row>
    <row r="22" spans="1:26" s="24" customFormat="1" hidden="1" outlineLevel="2" x14ac:dyDescent="0.25">
      <c r="A22" s="27"/>
      <c r="B22" s="11" t="str">
        <f>CONCATENATE("          ", "6381", " - ", "BANK/CREDIT CARD FEES")</f>
        <v xml:space="preserve">          6381 - BANK/CREDIT CARD FEES</v>
      </c>
      <c r="C22" s="11"/>
      <c r="D22" s="7">
        <v>7</v>
      </c>
      <c r="E22" s="2"/>
      <c r="F22" s="6">
        <f t="shared" si="0"/>
        <v>0</v>
      </c>
      <c r="G22" s="2"/>
      <c r="H22" s="7">
        <v>1670.48</v>
      </c>
      <c r="I22" s="2"/>
      <c r="J22" s="6">
        <f t="shared" si="1"/>
        <v>0</v>
      </c>
      <c r="K22" s="2"/>
      <c r="L22" s="7">
        <f t="shared" si="2"/>
        <v>-1663.48</v>
      </c>
      <c r="M22" s="2"/>
      <c r="N22" s="6">
        <f t="shared" si="3"/>
        <v>-0.99580958766342609</v>
      </c>
      <c r="O22" s="11"/>
      <c r="P22" s="7">
        <v>2904.58</v>
      </c>
      <c r="Q22" s="2"/>
      <c r="R22" s="6">
        <f t="shared" si="4"/>
        <v>0</v>
      </c>
      <c r="S22" s="2"/>
      <c r="T22" s="7">
        <v>24427.200000000001</v>
      </c>
      <c r="U22" s="2"/>
      <c r="V22" s="6">
        <f t="shared" si="5"/>
        <v>0</v>
      </c>
      <c r="W22" s="2"/>
      <c r="X22" s="7">
        <f t="shared" si="6"/>
        <v>-21522.620000000003</v>
      </c>
      <c r="Y22" s="2"/>
      <c r="Z22" s="6">
        <f t="shared" si="7"/>
        <v>-0.88109238881247143</v>
      </c>
    </row>
    <row r="23" spans="1:26" s="25" customFormat="1" outlineLevel="1" collapsed="1" x14ac:dyDescent="0.25">
      <c r="A23" s="26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714.82</v>
      </c>
      <c r="E23" s="1"/>
      <c r="F23" s="5">
        <f t="shared" si="0"/>
        <v>0</v>
      </c>
      <c r="G23" s="1"/>
      <c r="H23" s="1">
        <f>SUM(OSRRefH22_2x_0)</f>
        <v>2632.84</v>
      </c>
      <c r="I23" s="1"/>
      <c r="J23" s="5">
        <f t="shared" si="1"/>
        <v>0</v>
      </c>
      <c r="K23" s="1"/>
      <c r="L23" s="1">
        <f t="shared" si="2"/>
        <v>-1918.02</v>
      </c>
      <c r="M23" s="1"/>
      <c r="N23" s="5">
        <f t="shared" si="3"/>
        <v>-0.72849850351711454</v>
      </c>
      <c r="O23" s="13"/>
      <c r="P23" s="1">
        <f>SUM(OSRRefP22_2x_0)</f>
        <v>7836.99</v>
      </c>
      <c r="Q23" s="1"/>
      <c r="R23" s="5">
        <f t="shared" si="4"/>
        <v>0</v>
      </c>
      <c r="S23" s="1"/>
      <c r="T23" s="1">
        <f>SUM(OSRRefT22_2x_0)</f>
        <v>16797.95</v>
      </c>
      <c r="U23" s="1"/>
      <c r="V23" s="5">
        <f t="shared" si="5"/>
        <v>0</v>
      </c>
      <c r="W23" s="1"/>
      <c r="X23" s="1">
        <f t="shared" si="6"/>
        <v>-8960.9600000000009</v>
      </c>
      <c r="Y23" s="1"/>
      <c r="Z23" s="5">
        <f t="shared" si="7"/>
        <v>-0.5334555704713968</v>
      </c>
    </row>
    <row r="24" spans="1:26" s="24" customFormat="1" hidden="1" outlineLevel="2" x14ac:dyDescent="0.25">
      <c r="A24" s="27"/>
      <c r="B24" s="11" t="str">
        <f>CONCATENATE("          ", "6397", " - ", "BOARD EXPENSES")</f>
        <v xml:space="preserve">          6397 - BOARD EXPENSES</v>
      </c>
      <c r="C24" s="11"/>
      <c r="D24" s="7">
        <v>714.82</v>
      </c>
      <c r="E24" s="2"/>
      <c r="F24" s="6">
        <f t="shared" si="0"/>
        <v>0</v>
      </c>
      <c r="G24" s="2"/>
      <c r="H24" s="7">
        <v>2632.84</v>
      </c>
      <c r="I24" s="2"/>
      <c r="J24" s="6">
        <f t="shared" si="1"/>
        <v>0</v>
      </c>
      <c r="K24" s="2"/>
      <c r="L24" s="7">
        <f t="shared" si="2"/>
        <v>-1918.02</v>
      </c>
      <c r="M24" s="2"/>
      <c r="N24" s="6">
        <f t="shared" si="3"/>
        <v>-0.72849850351711454</v>
      </c>
      <c r="O24" s="11"/>
      <c r="P24" s="7">
        <v>7836.99</v>
      </c>
      <c r="Q24" s="2"/>
      <c r="R24" s="6">
        <f t="shared" si="4"/>
        <v>0</v>
      </c>
      <c r="S24" s="2"/>
      <c r="T24" s="7">
        <v>16797.95</v>
      </c>
      <c r="U24" s="2"/>
      <c r="V24" s="6">
        <f t="shared" si="5"/>
        <v>0</v>
      </c>
      <c r="W24" s="2"/>
      <c r="X24" s="7">
        <f t="shared" si="6"/>
        <v>-8960.9600000000009</v>
      </c>
      <c r="Y24" s="2"/>
      <c r="Z24" s="6">
        <f t="shared" si="7"/>
        <v>-0.5334555704713968</v>
      </c>
    </row>
    <row r="25" spans="1:26" s="25" customFormat="1" outlineLevel="1" collapsed="1" x14ac:dyDescent="0.25">
      <c r="A25" s="26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-97500</v>
      </c>
      <c r="Y25" s="1"/>
      <c r="Z25" s="5">
        <f t="shared" si="7"/>
        <v>-1</v>
      </c>
    </row>
    <row r="26" spans="1:26" s="24" customFormat="1" hidden="1" outlineLevel="2" x14ac:dyDescent="0.25">
      <c r="A26" s="27"/>
      <c r="B26" s="11" t="str">
        <f>CONCATENATE("          ", "6399", " - ", "DONATION-ON CAMPUS")</f>
        <v xml:space="preserve">          6399 - DONATION-ON CAMPUS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/>
      <c r="Q26" s="2"/>
      <c r="R26" s="6">
        <f t="shared" si="4"/>
        <v>0</v>
      </c>
      <c r="S26" s="2"/>
      <c r="T26" s="7">
        <v>97500</v>
      </c>
      <c r="U26" s="2"/>
      <c r="V26" s="6">
        <f t="shared" si="5"/>
        <v>0</v>
      </c>
      <c r="W26" s="2"/>
      <c r="X26" s="7">
        <f t="shared" si="6"/>
        <v>-97500</v>
      </c>
      <c r="Y26" s="2"/>
      <c r="Z26" s="6">
        <f t="shared" si="7"/>
        <v>-1</v>
      </c>
    </row>
    <row r="27" spans="1:26" s="25" customFormat="1" outlineLevel="1" collapsed="1" x14ac:dyDescent="0.25">
      <c r="A27" s="26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3"/>
      <c r="P27" s="1">
        <f>SUM(OSRRefP22_4x_0)</f>
        <v>23396.5</v>
      </c>
      <c r="Q27" s="1"/>
      <c r="R27" s="5">
        <f t="shared" si="4"/>
        <v>0</v>
      </c>
      <c r="S27" s="1"/>
      <c r="T27" s="1">
        <f>SUM(OSRRefT22_4x_0)</f>
        <v>38261.24</v>
      </c>
      <c r="U27" s="1"/>
      <c r="V27" s="5">
        <f t="shared" si="5"/>
        <v>0</v>
      </c>
      <c r="W27" s="1"/>
      <c r="X27" s="1">
        <f t="shared" si="6"/>
        <v>-14864.739999999998</v>
      </c>
      <c r="Y27" s="1"/>
      <c r="Z27" s="5">
        <f t="shared" si="7"/>
        <v>-0.38850648855081538</v>
      </c>
    </row>
    <row r="28" spans="1:26" s="24" customFormat="1" hidden="1" outlineLevel="2" x14ac:dyDescent="0.25">
      <c r="A28" s="27"/>
      <c r="B28" s="11" t="str">
        <f>CONCATENATE("          ", "6331", " - ", "INDIRECT COSTS-AUXILIARY ORGAN")</f>
        <v xml:space="preserve">          6331 - INDIRECT COSTS-AUXILIARY ORGAN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23396.5</v>
      </c>
      <c r="Q28" s="2"/>
      <c r="R28" s="6">
        <f t="shared" si="4"/>
        <v>0</v>
      </c>
      <c r="S28" s="2"/>
      <c r="T28" s="7">
        <v>23199</v>
      </c>
      <c r="U28" s="2"/>
      <c r="V28" s="6">
        <f t="shared" si="5"/>
        <v>0</v>
      </c>
      <c r="W28" s="2"/>
      <c r="X28" s="7">
        <f t="shared" si="6"/>
        <v>197.5</v>
      </c>
      <c r="Y28" s="2"/>
      <c r="Z28" s="6">
        <f t="shared" si="7"/>
        <v>8.5132979869821969E-3</v>
      </c>
    </row>
    <row r="29" spans="1:26" s="24" customFormat="1" hidden="1" outlineLevel="2" x14ac:dyDescent="0.25">
      <c r="A29" s="27"/>
      <c r="B29" s="11" t="str">
        <f>CONCATENATE("          ", "6332", " - ", "CONSULTANT FEES")</f>
        <v xml:space="preserve">          6332 - CONSULTANT FEES</v>
      </c>
      <c r="C29" s="11"/>
      <c r="D29" s="7"/>
      <c r="E29" s="2"/>
      <c r="F29" s="6">
        <f t="shared" si="0"/>
        <v>0</v>
      </c>
      <c r="G29" s="2"/>
      <c r="H29" s="7"/>
      <c r="I29" s="2"/>
      <c r="J29" s="6">
        <f t="shared" si="1"/>
        <v>0</v>
      </c>
      <c r="K29" s="2"/>
      <c r="L29" s="7">
        <f t="shared" si="2"/>
        <v>0</v>
      </c>
      <c r="M29" s="2"/>
      <c r="N29" s="6">
        <f t="shared" si="3"/>
        <v>0</v>
      </c>
      <c r="O29" s="11"/>
      <c r="P29" s="7"/>
      <c r="Q29" s="2"/>
      <c r="R29" s="6">
        <f t="shared" si="4"/>
        <v>0</v>
      </c>
      <c r="S29" s="2"/>
      <c r="T29" s="7">
        <v>15062.24</v>
      </c>
      <c r="U29" s="2"/>
      <c r="V29" s="6">
        <f t="shared" si="5"/>
        <v>0</v>
      </c>
      <c r="W29" s="2"/>
      <c r="X29" s="7">
        <f t="shared" si="6"/>
        <v>-15062.24</v>
      </c>
      <c r="Y29" s="2"/>
      <c r="Z29" s="6">
        <f t="shared" si="7"/>
        <v>-1</v>
      </c>
    </row>
    <row r="30" spans="1:26" s="55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8" t="s">
        <v>3</v>
      </c>
      <c r="C33" s="28"/>
      <c r="D33" s="20">
        <f>+D16-D18+D31</f>
        <v>-30640.19</v>
      </c>
      <c r="E33" s="14"/>
      <c r="F33" s="21">
        <f>IF(D$12=0,0,D33/D$12)</f>
        <v>0</v>
      </c>
      <c r="G33" s="14"/>
      <c r="H33" s="20">
        <f>+H16-H18+H31</f>
        <v>-33499.08</v>
      </c>
      <c r="I33" s="14"/>
      <c r="J33" s="21">
        <f>IF(H$12=0,0,H33/H$12)</f>
        <v>0</v>
      </c>
      <c r="K33" s="15"/>
      <c r="L33" s="20">
        <f>+D33-H33</f>
        <v>2858.8900000000031</v>
      </c>
      <c r="M33" s="15"/>
      <c r="N33" s="21">
        <f>IF(H33=0,0,L33/H33)</f>
        <v>-8.5342343730036851E-2</v>
      </c>
      <c r="O33" s="29"/>
      <c r="P33" s="20">
        <f>+P16-P18+P31</f>
        <v>183200.21000000002</v>
      </c>
      <c r="Q33" s="14"/>
      <c r="R33" s="21">
        <f>IF(P$12=0,0,P33/P$12)</f>
        <v>0</v>
      </c>
      <c r="S33" s="14"/>
      <c r="T33" s="20">
        <f>+T16-T18+T31</f>
        <v>-352611.27</v>
      </c>
      <c r="U33" s="14"/>
      <c r="V33" s="21">
        <f>IF(T$12=0,0,T33/T$12)</f>
        <v>0</v>
      </c>
      <c r="W33" s="15"/>
      <c r="X33" s="20">
        <f>+P33-T33</f>
        <v>535811.48</v>
      </c>
      <c r="Y33" s="15"/>
      <c r="Z33" s="21">
        <f>IF(T33=0,0,X33/T33)</f>
        <v>-1.5195529059522117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1"/>
      <c r="B35" s="10" t="s">
        <v>13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4</v>
      </c>
      <c r="C37" s="28"/>
      <c r="D37" s="33">
        <f>+D33-D35</f>
        <v>-30640.19</v>
      </c>
      <c r="E37" s="14"/>
      <c r="F37" s="34">
        <f>IF(D$12=0,0,D37/D$12)</f>
        <v>0</v>
      </c>
      <c r="G37" s="14"/>
      <c r="H37" s="33">
        <f>+H33-H35</f>
        <v>-33499.08</v>
      </c>
      <c r="I37" s="14"/>
      <c r="J37" s="34">
        <f>IF(H$12=0,0,H37/H$12)</f>
        <v>0</v>
      </c>
      <c r="K37" s="15"/>
      <c r="L37" s="33">
        <f>D37-H37</f>
        <v>2858.8900000000031</v>
      </c>
      <c r="M37" s="15"/>
      <c r="N37" s="34">
        <f>IF(H37=0,0,L37/H37)</f>
        <v>-8.5342343730036851E-2</v>
      </c>
      <c r="O37" s="29"/>
      <c r="P37" s="33">
        <f>+P33-P35</f>
        <v>183200.21000000002</v>
      </c>
      <c r="Q37" s="14"/>
      <c r="R37" s="34">
        <f>IF(P$12=0,0,P37/P$12)</f>
        <v>0</v>
      </c>
      <c r="S37" s="14"/>
      <c r="T37" s="33">
        <f>+T33-T35</f>
        <v>-352611.27</v>
      </c>
      <c r="U37" s="14"/>
      <c r="V37" s="34">
        <f>IF(T$12=0,0,T37/T$12)</f>
        <v>0</v>
      </c>
      <c r="W37" s="15"/>
      <c r="X37" s="33">
        <f>P37-T37</f>
        <v>535811.48</v>
      </c>
      <c r="Y37" s="15"/>
      <c r="Z37" s="34">
        <f>IF(T37=0,0,X37/T37)</f>
        <v>-1.5195529059522117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8" t="s">
        <v>5</v>
      </c>
      <c r="C40" s="28"/>
      <c r="D40" s="30">
        <f>SUM(D37:D39)</f>
        <v>-30640.19</v>
      </c>
      <c r="E40" s="14"/>
      <c r="F40" s="32">
        <f>IF(D$12=0,0,D40/D$12)</f>
        <v>0</v>
      </c>
      <c r="G40" s="14"/>
      <c r="H40" s="30">
        <f>SUM(H37:H39)</f>
        <v>-33499.08</v>
      </c>
      <c r="I40" s="14"/>
      <c r="J40" s="32">
        <f>IF(H$12=0,0,H40/H$12)</f>
        <v>0</v>
      </c>
      <c r="K40" s="15"/>
      <c r="L40" s="30">
        <f>+D40-H40</f>
        <v>2858.8900000000031</v>
      </c>
      <c r="M40" s="15"/>
      <c r="N40" s="32">
        <f>IF(H40=0,0,L40/H40)</f>
        <v>-8.5342343730036851E-2</v>
      </c>
      <c r="O40" s="29"/>
      <c r="P40" s="30">
        <f>SUM(P37:P39)</f>
        <v>183200.21000000002</v>
      </c>
      <c r="Q40" s="14"/>
      <c r="R40" s="32">
        <f>IF(P$12=0,0,P40/P$12)</f>
        <v>0</v>
      </c>
      <c r="S40" s="14"/>
      <c r="T40" s="30">
        <f>SUM(T37:T39)</f>
        <v>-352611.27</v>
      </c>
      <c r="U40" s="14"/>
      <c r="V40" s="32">
        <f>IF(T$12=0,0,T40/T$12)</f>
        <v>0</v>
      </c>
      <c r="W40" s="15"/>
      <c r="X40" s="30">
        <f>+P40-T40</f>
        <v>535811.48</v>
      </c>
      <c r="Y40" s="15"/>
      <c r="Z40" s="32">
        <f>IF(T40=0,0,X40/T40)</f>
        <v>-1.5195529059522117</v>
      </c>
    </row>
    <row r="41" spans="1:26" ht="15.75" thickTop="1" x14ac:dyDescent="0.25">
      <c r="A41" s="9"/>
      <c r="C41" s="9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A42" s="9"/>
      <c r="B42" s="58">
        <v>44209.521564618059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25">
      <c r="A43" s="9"/>
      <c r="B43" s="61" t="s">
        <v>313</v>
      </c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25">
      <c r="A44" s="9"/>
      <c r="B44" s="57"/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  <row r="45" spans="1:26" x14ac:dyDescent="0.25"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","201", " - ", "General Manager")</f>
        <v>Department 201 - General Manager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43823.630000000005</v>
      </c>
      <c r="E18" s="22"/>
      <c r="F18" s="36">
        <f t="shared" ref="F18:F27" si="0">IF(D$12=0,0,D18/D$12)</f>
        <v>0</v>
      </c>
      <c r="G18" s="22"/>
      <c r="H18" s="22">
        <f>SUM(OSRRefH22x_0)</f>
        <v>36311.929999999993</v>
      </c>
      <c r="I18" s="22"/>
      <c r="J18" s="36">
        <f t="shared" ref="J18:J27" si="1">IF(H$12=0,0,H18/H$12)</f>
        <v>0</v>
      </c>
      <c r="K18" s="4"/>
      <c r="L18" s="22">
        <f t="shared" ref="L18:L27" si="2">+D18-H18</f>
        <v>7511.7000000000116</v>
      </c>
      <c r="M18" s="4"/>
      <c r="N18" s="36">
        <f t="shared" ref="N18:N27" si="3">IF(H18=0,0,L18/H18)</f>
        <v>0.20686589779171785</v>
      </c>
      <c r="O18" s="10"/>
      <c r="P18" s="22">
        <f>SUM(OSRRefP22x_0)</f>
        <v>231738.77</v>
      </c>
      <c r="Q18" s="22"/>
      <c r="R18" s="36">
        <f t="shared" ref="R18:R27" si="4">IF(P$12=0,0,P18/P$12)</f>
        <v>0</v>
      </c>
      <c r="S18" s="22"/>
      <c r="T18" s="22">
        <f>SUM(OSRRefT22x_0)</f>
        <v>436974.30000000005</v>
      </c>
      <c r="U18" s="22"/>
      <c r="V18" s="36">
        <f t="shared" ref="V18:V27" si="5">IF(T$12=0,0,T18/T$12)</f>
        <v>0</v>
      </c>
      <c r="W18" s="4"/>
      <c r="X18" s="22">
        <f t="shared" ref="X18:X27" si="6">+P18-T18</f>
        <v>-205235.53000000006</v>
      </c>
      <c r="Y18" s="4"/>
      <c r="Z18" s="36">
        <f t="shared" ref="Z18:Z27" si="7">IF(T18=0,0,X18/T18)</f>
        <v>-0.46967414330774154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9348.4599999999991</v>
      </c>
      <c r="E19" s="1"/>
      <c r="F19" s="5">
        <f t="shared" si="0"/>
        <v>0</v>
      </c>
      <c r="G19" s="1"/>
      <c r="H19" s="1">
        <f>SUM(OSRRefH22_0x_0)</f>
        <v>9763.4299999999985</v>
      </c>
      <c r="I19" s="1"/>
      <c r="J19" s="5">
        <f t="shared" si="1"/>
        <v>0</v>
      </c>
      <c r="K19" s="1"/>
      <c r="L19" s="1">
        <f t="shared" si="2"/>
        <v>-414.96999999999935</v>
      </c>
      <c r="M19" s="1"/>
      <c r="N19" s="5">
        <f t="shared" si="3"/>
        <v>-4.250248119769378E-2</v>
      </c>
      <c r="O19" s="13"/>
      <c r="P19" s="1">
        <f>SUM(OSRRefP22_0x_0)</f>
        <v>65463.560000000005</v>
      </c>
      <c r="Q19" s="1"/>
      <c r="R19" s="5">
        <f t="shared" si="4"/>
        <v>0</v>
      </c>
      <c r="S19" s="1"/>
      <c r="T19" s="1">
        <f>SUM(OSRRefT22_0x_0)</f>
        <v>98108.61</v>
      </c>
      <c r="U19" s="1"/>
      <c r="V19" s="5">
        <f t="shared" si="5"/>
        <v>0</v>
      </c>
      <c r="W19" s="1"/>
      <c r="X19" s="1">
        <f t="shared" si="6"/>
        <v>-32645.049999999996</v>
      </c>
      <c r="Y19" s="1"/>
      <c r="Z19" s="5">
        <f t="shared" si="7"/>
        <v>-0.33274398648599746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578.15</v>
      </c>
      <c r="E20" s="2"/>
      <c r="F20" s="6">
        <f t="shared" si="0"/>
        <v>0</v>
      </c>
      <c r="G20" s="2"/>
      <c r="H20" s="7">
        <v>1109.56</v>
      </c>
      <c r="I20" s="2"/>
      <c r="J20" s="6">
        <f t="shared" si="1"/>
        <v>0</v>
      </c>
      <c r="K20" s="2"/>
      <c r="L20" s="7">
        <f t="shared" si="2"/>
        <v>-531.41</v>
      </c>
      <c r="M20" s="2"/>
      <c r="N20" s="6">
        <f t="shared" si="3"/>
        <v>-0.47893759688525178</v>
      </c>
      <c r="O20" s="11"/>
      <c r="P20" s="7">
        <v>6924.78</v>
      </c>
      <c r="Q20" s="2"/>
      <c r="R20" s="6">
        <f t="shared" si="4"/>
        <v>0</v>
      </c>
      <c r="S20" s="2"/>
      <c r="T20" s="7">
        <v>12915.61</v>
      </c>
      <c r="U20" s="2"/>
      <c r="V20" s="6">
        <f t="shared" si="5"/>
        <v>0</v>
      </c>
      <c r="W20" s="2"/>
      <c r="X20" s="7">
        <f t="shared" si="6"/>
        <v>-5990.8300000000008</v>
      </c>
      <c r="Y20" s="2"/>
      <c r="Z20" s="6">
        <f t="shared" si="7"/>
        <v>-0.46384413899149946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193.48</v>
      </c>
      <c r="E21" s="2"/>
      <c r="F21" s="6">
        <f t="shared" si="0"/>
        <v>0</v>
      </c>
      <c r="G21" s="2"/>
      <c r="H21" s="7">
        <v>104</v>
      </c>
      <c r="I21" s="2"/>
      <c r="J21" s="6">
        <f t="shared" si="1"/>
        <v>0</v>
      </c>
      <c r="K21" s="2"/>
      <c r="L21" s="7">
        <f t="shared" si="2"/>
        <v>89.47999999999999</v>
      </c>
      <c r="M21" s="2"/>
      <c r="N21" s="6">
        <f t="shared" si="3"/>
        <v>0.8603846153846153</v>
      </c>
      <c r="O21" s="11"/>
      <c r="P21" s="7">
        <v>636.71</v>
      </c>
      <c r="Q21" s="2"/>
      <c r="R21" s="6">
        <f t="shared" si="4"/>
        <v>0</v>
      </c>
      <c r="S21" s="2"/>
      <c r="T21" s="7">
        <v>845.57</v>
      </c>
      <c r="U21" s="2"/>
      <c r="V21" s="6">
        <f t="shared" si="5"/>
        <v>0</v>
      </c>
      <c r="W21" s="2"/>
      <c r="X21" s="7">
        <f t="shared" si="6"/>
        <v>-208.86</v>
      </c>
      <c r="Y21" s="2"/>
      <c r="Z21" s="6">
        <f t="shared" si="7"/>
        <v>-0.24700497888997955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3965.44</v>
      </c>
      <c r="E22" s="2"/>
      <c r="F22" s="6">
        <f t="shared" si="0"/>
        <v>0</v>
      </c>
      <c r="G22" s="2"/>
      <c r="H22" s="7">
        <v>3849.84</v>
      </c>
      <c r="I22" s="2"/>
      <c r="J22" s="6">
        <f t="shared" si="1"/>
        <v>0</v>
      </c>
      <c r="K22" s="2"/>
      <c r="L22" s="7">
        <f t="shared" si="2"/>
        <v>115.59999999999991</v>
      </c>
      <c r="M22" s="2"/>
      <c r="N22" s="6">
        <f t="shared" si="3"/>
        <v>3.0027221910520933E-2</v>
      </c>
      <c r="O22" s="11"/>
      <c r="P22" s="7">
        <v>24213.919999999998</v>
      </c>
      <c r="Q22" s="2"/>
      <c r="R22" s="6">
        <f t="shared" si="4"/>
        <v>0</v>
      </c>
      <c r="S22" s="2"/>
      <c r="T22" s="7">
        <v>25139.86</v>
      </c>
      <c r="U22" s="2"/>
      <c r="V22" s="6">
        <f t="shared" si="5"/>
        <v>0</v>
      </c>
      <c r="W22" s="2"/>
      <c r="X22" s="7">
        <f t="shared" si="6"/>
        <v>-925.94000000000233</v>
      </c>
      <c r="Y22" s="2"/>
      <c r="Z22" s="6">
        <f t="shared" si="7"/>
        <v>-3.6831549579035137E-2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79.53</v>
      </c>
      <c r="I23" s="2"/>
      <c r="J23" s="6">
        <f t="shared" si="1"/>
        <v>0</v>
      </c>
      <c r="K23" s="2"/>
      <c r="L23" s="7">
        <f t="shared" si="2"/>
        <v>-79.53</v>
      </c>
      <c r="M23" s="2"/>
      <c r="N23" s="6">
        <f t="shared" si="3"/>
        <v>-1</v>
      </c>
      <c r="O23" s="11"/>
      <c r="P23" s="7">
        <v>349.22</v>
      </c>
      <c r="Q23" s="2"/>
      <c r="R23" s="6">
        <f t="shared" si="4"/>
        <v>0</v>
      </c>
      <c r="S23" s="2"/>
      <c r="T23" s="7">
        <v>803.3</v>
      </c>
      <c r="U23" s="2"/>
      <c r="V23" s="6">
        <f t="shared" si="5"/>
        <v>0</v>
      </c>
      <c r="W23" s="2"/>
      <c r="X23" s="7">
        <f t="shared" si="6"/>
        <v>-454.07999999999993</v>
      </c>
      <c r="Y23" s="2"/>
      <c r="Z23" s="6">
        <f t="shared" si="7"/>
        <v>-0.56526826839287936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2049.0300000000002</v>
      </c>
      <c r="E24" s="2"/>
      <c r="F24" s="6">
        <f t="shared" si="0"/>
        <v>0</v>
      </c>
      <c r="G24" s="2"/>
      <c r="H24" s="7">
        <v>1898.57</v>
      </c>
      <c r="I24" s="2"/>
      <c r="J24" s="6">
        <f t="shared" si="1"/>
        <v>0</v>
      </c>
      <c r="K24" s="2"/>
      <c r="L24" s="7">
        <f t="shared" si="2"/>
        <v>150.46000000000026</v>
      </c>
      <c r="M24" s="2"/>
      <c r="N24" s="6">
        <f t="shared" si="3"/>
        <v>7.9249119073829394E-2</v>
      </c>
      <c r="O24" s="11"/>
      <c r="P24" s="7">
        <v>16656.030000000002</v>
      </c>
      <c r="Q24" s="2"/>
      <c r="R24" s="6">
        <f t="shared" si="4"/>
        <v>0</v>
      </c>
      <c r="S24" s="2"/>
      <c r="T24" s="7">
        <v>19708.57</v>
      </c>
      <c r="U24" s="2"/>
      <c r="V24" s="6">
        <f t="shared" si="5"/>
        <v>0</v>
      </c>
      <c r="W24" s="2"/>
      <c r="X24" s="7">
        <f t="shared" si="6"/>
        <v>-3052.5399999999972</v>
      </c>
      <c r="Y24" s="2"/>
      <c r="Z24" s="6">
        <f t="shared" si="7"/>
        <v>-0.1548838906120534</v>
      </c>
    </row>
    <row r="25" spans="1:26" s="24" customFormat="1" hidden="1" outlineLevel="2" x14ac:dyDescent="0.25">
      <c r="A25" s="27"/>
      <c r="B25" s="11" t="str">
        <f>CONCATENATE("          ", "6118", " - ", "VACATION")</f>
        <v xml:space="preserve">          6118 - VACATION</v>
      </c>
      <c r="C25" s="11"/>
      <c r="D25" s="7">
        <v>1658.98</v>
      </c>
      <c r="E25" s="2"/>
      <c r="F25" s="6">
        <f t="shared" si="0"/>
        <v>0</v>
      </c>
      <c r="G25" s="2"/>
      <c r="H25" s="7">
        <v>1621.64</v>
      </c>
      <c r="I25" s="2"/>
      <c r="J25" s="6">
        <f t="shared" si="1"/>
        <v>0</v>
      </c>
      <c r="K25" s="2"/>
      <c r="L25" s="7">
        <f t="shared" si="2"/>
        <v>37.339999999999918</v>
      </c>
      <c r="M25" s="2"/>
      <c r="N25" s="6">
        <f t="shared" si="3"/>
        <v>2.3026072371179741E-2</v>
      </c>
      <c r="O25" s="11"/>
      <c r="P25" s="7">
        <v>10783.37</v>
      </c>
      <c r="Q25" s="2"/>
      <c r="R25" s="6">
        <f t="shared" si="4"/>
        <v>0</v>
      </c>
      <c r="S25" s="2"/>
      <c r="T25" s="7">
        <v>16509.18</v>
      </c>
      <c r="U25" s="2"/>
      <c r="V25" s="6">
        <f t="shared" si="5"/>
        <v>0</v>
      </c>
      <c r="W25" s="2"/>
      <c r="X25" s="7">
        <f t="shared" si="6"/>
        <v>-5725.8099999999995</v>
      </c>
      <c r="Y25" s="2"/>
      <c r="Z25" s="6">
        <f t="shared" si="7"/>
        <v>-0.34682582660071543</v>
      </c>
    </row>
    <row r="26" spans="1:26" s="24" customFormat="1" hidden="1" outlineLevel="2" x14ac:dyDescent="0.25">
      <c r="A26" s="27"/>
      <c r="B26" s="11" t="str">
        <f>CONCATENATE("          ", "6119", " - ", "SICK LEAVE")</f>
        <v xml:space="preserve">          6119 - SICK LEAVE</v>
      </c>
      <c r="C26" s="11"/>
      <c r="D26" s="7">
        <v>856.8</v>
      </c>
      <c r="E26" s="2"/>
      <c r="F26" s="6">
        <f t="shared" si="0"/>
        <v>0</v>
      </c>
      <c r="G26" s="2"/>
      <c r="H26" s="7">
        <v>856.8</v>
      </c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5569.2</v>
      </c>
      <c r="Q26" s="2"/>
      <c r="R26" s="6">
        <f t="shared" si="4"/>
        <v>0</v>
      </c>
      <c r="S26" s="2"/>
      <c r="T26" s="7">
        <v>20399.599999999999</v>
      </c>
      <c r="U26" s="2"/>
      <c r="V26" s="6">
        <f t="shared" si="5"/>
        <v>0</v>
      </c>
      <c r="W26" s="2"/>
      <c r="X26" s="7">
        <f t="shared" si="6"/>
        <v>-14830.399999999998</v>
      </c>
      <c r="Y26" s="2"/>
      <c r="Z26" s="6">
        <f t="shared" si="7"/>
        <v>-0.72699464695386173</v>
      </c>
    </row>
    <row r="27" spans="1:26" s="24" customFormat="1" hidden="1" outlineLevel="2" x14ac:dyDescent="0.25">
      <c r="A27" s="27"/>
      <c r="B27" s="11" t="str">
        <f>CONCATENATE("          ", "6156", " - ", "EMPLOYEE MEALS")</f>
        <v xml:space="preserve">          6156 - EMPLOYEE MEALS</v>
      </c>
      <c r="C27" s="11"/>
      <c r="D27" s="7">
        <v>46.58</v>
      </c>
      <c r="E27" s="2"/>
      <c r="F27" s="6">
        <f t="shared" si="0"/>
        <v>0</v>
      </c>
      <c r="G27" s="2"/>
      <c r="H27" s="7">
        <v>243.49</v>
      </c>
      <c r="I27" s="2"/>
      <c r="J27" s="6">
        <f t="shared" si="1"/>
        <v>0</v>
      </c>
      <c r="K27" s="2"/>
      <c r="L27" s="7">
        <f t="shared" si="2"/>
        <v>-196.91000000000003</v>
      </c>
      <c r="M27" s="2"/>
      <c r="N27" s="6">
        <f t="shared" si="3"/>
        <v>-0.80869850917902175</v>
      </c>
      <c r="O27" s="11"/>
      <c r="P27" s="7">
        <v>330.33</v>
      </c>
      <c r="Q27" s="2"/>
      <c r="R27" s="6">
        <f t="shared" si="4"/>
        <v>0</v>
      </c>
      <c r="S27" s="2"/>
      <c r="T27" s="7">
        <v>1786.92</v>
      </c>
      <c r="U27" s="2"/>
      <c r="V27" s="6">
        <f t="shared" si="5"/>
        <v>0</v>
      </c>
      <c r="W27" s="2"/>
      <c r="X27" s="7">
        <f t="shared" si="6"/>
        <v>-1456.5900000000001</v>
      </c>
      <c r="Y27" s="2"/>
      <c r="Z27" s="6">
        <f t="shared" si="7"/>
        <v>-0.81514001746021092</v>
      </c>
    </row>
    <row r="28" spans="1:26" s="25" customFormat="1" outlineLevel="1" collapsed="1" x14ac:dyDescent="0.25">
      <c r="A28" s="26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18302.29</v>
      </c>
      <c r="E28" s="1"/>
      <c r="F28" s="5">
        <f t="shared" ref="F28:F31" si="8">IF(D$12=0,0,D28/D$12)</f>
        <v>0</v>
      </c>
      <c r="G28" s="1"/>
      <c r="H28" s="1">
        <f>SUM(OSRRefH22_1x_0)</f>
        <v>20416.13</v>
      </c>
      <c r="I28" s="1"/>
      <c r="J28" s="5">
        <f t="shared" ref="J28:J31" si="9">IF(H$12=0,0,H28/H$12)</f>
        <v>0</v>
      </c>
      <c r="K28" s="1"/>
      <c r="L28" s="1">
        <f t="shared" ref="L28:L31" si="10">+D28-H28</f>
        <v>-2113.84</v>
      </c>
      <c r="M28" s="1"/>
      <c r="N28" s="5">
        <f t="shared" ref="N28:N31" si="11">IF(H28=0,0,L28/H28)</f>
        <v>-0.10353774197166653</v>
      </c>
      <c r="O28" s="13"/>
      <c r="P28" s="1">
        <f>SUM(OSRRefP22_1x_0)</f>
        <v>68699.75</v>
      </c>
      <c r="Q28" s="1"/>
      <c r="R28" s="5">
        <f t="shared" ref="R28:R31" si="12">IF(P$12=0,0,P28/P$12)</f>
        <v>0</v>
      </c>
      <c r="S28" s="1"/>
      <c r="T28" s="1">
        <f>SUM(OSRRefT22_1x_0)</f>
        <v>80110.100000000006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-11410.350000000006</v>
      </c>
      <c r="Y28" s="1"/>
      <c r="Z28" s="5">
        <f t="shared" ref="Z28:Z31" si="15">IF(T28=0,0,X28/T28)</f>
        <v>-0.14243335110054794</v>
      </c>
    </row>
    <row r="29" spans="1:26" s="24" customFormat="1" hidden="1" outlineLevel="2" x14ac:dyDescent="0.25">
      <c r="A29" s="27"/>
      <c r="B29" s="11" t="str">
        <f>CONCATENATE("          ", "6001", " - ", "ADMINISTRATIVE SALARIES")</f>
        <v xml:space="preserve">          6001 - ADMINISTRATIVE SALARIES</v>
      </c>
      <c r="C29" s="11"/>
      <c r="D29" s="7">
        <v>14140.28</v>
      </c>
      <c r="E29" s="2"/>
      <c r="F29" s="6">
        <f t="shared" si="8"/>
        <v>0</v>
      </c>
      <c r="G29" s="2"/>
      <c r="H29" s="7">
        <v>14140.28</v>
      </c>
      <c r="I29" s="2"/>
      <c r="J29" s="6">
        <f t="shared" si="9"/>
        <v>0</v>
      </c>
      <c r="K29" s="2"/>
      <c r="L29" s="7">
        <f t="shared" si="10"/>
        <v>0</v>
      </c>
      <c r="M29" s="2"/>
      <c r="N29" s="6">
        <f t="shared" si="11"/>
        <v>0</v>
      </c>
      <c r="O29" s="11"/>
      <c r="P29" s="7">
        <v>87124.25</v>
      </c>
      <c r="Q29" s="2"/>
      <c r="R29" s="6">
        <f t="shared" si="12"/>
        <v>0</v>
      </c>
      <c r="S29" s="2"/>
      <c r="T29" s="7">
        <v>95957.14</v>
      </c>
      <c r="U29" s="2"/>
      <c r="V29" s="6">
        <f t="shared" si="13"/>
        <v>0</v>
      </c>
      <c r="W29" s="2"/>
      <c r="X29" s="7">
        <f t="shared" si="14"/>
        <v>-8832.89</v>
      </c>
      <c r="Y29" s="2"/>
      <c r="Z29" s="6">
        <f t="shared" si="15"/>
        <v>-9.2050367486984294E-2</v>
      </c>
    </row>
    <row r="30" spans="1:26" s="24" customFormat="1" hidden="1" outlineLevel="2" x14ac:dyDescent="0.25">
      <c r="A30" s="27"/>
      <c r="B30" s="11" t="str">
        <f>CONCATENATE("          ", "6002", " - ", "STAFF SALARIES")</f>
        <v xml:space="preserve">          6002 - STAFF SALARIES</v>
      </c>
      <c r="C30" s="11"/>
      <c r="D30" s="7">
        <v>4162.01</v>
      </c>
      <c r="E30" s="2"/>
      <c r="F30" s="6">
        <f t="shared" si="8"/>
        <v>0</v>
      </c>
      <c r="G30" s="2"/>
      <c r="H30" s="7">
        <v>4651.66</v>
      </c>
      <c r="I30" s="2"/>
      <c r="J30" s="6">
        <f t="shared" si="9"/>
        <v>0</v>
      </c>
      <c r="K30" s="2"/>
      <c r="L30" s="7">
        <f t="shared" si="10"/>
        <v>-489.64999999999964</v>
      </c>
      <c r="M30" s="2"/>
      <c r="N30" s="6">
        <f t="shared" si="11"/>
        <v>-0.10526349733213512</v>
      </c>
      <c r="O30" s="11"/>
      <c r="P30" s="7">
        <v>26532.79</v>
      </c>
      <c r="Q30" s="2"/>
      <c r="R30" s="6">
        <f t="shared" si="12"/>
        <v>0</v>
      </c>
      <c r="S30" s="2"/>
      <c r="T30" s="7">
        <v>28644.43</v>
      </c>
      <c r="U30" s="2"/>
      <c r="V30" s="6">
        <f t="shared" si="13"/>
        <v>0</v>
      </c>
      <c r="W30" s="2"/>
      <c r="X30" s="7">
        <f t="shared" si="14"/>
        <v>-2111.6399999999994</v>
      </c>
      <c r="Y30" s="2"/>
      <c r="Z30" s="6">
        <f t="shared" si="15"/>
        <v>-7.3719044156228611E-2</v>
      </c>
    </row>
    <row r="31" spans="1:26" s="24" customFormat="1" hidden="1" outlineLevel="2" x14ac:dyDescent="0.25">
      <c r="A31" s="27"/>
      <c r="B31" s="11" t="str">
        <f>CONCATENATE("          ", "6007", " - ", "STUDENT HOURLY")</f>
        <v xml:space="preserve">          6007 - STUDENT HOURLY</v>
      </c>
      <c r="C31" s="11"/>
      <c r="D31" s="7"/>
      <c r="E31" s="2"/>
      <c r="F31" s="6">
        <f t="shared" si="8"/>
        <v>0</v>
      </c>
      <c r="G31" s="2"/>
      <c r="H31" s="7">
        <v>1624.19</v>
      </c>
      <c r="I31" s="2"/>
      <c r="J31" s="6">
        <f t="shared" si="9"/>
        <v>0</v>
      </c>
      <c r="K31" s="2"/>
      <c r="L31" s="7">
        <f t="shared" si="10"/>
        <v>-1624.19</v>
      </c>
      <c r="M31" s="2"/>
      <c r="N31" s="6">
        <f t="shared" si="11"/>
        <v>-1</v>
      </c>
      <c r="O31" s="11"/>
      <c r="P31" s="7">
        <v>-44957.29</v>
      </c>
      <c r="Q31" s="2"/>
      <c r="R31" s="6">
        <f t="shared" si="12"/>
        <v>0</v>
      </c>
      <c r="S31" s="2"/>
      <c r="T31" s="7">
        <v>-44491.47</v>
      </c>
      <c r="U31" s="2"/>
      <c r="V31" s="6">
        <f t="shared" si="13"/>
        <v>0</v>
      </c>
      <c r="W31" s="2"/>
      <c r="X31" s="7">
        <f t="shared" si="14"/>
        <v>-465.81999999999971</v>
      </c>
      <c r="Y31" s="2"/>
      <c r="Z31" s="6">
        <f t="shared" si="15"/>
        <v>1.0469872090088274E-2</v>
      </c>
    </row>
    <row r="32" spans="1:26" s="25" customFormat="1" outlineLevel="1" collapsed="1" x14ac:dyDescent="0.25">
      <c r="A32" s="26"/>
      <c r="B32" s="13" t="str">
        <f>CONCATENATE("     ","Advertising/Promo                                 ")</f>
        <v xml:space="preserve">     Advertising/Promo                                 </v>
      </c>
      <c r="C32" s="13"/>
      <c r="D32" s="1">
        <f>SUM(OSRRefD22_2x_0)</f>
        <v>0</v>
      </c>
      <c r="E32" s="1"/>
      <c r="F32" s="5">
        <f t="shared" ref="F32:F49" si="16">IF(D$12=0,0,D32/D$12)</f>
        <v>0</v>
      </c>
      <c r="G32" s="1"/>
      <c r="H32" s="1">
        <f>SUM(OSRRefH22_2x_0)</f>
        <v>0</v>
      </c>
      <c r="I32" s="1"/>
      <c r="J32" s="5">
        <f t="shared" ref="J32:J49" si="17">IF(H$12=0,0,H32/H$12)</f>
        <v>0</v>
      </c>
      <c r="K32" s="1"/>
      <c r="L32" s="1">
        <f t="shared" ref="L32:L49" si="18">+D32-H32</f>
        <v>0</v>
      </c>
      <c r="M32" s="1"/>
      <c r="N32" s="5">
        <f t="shared" ref="N32:N49" si="19">IF(H32=0,0,L32/H32)</f>
        <v>0</v>
      </c>
      <c r="O32" s="13"/>
      <c r="P32" s="1">
        <f>SUM(OSRRefP22_2x_0)</f>
        <v>66.8</v>
      </c>
      <c r="Q32" s="1"/>
      <c r="R32" s="5">
        <f t="shared" ref="R32:R49" si="20">IF(P$12=0,0,P32/P$12)</f>
        <v>0</v>
      </c>
      <c r="S32" s="1"/>
      <c r="T32" s="1">
        <f>SUM(OSRRefT22_2x_0)</f>
        <v>11409.89</v>
      </c>
      <c r="U32" s="1"/>
      <c r="V32" s="5">
        <f t="shared" ref="V32:V49" si="21">IF(T$12=0,0,T32/T$12)</f>
        <v>0</v>
      </c>
      <c r="W32" s="1"/>
      <c r="X32" s="1">
        <f t="shared" ref="X32:X49" si="22">+P32-T32</f>
        <v>-11343.09</v>
      </c>
      <c r="Y32" s="1"/>
      <c r="Z32" s="5">
        <f t="shared" ref="Z32:Z49" si="23">IF(T32=0,0,X32/T32)</f>
        <v>-0.99414542997347044</v>
      </c>
    </row>
    <row r="33" spans="1:26" s="24" customFormat="1" hidden="1" outlineLevel="2" x14ac:dyDescent="0.25">
      <c r="A33" s="27"/>
      <c r="B33" s="11" t="str">
        <f>CONCATENATE("          ", "6362", " - ", "ADVERTISING EXPENSE")</f>
        <v xml:space="preserve">          6362 - ADVERTISING EXPENSE</v>
      </c>
      <c r="C33" s="11"/>
      <c r="D33" s="7"/>
      <c r="E33" s="2"/>
      <c r="F33" s="6">
        <f t="shared" si="16"/>
        <v>0</v>
      </c>
      <c r="G33" s="2"/>
      <c r="H33" s="7"/>
      <c r="I33" s="2"/>
      <c r="J33" s="6">
        <f t="shared" si="17"/>
        <v>0</v>
      </c>
      <c r="K33" s="2"/>
      <c r="L33" s="7">
        <f t="shared" si="18"/>
        <v>0</v>
      </c>
      <c r="M33" s="2"/>
      <c r="N33" s="6">
        <f t="shared" si="19"/>
        <v>0</v>
      </c>
      <c r="O33" s="11"/>
      <c r="P33" s="7">
        <v>66.8</v>
      </c>
      <c r="Q33" s="2"/>
      <c r="R33" s="6">
        <f t="shared" si="20"/>
        <v>0</v>
      </c>
      <c r="S33" s="2"/>
      <c r="T33" s="7">
        <v>11409.89</v>
      </c>
      <c r="U33" s="2"/>
      <c r="V33" s="6">
        <f t="shared" si="21"/>
        <v>0</v>
      </c>
      <c r="W33" s="2"/>
      <c r="X33" s="7">
        <f t="shared" si="22"/>
        <v>-11343.09</v>
      </c>
      <c r="Y33" s="2"/>
      <c r="Z33" s="6">
        <f t="shared" si="23"/>
        <v>-0.99414542997347044</v>
      </c>
    </row>
    <row r="34" spans="1:26" s="25" customFormat="1" outlineLevel="1" collapsed="1" x14ac:dyDescent="0.25">
      <c r="A34" s="26"/>
      <c r="B34" s="13" t="str">
        <f>CONCATENATE("     ","Depreciation                                      ")</f>
        <v xml:space="preserve">     Depreciation                                      </v>
      </c>
      <c r="C34" s="13"/>
      <c r="D34" s="1">
        <f>SUM(OSRRefD22_3x_0)</f>
        <v>314.87</v>
      </c>
      <c r="E34" s="1"/>
      <c r="F34" s="5">
        <f t="shared" si="16"/>
        <v>0</v>
      </c>
      <c r="G34" s="1"/>
      <c r="H34" s="1">
        <f>SUM(OSRRefH22_3x_0)</f>
        <v>345.23</v>
      </c>
      <c r="I34" s="1"/>
      <c r="J34" s="5">
        <f t="shared" si="17"/>
        <v>0</v>
      </c>
      <c r="K34" s="1"/>
      <c r="L34" s="1">
        <f t="shared" si="18"/>
        <v>-30.360000000000014</v>
      </c>
      <c r="M34" s="1"/>
      <c r="N34" s="5">
        <f t="shared" si="19"/>
        <v>-8.7941372418387773E-2</v>
      </c>
      <c r="O34" s="13"/>
      <c r="P34" s="1">
        <f>SUM(OSRRefP22_3x_0)</f>
        <v>1889.22</v>
      </c>
      <c r="Q34" s="1"/>
      <c r="R34" s="5">
        <f t="shared" si="20"/>
        <v>0</v>
      </c>
      <c r="S34" s="1"/>
      <c r="T34" s="1">
        <f>SUM(OSRRefT22_3x_0)</f>
        <v>2071.38</v>
      </c>
      <c r="U34" s="1"/>
      <c r="V34" s="5">
        <f t="shared" si="21"/>
        <v>0</v>
      </c>
      <c r="W34" s="1"/>
      <c r="X34" s="1">
        <f t="shared" si="22"/>
        <v>-182.16000000000008</v>
      </c>
      <c r="Y34" s="1"/>
      <c r="Z34" s="5">
        <f t="shared" si="23"/>
        <v>-8.7941372418387773E-2</v>
      </c>
    </row>
    <row r="35" spans="1:26" s="24" customFormat="1" hidden="1" outlineLevel="2" x14ac:dyDescent="0.25">
      <c r="A35" s="27"/>
      <c r="B35" s="11" t="str">
        <f>CONCATENATE("          ", "6322", " - ", "EQUIPMENT DEPRECIATION EXPENSE")</f>
        <v xml:space="preserve">          6322 - EQUIPMENT DEPRECIATION EXPENSE</v>
      </c>
      <c r="C35" s="11"/>
      <c r="D35" s="7">
        <v>314.87</v>
      </c>
      <c r="E35" s="2"/>
      <c r="F35" s="6">
        <f t="shared" si="16"/>
        <v>0</v>
      </c>
      <c r="G35" s="2"/>
      <c r="H35" s="7">
        <v>345.23</v>
      </c>
      <c r="I35" s="2"/>
      <c r="J35" s="6">
        <f t="shared" si="17"/>
        <v>0</v>
      </c>
      <c r="K35" s="2"/>
      <c r="L35" s="7">
        <f t="shared" si="18"/>
        <v>-30.360000000000014</v>
      </c>
      <c r="M35" s="2"/>
      <c r="N35" s="6">
        <f t="shared" si="19"/>
        <v>-8.7941372418387773E-2</v>
      </c>
      <c r="O35" s="11"/>
      <c r="P35" s="7">
        <v>1889.22</v>
      </c>
      <c r="Q35" s="2"/>
      <c r="R35" s="6">
        <f t="shared" si="20"/>
        <v>0</v>
      </c>
      <c r="S35" s="2"/>
      <c r="T35" s="7">
        <v>2071.38</v>
      </c>
      <c r="U35" s="2"/>
      <c r="V35" s="6">
        <f t="shared" si="21"/>
        <v>0</v>
      </c>
      <c r="W35" s="2"/>
      <c r="X35" s="7">
        <f t="shared" si="22"/>
        <v>-182.16000000000008</v>
      </c>
      <c r="Y35" s="2"/>
      <c r="Z35" s="6">
        <f t="shared" si="23"/>
        <v>-8.7941372418387773E-2</v>
      </c>
    </row>
    <row r="36" spans="1:26" s="25" customFormat="1" outlineLevel="1" collapsed="1" x14ac:dyDescent="0.25">
      <c r="A36" s="26"/>
      <c r="B36" s="13" t="str">
        <f>CONCATENATE("     ","Donations                                         ")</f>
        <v xml:space="preserve">     Donations                                         </v>
      </c>
      <c r="C36" s="13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2.21</v>
      </c>
      <c r="I36" s="1"/>
      <c r="J36" s="5">
        <f t="shared" si="17"/>
        <v>0</v>
      </c>
      <c r="K36" s="1"/>
      <c r="L36" s="1">
        <f t="shared" si="18"/>
        <v>-2.21</v>
      </c>
      <c r="M36" s="1"/>
      <c r="N36" s="5">
        <f t="shared" si="19"/>
        <v>-1</v>
      </c>
      <c r="O36" s="13"/>
      <c r="P36" s="1">
        <f>SUM(OSRRefP22_4x_0)</f>
        <v>25000</v>
      </c>
      <c r="Q36" s="1"/>
      <c r="R36" s="5">
        <f t="shared" si="20"/>
        <v>0</v>
      </c>
      <c r="S36" s="1"/>
      <c r="T36" s="1">
        <f>SUM(OSRRefT22_4x_0)</f>
        <v>145645</v>
      </c>
      <c r="U36" s="1"/>
      <c r="V36" s="5">
        <f t="shared" si="21"/>
        <v>0</v>
      </c>
      <c r="W36" s="1"/>
      <c r="X36" s="1">
        <f t="shared" si="22"/>
        <v>-120645</v>
      </c>
      <c r="Y36" s="1"/>
      <c r="Z36" s="5">
        <f t="shared" si="23"/>
        <v>-0.82834975454014903</v>
      </c>
    </row>
    <row r="37" spans="1:26" s="24" customFormat="1" hidden="1" outlineLevel="2" x14ac:dyDescent="0.25">
      <c r="A37" s="27"/>
      <c r="B37" s="11" t="str">
        <f>CONCATENATE("          ", "6399", " - ", "DONATION-ON CAMPUS")</f>
        <v xml:space="preserve">          6399 - DONATION-ON CAMPUS</v>
      </c>
      <c r="C37" s="11"/>
      <c r="D37" s="7"/>
      <c r="E37" s="2"/>
      <c r="F37" s="6">
        <f t="shared" si="16"/>
        <v>0</v>
      </c>
      <c r="G37" s="2"/>
      <c r="H37" s="7">
        <v>2.21</v>
      </c>
      <c r="I37" s="2"/>
      <c r="J37" s="6">
        <f t="shared" si="17"/>
        <v>0</v>
      </c>
      <c r="K37" s="2"/>
      <c r="L37" s="7">
        <f t="shared" si="18"/>
        <v>-2.21</v>
      </c>
      <c r="M37" s="2"/>
      <c r="N37" s="6">
        <f t="shared" si="19"/>
        <v>-1</v>
      </c>
      <c r="O37" s="11"/>
      <c r="P37" s="7">
        <v>25000</v>
      </c>
      <c r="Q37" s="2"/>
      <c r="R37" s="6">
        <f t="shared" si="20"/>
        <v>0</v>
      </c>
      <c r="S37" s="2"/>
      <c r="T37" s="7">
        <v>145645</v>
      </c>
      <c r="U37" s="2"/>
      <c r="V37" s="6">
        <f t="shared" si="21"/>
        <v>0</v>
      </c>
      <c r="W37" s="2"/>
      <c r="X37" s="7">
        <f t="shared" si="22"/>
        <v>-120645</v>
      </c>
      <c r="Y37" s="2"/>
      <c r="Z37" s="6">
        <f t="shared" si="23"/>
        <v>-0.82834975454014903</v>
      </c>
    </row>
    <row r="38" spans="1:26" s="25" customFormat="1" outlineLevel="1" collapsed="1" x14ac:dyDescent="0.25">
      <c r="A38" s="26"/>
      <c r="B38" s="13" t="str">
        <f>CONCATENATE("     ","Equipment Rental                                  ")</f>
        <v xml:space="preserve">     Equipment Rental                                  </v>
      </c>
      <c r="C38" s="13"/>
      <c r="D38" s="1">
        <f>SUM(OSRRefD22_5x_0)</f>
        <v>117.71</v>
      </c>
      <c r="E38" s="1"/>
      <c r="F38" s="5">
        <f t="shared" si="16"/>
        <v>0</v>
      </c>
      <c r="G38" s="1"/>
      <c r="H38" s="1">
        <f>SUM(OSRRefH22_5x_0)</f>
        <v>0</v>
      </c>
      <c r="I38" s="1"/>
      <c r="J38" s="5">
        <f t="shared" si="17"/>
        <v>0</v>
      </c>
      <c r="K38" s="1"/>
      <c r="L38" s="1">
        <f t="shared" si="18"/>
        <v>117.71</v>
      </c>
      <c r="M38" s="1"/>
      <c r="N38" s="5">
        <f t="shared" si="19"/>
        <v>0</v>
      </c>
      <c r="O38" s="13"/>
      <c r="P38" s="1">
        <f>SUM(OSRRefP22_5x_0)</f>
        <v>706.26</v>
      </c>
      <c r="Q38" s="1"/>
      <c r="R38" s="5">
        <f t="shared" si="20"/>
        <v>0</v>
      </c>
      <c r="S38" s="1"/>
      <c r="T38" s="1">
        <f>SUM(OSRRefT22_5x_0)</f>
        <v>706.32</v>
      </c>
      <c r="U38" s="1"/>
      <c r="V38" s="5">
        <f t="shared" si="21"/>
        <v>0</v>
      </c>
      <c r="W38" s="1"/>
      <c r="X38" s="1">
        <f t="shared" si="22"/>
        <v>-6.0000000000059117E-2</v>
      </c>
      <c r="Y38" s="1"/>
      <c r="Z38" s="5">
        <f t="shared" si="23"/>
        <v>-8.4947332653838366E-5</v>
      </c>
    </row>
    <row r="39" spans="1:26" s="24" customFormat="1" hidden="1" outlineLevel="2" x14ac:dyDescent="0.25">
      <c r="A39" s="27"/>
      <c r="B39" s="11" t="str">
        <f>CONCATENATE("          ", "6351", " - ", "EQUIPMENT RENTAL")</f>
        <v xml:space="preserve">          6351 - EQUIPMENT RENTAL</v>
      </c>
      <c r="C39" s="11"/>
      <c r="D39" s="7">
        <v>117.71</v>
      </c>
      <c r="E39" s="2"/>
      <c r="F39" s="6">
        <f t="shared" si="16"/>
        <v>0</v>
      </c>
      <c r="G39" s="2"/>
      <c r="H39" s="7"/>
      <c r="I39" s="2"/>
      <c r="J39" s="6">
        <f t="shared" si="17"/>
        <v>0</v>
      </c>
      <c r="K39" s="2"/>
      <c r="L39" s="7">
        <f t="shared" si="18"/>
        <v>117.71</v>
      </c>
      <c r="M39" s="2"/>
      <c r="N39" s="6">
        <f t="shared" si="19"/>
        <v>0</v>
      </c>
      <c r="O39" s="11"/>
      <c r="P39" s="7">
        <v>706.26</v>
      </c>
      <c r="Q39" s="2"/>
      <c r="R39" s="6">
        <f t="shared" si="20"/>
        <v>0</v>
      </c>
      <c r="S39" s="2"/>
      <c r="T39" s="7">
        <v>706.32</v>
      </c>
      <c r="U39" s="2"/>
      <c r="V39" s="6">
        <f t="shared" si="21"/>
        <v>0</v>
      </c>
      <c r="W39" s="2"/>
      <c r="X39" s="7">
        <f t="shared" si="22"/>
        <v>-6.0000000000059117E-2</v>
      </c>
      <c r="Y39" s="2"/>
      <c r="Z39" s="6">
        <f t="shared" si="23"/>
        <v>-8.4947332653838366E-5</v>
      </c>
    </row>
    <row r="40" spans="1:26" s="25" customFormat="1" outlineLevel="1" collapsed="1" x14ac:dyDescent="0.25">
      <c r="A40" s="26"/>
      <c r="B40" s="13" t="str">
        <f>CONCATENATE("     ","Freight out/Postage                               ")</f>
        <v xml:space="preserve">     Freight out/Postage                               </v>
      </c>
      <c r="C40" s="13"/>
      <c r="D40" s="1">
        <f>SUM(OSRRefD22_6x_0)</f>
        <v>1.5</v>
      </c>
      <c r="E40" s="1"/>
      <c r="F40" s="5">
        <f t="shared" si="16"/>
        <v>0</v>
      </c>
      <c r="G40" s="1"/>
      <c r="H40" s="1">
        <f>SUM(OSRRefH22_6x_0)</f>
        <v>123.25</v>
      </c>
      <c r="I40" s="1"/>
      <c r="J40" s="5">
        <f t="shared" si="17"/>
        <v>0</v>
      </c>
      <c r="K40" s="1"/>
      <c r="L40" s="1">
        <f t="shared" si="18"/>
        <v>-121.75</v>
      </c>
      <c r="M40" s="1"/>
      <c r="N40" s="5">
        <f t="shared" si="19"/>
        <v>-0.9878296146044625</v>
      </c>
      <c r="O40" s="13"/>
      <c r="P40" s="1">
        <f>SUM(OSRRefP22_6x_0)</f>
        <v>65.06</v>
      </c>
      <c r="Q40" s="1"/>
      <c r="R40" s="5">
        <f t="shared" si="20"/>
        <v>0</v>
      </c>
      <c r="S40" s="1"/>
      <c r="T40" s="1">
        <f>SUM(OSRRefT22_6x_0)</f>
        <v>132.5</v>
      </c>
      <c r="U40" s="1"/>
      <c r="V40" s="5">
        <f t="shared" si="21"/>
        <v>0</v>
      </c>
      <c r="W40" s="1"/>
      <c r="X40" s="1">
        <f t="shared" si="22"/>
        <v>-67.44</v>
      </c>
      <c r="Y40" s="1"/>
      <c r="Z40" s="5">
        <f t="shared" si="23"/>
        <v>-0.50898113207547169</v>
      </c>
    </row>
    <row r="41" spans="1:26" s="24" customFormat="1" hidden="1" outlineLevel="2" x14ac:dyDescent="0.25">
      <c r="A41" s="27"/>
      <c r="B41" s="11" t="str">
        <f>CONCATENATE("          ", "6307", " - ", "POSTAGE")</f>
        <v xml:space="preserve">          6307 - POSTAGE</v>
      </c>
      <c r="C41" s="11"/>
      <c r="D41" s="7">
        <v>1.5</v>
      </c>
      <c r="E41" s="2"/>
      <c r="F41" s="6">
        <f t="shared" si="16"/>
        <v>0</v>
      </c>
      <c r="G41" s="2"/>
      <c r="H41" s="7">
        <v>123.25</v>
      </c>
      <c r="I41" s="2"/>
      <c r="J41" s="6">
        <f t="shared" si="17"/>
        <v>0</v>
      </c>
      <c r="K41" s="2"/>
      <c r="L41" s="7">
        <f t="shared" si="18"/>
        <v>-121.75</v>
      </c>
      <c r="M41" s="2"/>
      <c r="N41" s="6">
        <f t="shared" si="19"/>
        <v>-0.9878296146044625</v>
      </c>
      <c r="O41" s="11"/>
      <c r="P41" s="7">
        <v>65.06</v>
      </c>
      <c r="Q41" s="2"/>
      <c r="R41" s="6">
        <f t="shared" si="20"/>
        <v>0</v>
      </c>
      <c r="S41" s="2"/>
      <c r="T41" s="7">
        <v>132.5</v>
      </c>
      <c r="U41" s="2"/>
      <c r="V41" s="6">
        <f t="shared" si="21"/>
        <v>0</v>
      </c>
      <c r="W41" s="2"/>
      <c r="X41" s="7">
        <f t="shared" si="22"/>
        <v>-67.44</v>
      </c>
      <c r="Y41" s="2"/>
      <c r="Z41" s="6">
        <f t="shared" si="23"/>
        <v>-0.50898113207547169</v>
      </c>
    </row>
    <row r="42" spans="1:26" s="25" customFormat="1" outlineLevel="1" collapsed="1" x14ac:dyDescent="0.25">
      <c r="A42" s="26"/>
      <c r="B42" s="13" t="str">
        <f>CONCATENATE("     ","General                                           ")</f>
        <v xml:space="preserve">     General                                           </v>
      </c>
      <c r="C42" s="13"/>
      <c r="D42" s="1">
        <f>SUM(OSRRefD22_7x_0)</f>
        <v>0</v>
      </c>
      <c r="E42" s="1"/>
      <c r="F42" s="5">
        <f t="shared" si="16"/>
        <v>0</v>
      </c>
      <c r="G42" s="1"/>
      <c r="H42" s="1">
        <f>SUM(OSRRefH22_7x_0)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SUM(OSRRefP22_7x_0)</f>
        <v>0</v>
      </c>
      <c r="Q42" s="1"/>
      <c r="R42" s="5">
        <f t="shared" si="20"/>
        <v>0</v>
      </c>
      <c r="S42" s="1"/>
      <c r="T42" s="1">
        <f>SUM(OSRRefT22_7x_0)</f>
        <v>11700.62</v>
      </c>
      <c r="U42" s="1"/>
      <c r="V42" s="5">
        <f t="shared" si="21"/>
        <v>0</v>
      </c>
      <c r="W42" s="1"/>
      <c r="X42" s="1">
        <f t="shared" si="22"/>
        <v>-11700.62</v>
      </c>
      <c r="Y42" s="1"/>
      <c r="Z42" s="5">
        <f t="shared" si="23"/>
        <v>-1</v>
      </c>
    </row>
    <row r="43" spans="1:26" s="24" customFormat="1" hidden="1" outlineLevel="2" x14ac:dyDescent="0.25">
      <c r="A43" s="27"/>
      <c r="B43" s="11" t="str">
        <f>CONCATENATE("          ", "6279", " - ", "GENERAL EXPENSE")</f>
        <v xml:space="preserve">          6279 - GENERAL EXPENSE</v>
      </c>
      <c r="C43" s="11"/>
      <c r="D43" s="7"/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/>
      <c r="Q43" s="2"/>
      <c r="R43" s="6">
        <f t="shared" si="20"/>
        <v>0</v>
      </c>
      <c r="S43" s="2"/>
      <c r="T43" s="7">
        <v>11700.62</v>
      </c>
      <c r="U43" s="2"/>
      <c r="V43" s="6">
        <f t="shared" si="21"/>
        <v>0</v>
      </c>
      <c r="W43" s="2"/>
      <c r="X43" s="7">
        <f t="shared" si="22"/>
        <v>-11700.62</v>
      </c>
      <c r="Y43" s="2"/>
      <c r="Z43" s="6">
        <f t="shared" si="23"/>
        <v>-1</v>
      </c>
    </row>
    <row r="44" spans="1:26" s="25" customFormat="1" outlineLevel="1" collapsed="1" x14ac:dyDescent="0.25">
      <c r="A44" s="26"/>
      <c r="B44" s="13" t="str">
        <f>CONCATENATE("     ","Insurance                                         ")</f>
        <v xml:space="preserve">     Insurance                                         </v>
      </c>
      <c r="C44" s="13"/>
      <c r="D44" s="1">
        <f>SUM(OSRRefD22_8x_0)</f>
        <v>115.13</v>
      </c>
      <c r="E44" s="1"/>
      <c r="F44" s="5">
        <f t="shared" si="16"/>
        <v>0</v>
      </c>
      <c r="G44" s="1"/>
      <c r="H44" s="1">
        <f>SUM(OSRRefH22_8x_0)</f>
        <v>115.13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SUM(OSRRefP22_8x_0)</f>
        <v>690.78</v>
      </c>
      <c r="Q44" s="1"/>
      <c r="R44" s="5">
        <f t="shared" si="20"/>
        <v>0</v>
      </c>
      <c r="S44" s="1"/>
      <c r="T44" s="1">
        <f>SUM(OSRRefT22_8x_0)</f>
        <v>690.78</v>
      </c>
      <c r="U44" s="1"/>
      <c r="V44" s="5">
        <f t="shared" si="21"/>
        <v>0</v>
      </c>
      <c r="W44" s="1"/>
      <c r="X44" s="1">
        <f t="shared" si="22"/>
        <v>0</v>
      </c>
      <c r="Y44" s="1"/>
      <c r="Z44" s="5">
        <f t="shared" si="23"/>
        <v>0</v>
      </c>
    </row>
    <row r="45" spans="1:26" s="24" customFormat="1" hidden="1" outlineLevel="2" x14ac:dyDescent="0.25">
      <c r="A45" s="27"/>
      <c r="B45" s="11" t="str">
        <f>CONCATENATE("          ", "6314", " - ", "LIABILITY INSURANCE")</f>
        <v xml:space="preserve">          6314 - LIABILITY INSURANCE</v>
      </c>
      <c r="C45" s="11"/>
      <c r="D45" s="7">
        <v>115.13</v>
      </c>
      <c r="E45" s="2"/>
      <c r="F45" s="6">
        <f t="shared" si="16"/>
        <v>0</v>
      </c>
      <c r="G45" s="2"/>
      <c r="H45" s="7">
        <v>115.13</v>
      </c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>
        <v>690.78</v>
      </c>
      <c r="Q45" s="2"/>
      <c r="R45" s="6">
        <f t="shared" si="20"/>
        <v>0</v>
      </c>
      <c r="S45" s="2"/>
      <c r="T45" s="7">
        <v>690.78</v>
      </c>
      <c r="U45" s="2"/>
      <c r="V45" s="6">
        <f t="shared" si="21"/>
        <v>0</v>
      </c>
      <c r="W45" s="2"/>
      <c r="X45" s="7">
        <f t="shared" si="22"/>
        <v>0</v>
      </c>
      <c r="Y45" s="2"/>
      <c r="Z45" s="6">
        <f t="shared" si="23"/>
        <v>0</v>
      </c>
    </row>
    <row r="46" spans="1:26" s="25" customFormat="1" outlineLevel="1" collapsed="1" x14ac:dyDescent="0.25">
      <c r="A46" s="26"/>
      <c r="B46" s="13" t="str">
        <f>CONCATENATE("     ","Professional Services                             ")</f>
        <v xml:space="preserve">     Professional Services                             </v>
      </c>
      <c r="C46" s="13"/>
      <c r="D46" s="1">
        <f>SUM(OSRRefD22_9x_0)</f>
        <v>12964.86</v>
      </c>
      <c r="E46" s="1"/>
      <c r="F46" s="5">
        <f t="shared" si="16"/>
        <v>0</v>
      </c>
      <c r="G46" s="1"/>
      <c r="H46" s="1">
        <f>SUM(OSRRefH22_9x_0)</f>
        <v>100</v>
      </c>
      <c r="I46" s="1"/>
      <c r="J46" s="5">
        <f t="shared" si="17"/>
        <v>0</v>
      </c>
      <c r="K46" s="1"/>
      <c r="L46" s="1">
        <f t="shared" si="18"/>
        <v>12864.86</v>
      </c>
      <c r="M46" s="1"/>
      <c r="N46" s="5">
        <f t="shared" si="19"/>
        <v>128.64860000000002</v>
      </c>
      <c r="O46" s="13"/>
      <c r="P46" s="1">
        <f>SUM(OSRRefP22_9x_0)</f>
        <v>49654.239999999998</v>
      </c>
      <c r="Q46" s="1"/>
      <c r="R46" s="5">
        <f t="shared" si="20"/>
        <v>0</v>
      </c>
      <c r="S46" s="1"/>
      <c r="T46" s="1">
        <f>SUM(OSRRefT22_9x_0)</f>
        <v>50860</v>
      </c>
      <c r="U46" s="1"/>
      <c r="V46" s="5">
        <f t="shared" si="21"/>
        <v>0</v>
      </c>
      <c r="W46" s="1"/>
      <c r="X46" s="1">
        <f t="shared" si="22"/>
        <v>-1205.760000000002</v>
      </c>
      <c r="Y46" s="1"/>
      <c r="Z46" s="5">
        <f t="shared" si="23"/>
        <v>-2.3707432166732247E-2</v>
      </c>
    </row>
    <row r="47" spans="1:26" s="24" customFormat="1" hidden="1" outlineLevel="2" x14ac:dyDescent="0.25">
      <c r="A47" s="27"/>
      <c r="B47" s="11" t="str">
        <f>CONCATENATE("          ", "6331", " - ", "INDIRECT COSTS-AUXILIARY ORGAN")</f>
        <v xml:space="preserve">          6331 - INDIRECT COSTS-AUXILIARY ORGAN</v>
      </c>
      <c r="C47" s="11"/>
      <c r="D47" s="7">
        <v>12850</v>
      </c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12850</v>
      </c>
      <c r="M47" s="2"/>
      <c r="N47" s="6">
        <f t="shared" si="19"/>
        <v>0</v>
      </c>
      <c r="O47" s="11"/>
      <c r="P47" s="7">
        <v>45850</v>
      </c>
      <c r="Q47" s="2"/>
      <c r="R47" s="6">
        <f t="shared" si="20"/>
        <v>0</v>
      </c>
      <c r="S47" s="2"/>
      <c r="T47" s="7">
        <v>45550</v>
      </c>
      <c r="U47" s="2"/>
      <c r="V47" s="6">
        <f t="shared" si="21"/>
        <v>0</v>
      </c>
      <c r="W47" s="2"/>
      <c r="X47" s="7">
        <f t="shared" si="22"/>
        <v>300</v>
      </c>
      <c r="Y47" s="2"/>
      <c r="Z47" s="6">
        <f t="shared" si="23"/>
        <v>6.5861690450054883E-3</v>
      </c>
    </row>
    <row r="48" spans="1:26" s="24" customFormat="1" hidden="1" outlineLevel="2" x14ac:dyDescent="0.25">
      <c r="A48" s="27"/>
      <c r="B48" s="11" t="str">
        <f>CONCATENATE("          ", "6334", " - ", "LEGAL COUNCIL EXPENSE")</f>
        <v xml:space="preserve">          6334 - LEGAL COUNCIL EXPENSE</v>
      </c>
      <c r="C48" s="11"/>
      <c r="D48" s="7">
        <v>114.86</v>
      </c>
      <c r="E48" s="2"/>
      <c r="F48" s="6">
        <f t="shared" si="16"/>
        <v>0</v>
      </c>
      <c r="G48" s="2"/>
      <c r="H48" s="7">
        <v>100</v>
      </c>
      <c r="I48" s="2"/>
      <c r="J48" s="6">
        <f t="shared" si="17"/>
        <v>0</v>
      </c>
      <c r="K48" s="2"/>
      <c r="L48" s="7">
        <f t="shared" si="18"/>
        <v>14.86</v>
      </c>
      <c r="M48" s="2"/>
      <c r="N48" s="6">
        <f t="shared" si="19"/>
        <v>0.14859999999999998</v>
      </c>
      <c r="O48" s="11"/>
      <c r="P48" s="7">
        <v>3804.24</v>
      </c>
      <c r="Q48" s="2"/>
      <c r="R48" s="6">
        <f t="shared" si="20"/>
        <v>0</v>
      </c>
      <c r="S48" s="2"/>
      <c r="T48" s="7">
        <v>290</v>
      </c>
      <c r="U48" s="2"/>
      <c r="V48" s="6">
        <f t="shared" si="21"/>
        <v>0</v>
      </c>
      <c r="W48" s="2"/>
      <c r="X48" s="7">
        <f t="shared" si="22"/>
        <v>3514.24</v>
      </c>
      <c r="Y48" s="2"/>
      <c r="Z48" s="6">
        <f t="shared" si="23"/>
        <v>12.11806896551724</v>
      </c>
    </row>
    <row r="49" spans="1:26" s="24" customFormat="1" hidden="1" outlineLevel="2" x14ac:dyDescent="0.25">
      <c r="A49" s="27"/>
      <c r="B49" s="11" t="str">
        <f>CONCATENATE("          ", "6336", " - ", "PROFESSIONAL SERVICES")</f>
        <v xml:space="preserve">          6336 - PROFESSIONAL SERVICES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/>
      <c r="Q49" s="2"/>
      <c r="R49" s="6">
        <f t="shared" si="20"/>
        <v>0</v>
      </c>
      <c r="S49" s="2"/>
      <c r="T49" s="7">
        <v>5020</v>
      </c>
      <c r="U49" s="2"/>
      <c r="V49" s="6">
        <f t="shared" si="21"/>
        <v>0</v>
      </c>
      <c r="W49" s="2"/>
      <c r="X49" s="7">
        <f t="shared" si="22"/>
        <v>-5020</v>
      </c>
      <c r="Y49" s="2"/>
      <c r="Z49" s="6">
        <f t="shared" si="23"/>
        <v>-1</v>
      </c>
    </row>
    <row r="50" spans="1:26" s="25" customFormat="1" outlineLevel="1" collapsed="1" x14ac:dyDescent="0.25">
      <c r="A50" s="26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SUM(OSRRefD22_10x_0)</f>
        <v>1448.74</v>
      </c>
      <c r="E50" s="1"/>
      <c r="F50" s="5">
        <f t="shared" ref="F50:F53" si="24">IF(D$12=0,0,D50/D$12)</f>
        <v>0</v>
      </c>
      <c r="G50" s="1"/>
      <c r="H50" s="1">
        <f>SUM(OSRRefH22_10x_0)</f>
        <v>2675.13</v>
      </c>
      <c r="I50" s="1"/>
      <c r="J50" s="5">
        <f t="shared" ref="J50:J53" si="25">IF(H$12=0,0,H50/H$12)</f>
        <v>0</v>
      </c>
      <c r="K50" s="1"/>
      <c r="L50" s="1">
        <f t="shared" ref="L50:L53" si="26">+D50-H50</f>
        <v>-1226.3900000000001</v>
      </c>
      <c r="M50" s="1"/>
      <c r="N50" s="5">
        <f t="shared" ref="N50:N53" si="27">IF(H50=0,0,L50/H50)</f>
        <v>-0.45844127201294893</v>
      </c>
      <c r="O50" s="13"/>
      <c r="P50" s="1">
        <f>SUM(OSRRefP22_10x_0)</f>
        <v>13261</v>
      </c>
      <c r="Q50" s="1"/>
      <c r="R50" s="5">
        <f t="shared" ref="R50:R53" si="28">IF(P$12=0,0,P50/P$12)</f>
        <v>0</v>
      </c>
      <c r="S50" s="1"/>
      <c r="T50" s="1">
        <f>SUM(OSRRefT22_10x_0)</f>
        <v>20295.830000000002</v>
      </c>
      <c r="U50" s="1"/>
      <c r="V50" s="5">
        <f t="shared" ref="V50:V53" si="29">IF(T$12=0,0,T50/T$12)</f>
        <v>0</v>
      </c>
      <c r="W50" s="1"/>
      <c r="X50" s="1">
        <f t="shared" ref="X50:X53" si="30">+P50-T50</f>
        <v>-7034.8300000000017</v>
      </c>
      <c r="Y50" s="1"/>
      <c r="Z50" s="5">
        <f t="shared" ref="Z50:Z53" si="31">IF(T50=0,0,X50/T50)</f>
        <v>-0.34661455087079468</v>
      </c>
    </row>
    <row r="51" spans="1:26" s="24" customFormat="1" hidden="1" outlineLevel="2" x14ac:dyDescent="0.25">
      <c r="A51" s="27"/>
      <c r="B51" s="11" t="str">
        <f>CONCATENATE("          ", "6371", " - ", "COMPUTER SOFTWARE MAINTENANCE")</f>
        <v xml:space="preserve">          6371 - COMPUTER SOFTWARE MAINTENANCE</v>
      </c>
      <c r="C51" s="11"/>
      <c r="D51" s="7"/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/>
      <c r="Q51" s="2"/>
      <c r="R51" s="6">
        <f t="shared" si="28"/>
        <v>0</v>
      </c>
      <c r="S51" s="2"/>
      <c r="T51" s="7">
        <v>31.58</v>
      </c>
      <c r="U51" s="2"/>
      <c r="V51" s="6">
        <f t="shared" si="29"/>
        <v>0</v>
      </c>
      <c r="W51" s="2"/>
      <c r="X51" s="7">
        <f t="shared" si="30"/>
        <v>-31.58</v>
      </c>
      <c r="Y51" s="2"/>
      <c r="Z51" s="6">
        <f t="shared" si="31"/>
        <v>-1</v>
      </c>
    </row>
    <row r="52" spans="1:26" s="24" customFormat="1" hidden="1" outlineLevel="2" x14ac:dyDescent="0.25">
      <c r="A52" s="27"/>
      <c r="B52" s="11" t="str">
        <f>CONCATENATE("          ", "6373", " - ", "MAINTENANCE CONTRACTS")</f>
        <v xml:space="preserve">          6373 - MAINTENANCE CONTRACTS</v>
      </c>
      <c r="C52" s="11"/>
      <c r="D52" s="7">
        <v>1448.74</v>
      </c>
      <c r="E52" s="2"/>
      <c r="F52" s="6">
        <f t="shared" si="24"/>
        <v>0</v>
      </c>
      <c r="G52" s="2"/>
      <c r="H52" s="7">
        <v>2675.13</v>
      </c>
      <c r="I52" s="2"/>
      <c r="J52" s="6">
        <f t="shared" si="25"/>
        <v>0</v>
      </c>
      <c r="K52" s="2"/>
      <c r="L52" s="7">
        <f t="shared" si="26"/>
        <v>-1226.3900000000001</v>
      </c>
      <c r="M52" s="2"/>
      <c r="N52" s="6">
        <f t="shared" si="27"/>
        <v>-0.45844127201294893</v>
      </c>
      <c r="O52" s="11"/>
      <c r="P52" s="7">
        <v>13261</v>
      </c>
      <c r="Q52" s="2"/>
      <c r="R52" s="6">
        <f t="shared" si="28"/>
        <v>0</v>
      </c>
      <c r="S52" s="2"/>
      <c r="T52" s="7">
        <v>19739.259999999998</v>
      </c>
      <c r="U52" s="2"/>
      <c r="V52" s="6">
        <f t="shared" si="29"/>
        <v>0</v>
      </c>
      <c r="W52" s="2"/>
      <c r="X52" s="7">
        <f t="shared" si="30"/>
        <v>-6478.2599999999984</v>
      </c>
      <c r="Y52" s="2"/>
      <c r="Z52" s="6">
        <f t="shared" si="31"/>
        <v>-0.32819163433684945</v>
      </c>
    </row>
    <row r="53" spans="1:26" s="24" customFormat="1" hidden="1" outlineLevel="2" x14ac:dyDescent="0.25">
      <c r="A53" s="27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24"/>
        <v>0</v>
      </c>
      <c r="G53" s="2"/>
      <c r="H53" s="7"/>
      <c r="I53" s="2"/>
      <c r="J53" s="6">
        <f t="shared" si="25"/>
        <v>0</v>
      </c>
      <c r="K53" s="2"/>
      <c r="L53" s="7">
        <f t="shared" si="26"/>
        <v>0</v>
      </c>
      <c r="M53" s="2"/>
      <c r="N53" s="6">
        <f t="shared" si="27"/>
        <v>0</v>
      </c>
      <c r="O53" s="11"/>
      <c r="P53" s="7"/>
      <c r="Q53" s="2"/>
      <c r="R53" s="6">
        <f t="shared" si="28"/>
        <v>0</v>
      </c>
      <c r="S53" s="2"/>
      <c r="T53" s="7">
        <v>524.99</v>
      </c>
      <c r="U53" s="2"/>
      <c r="V53" s="6">
        <f t="shared" si="29"/>
        <v>0</v>
      </c>
      <c r="W53" s="2"/>
      <c r="X53" s="7">
        <f t="shared" si="30"/>
        <v>-524.99</v>
      </c>
      <c r="Y53" s="2"/>
      <c r="Z53" s="6">
        <f t="shared" si="31"/>
        <v>-1</v>
      </c>
    </row>
    <row r="54" spans="1:26" s="25" customFormat="1" outlineLevel="1" collapsed="1" x14ac:dyDescent="0.25">
      <c r="A54" s="26"/>
      <c r="B54" s="13" t="str">
        <f>CONCATENATE("     ","Subscriptions &amp; Dues                              ")</f>
        <v xml:space="preserve">     Subscriptions &amp; Dues                              </v>
      </c>
      <c r="C54" s="13"/>
      <c r="D54" s="1">
        <f>SUM(OSRRefD22_11x_0)</f>
        <v>0</v>
      </c>
      <c r="E54" s="1"/>
      <c r="F54" s="5">
        <f t="shared" ref="F54:F60" si="32">IF(D$12=0,0,D54/D$12)</f>
        <v>0</v>
      </c>
      <c r="G54" s="1"/>
      <c r="H54" s="1">
        <f>SUM(OSRRefH22_11x_0)</f>
        <v>795</v>
      </c>
      <c r="I54" s="1"/>
      <c r="J54" s="5">
        <f t="shared" ref="J54:J60" si="33">IF(H$12=0,0,H54/H$12)</f>
        <v>0</v>
      </c>
      <c r="K54" s="1"/>
      <c r="L54" s="1">
        <f t="shared" ref="L54:L60" si="34">+D54-H54</f>
        <v>-795</v>
      </c>
      <c r="M54" s="1"/>
      <c r="N54" s="5">
        <f t="shared" ref="N54:N60" si="35">IF(H54=0,0,L54/H54)</f>
        <v>-1</v>
      </c>
      <c r="O54" s="13"/>
      <c r="P54" s="1">
        <f>SUM(OSRRefP22_11x_0)</f>
        <v>1725</v>
      </c>
      <c r="Q54" s="1"/>
      <c r="R54" s="5">
        <f t="shared" ref="R54:R60" si="36">IF(P$12=0,0,P54/P$12)</f>
        <v>0</v>
      </c>
      <c r="S54" s="1"/>
      <c r="T54" s="1">
        <f>SUM(OSRRefT22_11x_0)</f>
        <v>1795</v>
      </c>
      <c r="U54" s="1"/>
      <c r="V54" s="5">
        <f t="shared" ref="V54:V60" si="37">IF(T$12=0,0,T54/T$12)</f>
        <v>0</v>
      </c>
      <c r="W54" s="1"/>
      <c r="X54" s="1">
        <f t="shared" ref="X54:X60" si="38">+P54-T54</f>
        <v>-70</v>
      </c>
      <c r="Y54" s="1"/>
      <c r="Z54" s="5">
        <f t="shared" ref="Z54:Z60" si="39">IF(T54=0,0,X54/T54)</f>
        <v>-3.8997214484679667E-2</v>
      </c>
    </row>
    <row r="55" spans="1:26" s="24" customFormat="1" hidden="1" outlineLevel="2" x14ac:dyDescent="0.25">
      <c r="A55" s="27"/>
      <c r="B55" s="11" t="str">
        <f>CONCATENATE("          ", "6258", " - ", "MEMBERSHIP DUES")</f>
        <v xml:space="preserve">          6258 - MEMBERSHIP DUES</v>
      </c>
      <c r="C55" s="11"/>
      <c r="D55" s="7"/>
      <c r="E55" s="2"/>
      <c r="F55" s="6">
        <f t="shared" si="32"/>
        <v>0</v>
      </c>
      <c r="G55" s="2"/>
      <c r="H55" s="7">
        <v>795</v>
      </c>
      <c r="I55" s="2"/>
      <c r="J55" s="6">
        <f t="shared" si="33"/>
        <v>0</v>
      </c>
      <c r="K55" s="2"/>
      <c r="L55" s="7">
        <f t="shared" si="34"/>
        <v>-795</v>
      </c>
      <c r="M55" s="2"/>
      <c r="N55" s="6">
        <f t="shared" si="35"/>
        <v>-1</v>
      </c>
      <c r="O55" s="11"/>
      <c r="P55" s="7">
        <v>1725</v>
      </c>
      <c r="Q55" s="2"/>
      <c r="R55" s="6">
        <f t="shared" si="36"/>
        <v>0</v>
      </c>
      <c r="S55" s="2"/>
      <c r="T55" s="7">
        <v>1795</v>
      </c>
      <c r="U55" s="2"/>
      <c r="V55" s="6">
        <f t="shared" si="37"/>
        <v>0</v>
      </c>
      <c r="W55" s="2"/>
      <c r="X55" s="7">
        <f t="shared" si="38"/>
        <v>-70</v>
      </c>
      <c r="Y55" s="2"/>
      <c r="Z55" s="6">
        <f t="shared" si="39"/>
        <v>-3.8997214484679667E-2</v>
      </c>
    </row>
    <row r="56" spans="1:26" s="25" customFormat="1" outlineLevel="1" collapsed="1" x14ac:dyDescent="0.25">
      <c r="A56" s="26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SUM(OSRRefD22_12x_0)</f>
        <v>15.41</v>
      </c>
      <c r="E56" s="1"/>
      <c r="F56" s="5">
        <f t="shared" si="32"/>
        <v>0</v>
      </c>
      <c r="G56" s="1"/>
      <c r="H56" s="1">
        <f>SUM(OSRRefH22_12x_0)</f>
        <v>662.62</v>
      </c>
      <c r="I56" s="1"/>
      <c r="J56" s="5">
        <f t="shared" si="33"/>
        <v>0</v>
      </c>
      <c r="K56" s="1"/>
      <c r="L56" s="1">
        <f t="shared" si="34"/>
        <v>-647.21</v>
      </c>
      <c r="M56" s="1"/>
      <c r="N56" s="5">
        <f t="shared" si="35"/>
        <v>-0.97674383507892915</v>
      </c>
      <c r="O56" s="13"/>
      <c r="P56" s="1">
        <f>SUM(OSRRefP22_12x_0)</f>
        <v>550.81999999999994</v>
      </c>
      <c r="Q56" s="1"/>
      <c r="R56" s="5">
        <f t="shared" si="36"/>
        <v>0</v>
      </c>
      <c r="S56" s="1"/>
      <c r="T56" s="1">
        <f>SUM(OSRRefT22_12x_0)</f>
        <v>3802.7200000000003</v>
      </c>
      <c r="U56" s="1"/>
      <c r="V56" s="5">
        <f t="shared" si="37"/>
        <v>0</v>
      </c>
      <c r="W56" s="1"/>
      <c r="X56" s="1">
        <f t="shared" si="38"/>
        <v>-3251.9000000000005</v>
      </c>
      <c r="Y56" s="1"/>
      <c r="Z56" s="5">
        <f t="shared" si="39"/>
        <v>-0.85515104977489809</v>
      </c>
    </row>
    <row r="57" spans="1:26" s="24" customFormat="1" hidden="1" outlineLevel="2" x14ac:dyDescent="0.25">
      <c r="A57" s="27"/>
      <c r="B57" s="11" t="str">
        <f>CONCATENATE("          ", "6234", " - ", "EXPENDABLE SUPPLIES &amp; EQUIPMEN")</f>
        <v xml:space="preserve">          6234 - EXPENDABLE SUPPLIES &amp; EQUIPMEN</v>
      </c>
      <c r="C57" s="11"/>
      <c r="D57" s="7"/>
      <c r="E57" s="2"/>
      <c r="F57" s="6">
        <f t="shared" si="32"/>
        <v>0</v>
      </c>
      <c r="G57" s="2"/>
      <c r="H57" s="7"/>
      <c r="I57" s="2"/>
      <c r="J57" s="6">
        <f t="shared" si="33"/>
        <v>0</v>
      </c>
      <c r="K57" s="2"/>
      <c r="L57" s="7">
        <f t="shared" si="34"/>
        <v>0</v>
      </c>
      <c r="M57" s="2"/>
      <c r="N57" s="6">
        <f t="shared" si="35"/>
        <v>0</v>
      </c>
      <c r="O57" s="11"/>
      <c r="P57" s="7"/>
      <c r="Q57" s="2"/>
      <c r="R57" s="6">
        <f t="shared" si="36"/>
        <v>0</v>
      </c>
      <c r="S57" s="2"/>
      <c r="T57" s="7">
        <v>217.02</v>
      </c>
      <c r="U57" s="2"/>
      <c r="V57" s="6">
        <f t="shared" si="37"/>
        <v>0</v>
      </c>
      <c r="W57" s="2"/>
      <c r="X57" s="7">
        <f t="shared" si="38"/>
        <v>-217.02</v>
      </c>
      <c r="Y57" s="2"/>
      <c r="Z57" s="6">
        <f t="shared" si="39"/>
        <v>-1</v>
      </c>
    </row>
    <row r="58" spans="1:26" s="24" customFormat="1" hidden="1" outlineLevel="2" x14ac:dyDescent="0.25">
      <c r="A58" s="27"/>
      <c r="B58" s="11" t="str">
        <f>CONCATENATE("          ", "6235", " - ", "COVID-19 EXPENSES")</f>
        <v xml:space="preserve">          6235 - COVID-19 EXPENSES</v>
      </c>
      <c r="C58" s="11"/>
      <c r="D58" s="7"/>
      <c r="E58" s="2"/>
      <c r="F58" s="6">
        <f t="shared" si="32"/>
        <v>0</v>
      </c>
      <c r="G58" s="2"/>
      <c r="H58" s="7"/>
      <c r="I58" s="2"/>
      <c r="J58" s="6">
        <f t="shared" si="33"/>
        <v>0</v>
      </c>
      <c r="K58" s="2"/>
      <c r="L58" s="7">
        <f t="shared" si="34"/>
        <v>0</v>
      </c>
      <c r="M58" s="2"/>
      <c r="N58" s="6">
        <f t="shared" si="35"/>
        <v>0</v>
      </c>
      <c r="O58" s="11"/>
      <c r="P58" s="7">
        <v>106.94</v>
      </c>
      <c r="Q58" s="2"/>
      <c r="R58" s="6">
        <f t="shared" si="36"/>
        <v>0</v>
      </c>
      <c r="S58" s="2"/>
      <c r="T58" s="7"/>
      <c r="U58" s="2"/>
      <c r="V58" s="6">
        <f t="shared" si="37"/>
        <v>0</v>
      </c>
      <c r="W58" s="2"/>
      <c r="X58" s="7">
        <f t="shared" si="38"/>
        <v>106.94</v>
      </c>
      <c r="Y58" s="2"/>
      <c r="Z58" s="6">
        <f t="shared" si="39"/>
        <v>0</v>
      </c>
    </row>
    <row r="59" spans="1:26" s="24" customFormat="1" hidden="1" outlineLevel="2" x14ac:dyDescent="0.25">
      <c r="A59" s="27"/>
      <c r="B59" s="11" t="str">
        <f>CONCATENATE("          ", "6241", " - ", "OFFICE EXPENSE")</f>
        <v xml:space="preserve">          6241 - OFFICE EXPENSE</v>
      </c>
      <c r="C59" s="11"/>
      <c r="D59" s="7">
        <v>15.41</v>
      </c>
      <c r="E59" s="2"/>
      <c r="F59" s="6">
        <f t="shared" si="32"/>
        <v>0</v>
      </c>
      <c r="G59" s="2"/>
      <c r="H59" s="7">
        <v>662.62</v>
      </c>
      <c r="I59" s="2"/>
      <c r="J59" s="6">
        <f t="shared" si="33"/>
        <v>0</v>
      </c>
      <c r="K59" s="2"/>
      <c r="L59" s="7">
        <f t="shared" si="34"/>
        <v>-647.21</v>
      </c>
      <c r="M59" s="2"/>
      <c r="N59" s="6">
        <f t="shared" si="35"/>
        <v>-0.97674383507892915</v>
      </c>
      <c r="O59" s="11"/>
      <c r="P59" s="7">
        <v>443.88</v>
      </c>
      <c r="Q59" s="2"/>
      <c r="R59" s="6">
        <f t="shared" si="36"/>
        <v>0</v>
      </c>
      <c r="S59" s="2"/>
      <c r="T59" s="7">
        <v>3553.84</v>
      </c>
      <c r="U59" s="2"/>
      <c r="V59" s="6">
        <f t="shared" si="37"/>
        <v>0</v>
      </c>
      <c r="W59" s="2"/>
      <c r="X59" s="7">
        <f t="shared" si="38"/>
        <v>-3109.96</v>
      </c>
      <c r="Y59" s="2"/>
      <c r="Z59" s="6">
        <f t="shared" si="39"/>
        <v>-0.87509848501902165</v>
      </c>
    </row>
    <row r="60" spans="1:26" s="24" customFormat="1" hidden="1" outlineLevel="2" x14ac:dyDescent="0.25">
      <c r="A60" s="27"/>
      <c r="B60" s="11" t="str">
        <f>CONCATENATE("          ", "6245", " - ", "PRINTING")</f>
        <v xml:space="preserve">          6245 - PRINTING</v>
      </c>
      <c r="C60" s="11"/>
      <c r="D60" s="7"/>
      <c r="E60" s="2"/>
      <c r="F60" s="6">
        <f t="shared" si="32"/>
        <v>0</v>
      </c>
      <c r="G60" s="2"/>
      <c r="H60" s="7"/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/>
      <c r="Q60" s="2"/>
      <c r="R60" s="6">
        <f t="shared" si="36"/>
        <v>0</v>
      </c>
      <c r="S60" s="2"/>
      <c r="T60" s="7">
        <v>31.86</v>
      </c>
      <c r="U60" s="2"/>
      <c r="V60" s="6">
        <f t="shared" si="37"/>
        <v>0</v>
      </c>
      <c r="W60" s="2"/>
      <c r="X60" s="7">
        <f t="shared" si="38"/>
        <v>-31.86</v>
      </c>
      <c r="Y60" s="2"/>
      <c r="Z60" s="6">
        <f t="shared" si="39"/>
        <v>-1</v>
      </c>
    </row>
    <row r="61" spans="1:26" s="25" customFormat="1" outlineLevel="1" collapsed="1" x14ac:dyDescent="0.25">
      <c r="A61" s="26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SUM(OSRRefD22_13x_0)</f>
        <v>1194.6600000000001</v>
      </c>
      <c r="E61" s="1"/>
      <c r="F61" s="5">
        <f t="shared" ref="F61:F66" si="40">IF(D$12=0,0,D61/D$12)</f>
        <v>0</v>
      </c>
      <c r="G61" s="1"/>
      <c r="H61" s="1">
        <f>SUM(OSRRefH22_13x_0)</f>
        <v>1253.8499999999999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-59.189999999999827</v>
      </c>
      <c r="M61" s="1"/>
      <c r="N61" s="5">
        <f t="shared" ref="N61:N66" si="43">IF(H61=0,0,L61/H61)</f>
        <v>-4.7206603660724836E-2</v>
      </c>
      <c r="O61" s="13"/>
      <c r="P61" s="1">
        <f>SUM(OSRRefP22_13x_0)</f>
        <v>2839.78</v>
      </c>
      <c r="Q61" s="1"/>
      <c r="R61" s="5">
        <f t="shared" ref="R61:R66" si="44">IF(P$12=0,0,P61/P$12)</f>
        <v>0</v>
      </c>
      <c r="S61" s="1"/>
      <c r="T61" s="1">
        <f>SUM(OSRRefT22_13x_0)</f>
        <v>2656.33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183.45000000000027</v>
      </c>
      <c r="Y61" s="1"/>
      <c r="Z61" s="5">
        <f t="shared" ref="Z61:Z66" si="47">IF(T61=0,0,X61/T61)</f>
        <v>6.9061449443405101E-2</v>
      </c>
    </row>
    <row r="62" spans="1:26" s="24" customFormat="1" hidden="1" outlineLevel="2" x14ac:dyDescent="0.25">
      <c r="A62" s="27"/>
      <c r="B62" s="11" t="str">
        <f>CONCATENATE("          ", "6309", " - ", "TELEPHONE")</f>
        <v xml:space="preserve">          6309 - TELEPHONE</v>
      </c>
      <c r="C62" s="11"/>
      <c r="D62" s="7">
        <v>1194.6600000000001</v>
      </c>
      <c r="E62" s="2"/>
      <c r="F62" s="6">
        <f t="shared" si="40"/>
        <v>0</v>
      </c>
      <c r="G62" s="2"/>
      <c r="H62" s="7">
        <v>1253.8499999999999</v>
      </c>
      <c r="I62" s="2"/>
      <c r="J62" s="6">
        <f t="shared" si="41"/>
        <v>0</v>
      </c>
      <c r="K62" s="2"/>
      <c r="L62" s="7">
        <f t="shared" si="42"/>
        <v>-59.189999999999827</v>
      </c>
      <c r="M62" s="2"/>
      <c r="N62" s="6">
        <f t="shared" si="43"/>
        <v>-4.7206603660724836E-2</v>
      </c>
      <c r="O62" s="11"/>
      <c r="P62" s="7">
        <v>2839.78</v>
      </c>
      <c r="Q62" s="2"/>
      <c r="R62" s="6">
        <f t="shared" si="44"/>
        <v>0</v>
      </c>
      <c r="S62" s="2"/>
      <c r="T62" s="7">
        <v>2656.33</v>
      </c>
      <c r="U62" s="2"/>
      <c r="V62" s="6">
        <f t="shared" si="45"/>
        <v>0</v>
      </c>
      <c r="W62" s="2"/>
      <c r="X62" s="7">
        <f t="shared" si="46"/>
        <v>183.45000000000027</v>
      </c>
      <c r="Y62" s="2"/>
      <c r="Z62" s="6">
        <f t="shared" si="47"/>
        <v>6.9061449443405101E-2</v>
      </c>
    </row>
    <row r="63" spans="1:26" s="25" customFormat="1" outlineLevel="1" collapsed="1" x14ac:dyDescent="0.25">
      <c r="A63" s="26"/>
      <c r="B63" s="13" t="str">
        <f>CONCATENATE("     ","Training                                          ")</f>
        <v xml:space="preserve">     Training                                          </v>
      </c>
      <c r="C63" s="13"/>
      <c r="D63" s="1">
        <f>SUM(OSRRefD22_14x_0)</f>
        <v>0</v>
      </c>
      <c r="E63" s="1"/>
      <c r="F63" s="5">
        <f t="shared" si="40"/>
        <v>0</v>
      </c>
      <c r="G63" s="1"/>
      <c r="H63" s="1">
        <f>SUM(OSRRefH22_14x_0)</f>
        <v>0</v>
      </c>
      <c r="I63" s="1"/>
      <c r="J63" s="5">
        <f t="shared" si="41"/>
        <v>0</v>
      </c>
      <c r="K63" s="1"/>
      <c r="L63" s="1">
        <f t="shared" si="42"/>
        <v>0</v>
      </c>
      <c r="M63" s="1"/>
      <c r="N63" s="5">
        <f t="shared" si="43"/>
        <v>0</v>
      </c>
      <c r="O63" s="13"/>
      <c r="P63" s="1">
        <f>SUM(OSRRefP22_14x_0)</f>
        <v>1126.5</v>
      </c>
      <c r="Q63" s="1"/>
      <c r="R63" s="5">
        <f t="shared" si="44"/>
        <v>0</v>
      </c>
      <c r="S63" s="1"/>
      <c r="T63" s="1">
        <f>SUM(OSRRefT22_14x_0)</f>
        <v>3313.92</v>
      </c>
      <c r="U63" s="1"/>
      <c r="V63" s="5">
        <f t="shared" si="45"/>
        <v>0</v>
      </c>
      <c r="W63" s="1"/>
      <c r="X63" s="1">
        <f t="shared" si="46"/>
        <v>-2187.42</v>
      </c>
      <c r="Y63" s="1"/>
      <c r="Z63" s="5">
        <f t="shared" si="47"/>
        <v>-0.66007024913093859</v>
      </c>
    </row>
    <row r="64" spans="1:26" s="24" customFormat="1" hidden="1" outlineLevel="2" x14ac:dyDescent="0.25">
      <c r="A64" s="27"/>
      <c r="B64" s="11" t="str">
        <f>CONCATENATE("          ", "6376", " - ", "TRAINING")</f>
        <v xml:space="preserve">          6376 - TRAINING</v>
      </c>
      <c r="C64" s="11"/>
      <c r="D64" s="7"/>
      <c r="E64" s="2"/>
      <c r="F64" s="6">
        <f t="shared" si="40"/>
        <v>0</v>
      </c>
      <c r="G64" s="2"/>
      <c r="H64" s="7"/>
      <c r="I64" s="2"/>
      <c r="J64" s="6">
        <f t="shared" si="41"/>
        <v>0</v>
      </c>
      <c r="K64" s="2"/>
      <c r="L64" s="7">
        <f t="shared" si="42"/>
        <v>0</v>
      </c>
      <c r="M64" s="2"/>
      <c r="N64" s="6">
        <f t="shared" si="43"/>
        <v>0</v>
      </c>
      <c r="O64" s="11"/>
      <c r="P64" s="7">
        <v>1126.5</v>
      </c>
      <c r="Q64" s="2"/>
      <c r="R64" s="6">
        <f t="shared" si="44"/>
        <v>0</v>
      </c>
      <c r="S64" s="2"/>
      <c r="T64" s="7">
        <v>3313.92</v>
      </c>
      <c r="U64" s="2"/>
      <c r="V64" s="6">
        <f t="shared" si="45"/>
        <v>0</v>
      </c>
      <c r="W64" s="2"/>
      <c r="X64" s="7">
        <f t="shared" si="46"/>
        <v>-2187.42</v>
      </c>
      <c r="Y64" s="2"/>
      <c r="Z64" s="6">
        <f t="shared" si="47"/>
        <v>-0.66007024913093859</v>
      </c>
    </row>
    <row r="65" spans="1:26" s="25" customFormat="1" outlineLevel="1" collapsed="1" x14ac:dyDescent="0.25">
      <c r="A65" s="26"/>
      <c r="B65" s="13" t="str">
        <f>CONCATENATE("     ","Travel                                            ")</f>
        <v xml:space="preserve">     Travel                                            </v>
      </c>
      <c r="C65" s="13"/>
      <c r="D65" s="1">
        <f>SUM(OSRRefD22_15x_0)</f>
        <v>0</v>
      </c>
      <c r="E65" s="1"/>
      <c r="F65" s="5">
        <f t="shared" si="40"/>
        <v>0</v>
      </c>
      <c r="G65" s="1"/>
      <c r="H65" s="1">
        <f>SUM(OSRRefH22_15x_0)</f>
        <v>59.95</v>
      </c>
      <c r="I65" s="1"/>
      <c r="J65" s="5">
        <f t="shared" si="41"/>
        <v>0</v>
      </c>
      <c r="K65" s="1"/>
      <c r="L65" s="1">
        <f t="shared" si="42"/>
        <v>-59.95</v>
      </c>
      <c r="M65" s="1"/>
      <c r="N65" s="5">
        <f t="shared" si="43"/>
        <v>-1</v>
      </c>
      <c r="O65" s="13"/>
      <c r="P65" s="1">
        <f>SUM(OSRRefP22_15x_0)</f>
        <v>0</v>
      </c>
      <c r="Q65" s="1"/>
      <c r="R65" s="5">
        <f t="shared" si="44"/>
        <v>0</v>
      </c>
      <c r="S65" s="1"/>
      <c r="T65" s="1">
        <f>SUM(OSRRefT22_15x_0)</f>
        <v>3675.3</v>
      </c>
      <c r="U65" s="1"/>
      <c r="V65" s="5">
        <f t="shared" si="45"/>
        <v>0</v>
      </c>
      <c r="W65" s="1"/>
      <c r="X65" s="1">
        <f t="shared" si="46"/>
        <v>-3675.3</v>
      </c>
      <c r="Y65" s="1"/>
      <c r="Z65" s="5">
        <f t="shared" si="47"/>
        <v>-1</v>
      </c>
    </row>
    <row r="66" spans="1:26" s="24" customFormat="1" hidden="1" outlineLevel="2" x14ac:dyDescent="0.25">
      <c r="A66" s="27"/>
      <c r="B66" s="11" t="str">
        <f>CONCATENATE("          ", "6292", " - ", "TRAVEL/CONFERENCE")</f>
        <v xml:space="preserve">          6292 - TRAVEL/CONFERENCE</v>
      </c>
      <c r="C66" s="11"/>
      <c r="D66" s="7"/>
      <c r="E66" s="2"/>
      <c r="F66" s="6">
        <f t="shared" si="40"/>
        <v>0</v>
      </c>
      <c r="G66" s="2"/>
      <c r="H66" s="7">
        <v>59.95</v>
      </c>
      <c r="I66" s="2"/>
      <c r="J66" s="6">
        <f t="shared" si="41"/>
        <v>0</v>
      </c>
      <c r="K66" s="2"/>
      <c r="L66" s="7">
        <f t="shared" si="42"/>
        <v>-59.95</v>
      </c>
      <c r="M66" s="2"/>
      <c r="N66" s="6">
        <f t="shared" si="43"/>
        <v>-1</v>
      </c>
      <c r="O66" s="11"/>
      <c r="P66" s="7"/>
      <c r="Q66" s="2"/>
      <c r="R66" s="6">
        <f t="shared" si="44"/>
        <v>0</v>
      </c>
      <c r="S66" s="2"/>
      <c r="T66" s="7">
        <v>3675.3</v>
      </c>
      <c r="U66" s="2"/>
      <c r="V66" s="6">
        <f t="shared" si="45"/>
        <v>0</v>
      </c>
      <c r="W66" s="2"/>
      <c r="X66" s="7">
        <f t="shared" si="46"/>
        <v>-3675.3</v>
      </c>
      <c r="Y66" s="2"/>
      <c r="Z66" s="6">
        <f t="shared" si="47"/>
        <v>-1</v>
      </c>
    </row>
    <row r="67" spans="1:26" s="55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9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8" t="s">
        <v>3</v>
      </c>
      <c r="C70" s="28"/>
      <c r="D70" s="20">
        <f>+D16-D18+D68</f>
        <v>-43823.630000000005</v>
      </c>
      <c r="E70" s="14"/>
      <c r="F70" s="21">
        <f>IF(D$12=0,0,D70/D$12)</f>
        <v>0</v>
      </c>
      <c r="G70" s="14"/>
      <c r="H70" s="20">
        <f>+H16-H18+H68</f>
        <v>-36311.929999999993</v>
      </c>
      <c r="I70" s="14"/>
      <c r="J70" s="21">
        <f>IF(H$12=0,0,H70/H$12)</f>
        <v>0</v>
      </c>
      <c r="K70" s="15"/>
      <c r="L70" s="20">
        <f>+D70-H70</f>
        <v>-7511.7000000000116</v>
      </c>
      <c r="M70" s="15"/>
      <c r="N70" s="21">
        <f>IF(H70=0,0,L70/H70)</f>
        <v>0.20686589779171785</v>
      </c>
      <c r="O70" s="29"/>
      <c r="P70" s="20">
        <f>+P16-P18+P68</f>
        <v>-231738.77</v>
      </c>
      <c r="Q70" s="14"/>
      <c r="R70" s="21">
        <f>IF(P$12=0,0,P70/P$12)</f>
        <v>0</v>
      </c>
      <c r="S70" s="14"/>
      <c r="T70" s="20">
        <f>+T16-T18+T68</f>
        <v>-436974.30000000005</v>
      </c>
      <c r="U70" s="14"/>
      <c r="V70" s="21">
        <f>IF(T$12=0,0,T70/T$12)</f>
        <v>0</v>
      </c>
      <c r="W70" s="15"/>
      <c r="X70" s="20">
        <f>+P70-T70</f>
        <v>205235.53000000006</v>
      </c>
      <c r="Y70" s="15"/>
      <c r="Z70" s="21">
        <f>IF(T70=0,0,X70/T70)</f>
        <v>-0.46967414330774154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4</v>
      </c>
      <c r="C74" s="28"/>
      <c r="D74" s="33">
        <f>+D70-D72</f>
        <v>-43823.630000000005</v>
      </c>
      <c r="E74" s="14"/>
      <c r="F74" s="34">
        <f>IF(D$12=0,0,D74/D$12)</f>
        <v>0</v>
      </c>
      <c r="G74" s="14"/>
      <c r="H74" s="33">
        <f>+H70-H72</f>
        <v>-36311.929999999993</v>
      </c>
      <c r="I74" s="14"/>
      <c r="J74" s="34">
        <f>IF(H$12=0,0,H74/H$12)</f>
        <v>0</v>
      </c>
      <c r="K74" s="15"/>
      <c r="L74" s="33">
        <f>D74-H74</f>
        <v>-7511.7000000000116</v>
      </c>
      <c r="M74" s="15"/>
      <c r="N74" s="34">
        <f>IF(H74=0,0,L74/H74)</f>
        <v>0.20686589779171785</v>
      </c>
      <c r="O74" s="29"/>
      <c r="P74" s="33">
        <f>+P70-P72</f>
        <v>-231738.77</v>
      </c>
      <c r="Q74" s="14"/>
      <c r="R74" s="34">
        <f>IF(P$12=0,0,P74/P$12)</f>
        <v>0</v>
      </c>
      <c r="S74" s="14"/>
      <c r="T74" s="33">
        <f>+T70-T72</f>
        <v>-436974.30000000005</v>
      </c>
      <c r="U74" s="14"/>
      <c r="V74" s="34">
        <f>IF(T$12=0,0,T74/T$12)</f>
        <v>0</v>
      </c>
      <c r="W74" s="15"/>
      <c r="X74" s="33">
        <f>P74-T74</f>
        <v>205235.53000000006</v>
      </c>
      <c r="Y74" s="15"/>
      <c r="Z74" s="34">
        <f>IF(T74=0,0,X74/T74)</f>
        <v>-0.46967414330774154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5</v>
      </c>
      <c r="C77" s="28"/>
      <c r="D77" s="30">
        <f>SUM(D74:D76)</f>
        <v>-43823.630000000005</v>
      </c>
      <c r="E77" s="14"/>
      <c r="F77" s="32">
        <f>IF(D$12=0,0,D77/D$12)</f>
        <v>0</v>
      </c>
      <c r="G77" s="14"/>
      <c r="H77" s="30">
        <f>SUM(H74:H76)</f>
        <v>-36311.929999999993</v>
      </c>
      <c r="I77" s="14"/>
      <c r="J77" s="32">
        <f>IF(H$12=0,0,H77/H$12)</f>
        <v>0</v>
      </c>
      <c r="K77" s="15"/>
      <c r="L77" s="30">
        <f>+D77-H77</f>
        <v>-7511.7000000000116</v>
      </c>
      <c r="M77" s="15"/>
      <c r="N77" s="32">
        <f>IF(H77=0,0,L77/H77)</f>
        <v>0.20686589779171785</v>
      </c>
      <c r="O77" s="29"/>
      <c r="P77" s="30">
        <f>SUM(P74:P76)</f>
        <v>-231738.77</v>
      </c>
      <c r="Q77" s="14"/>
      <c r="R77" s="32">
        <f>IF(P$12=0,0,P77/P$12)</f>
        <v>0</v>
      </c>
      <c r="S77" s="14"/>
      <c r="T77" s="30">
        <f>SUM(T74:T76)</f>
        <v>-436974.30000000005</v>
      </c>
      <c r="U77" s="14"/>
      <c r="V77" s="32">
        <f>IF(T$12=0,0,T77/T$12)</f>
        <v>0</v>
      </c>
      <c r="W77" s="15"/>
      <c r="X77" s="30">
        <f>+P77-T77</f>
        <v>205235.53000000006</v>
      </c>
      <c r="Y77" s="15"/>
      <c r="Z77" s="32">
        <f>IF(T77=0,0,X77/T77)</f>
        <v>-0.46967414330774154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8">
        <v>44209.521577893516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61" t="s">
        <v>313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7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","202", " - ", "Accounting")</f>
        <v>Department 202 - Accounting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34402.75</v>
      </c>
      <c r="E18" s="22"/>
      <c r="F18" s="36">
        <f t="shared" ref="F18:F27" si="0">IF(D$12=0,0,D18/D$12)</f>
        <v>0</v>
      </c>
      <c r="G18" s="22"/>
      <c r="H18" s="22">
        <f>SUM(OSRRefH22x_0)</f>
        <v>47027.140000000007</v>
      </c>
      <c r="I18" s="22"/>
      <c r="J18" s="36">
        <f t="shared" ref="J18:J27" si="1">IF(H$12=0,0,H18/H$12)</f>
        <v>0</v>
      </c>
      <c r="K18" s="4"/>
      <c r="L18" s="22">
        <f t="shared" ref="L18:L27" si="2">+D18-H18</f>
        <v>-12624.390000000007</v>
      </c>
      <c r="M18" s="4"/>
      <c r="N18" s="36">
        <f t="shared" ref="N18:N27" si="3">IF(H18=0,0,L18/H18)</f>
        <v>-0.26844902751900296</v>
      </c>
      <c r="O18" s="10"/>
      <c r="P18" s="22">
        <f>SUM(OSRRefP22x_0)</f>
        <v>224997.35000000003</v>
      </c>
      <c r="Q18" s="22"/>
      <c r="R18" s="36">
        <f t="shared" ref="R18:R27" si="4">IF(P$12=0,0,P18/P$12)</f>
        <v>0</v>
      </c>
      <c r="S18" s="22"/>
      <c r="T18" s="22">
        <f>SUM(OSRRefT22x_0)</f>
        <v>306157.19000000006</v>
      </c>
      <c r="U18" s="22"/>
      <c r="V18" s="36">
        <f t="shared" ref="V18:V27" si="5">IF(T$12=0,0,T18/T$12)</f>
        <v>0</v>
      </c>
      <c r="W18" s="4"/>
      <c r="X18" s="22">
        <f t="shared" ref="X18:X27" si="6">+P18-T18</f>
        <v>-81159.840000000026</v>
      </c>
      <c r="Y18" s="4"/>
      <c r="Z18" s="36">
        <f t="shared" ref="Z18:Z27" si="7">IF(T18=0,0,X18/T18)</f>
        <v>-0.26509205940908986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12837.390000000001</v>
      </c>
      <c r="E19" s="1"/>
      <c r="F19" s="5">
        <f t="shared" si="0"/>
        <v>0</v>
      </c>
      <c r="G19" s="1"/>
      <c r="H19" s="1">
        <f>SUM(OSRRefH22_0x_0)</f>
        <v>14317.34</v>
      </c>
      <c r="I19" s="1"/>
      <c r="J19" s="5">
        <f t="shared" si="1"/>
        <v>0</v>
      </c>
      <c r="K19" s="1"/>
      <c r="L19" s="1">
        <f t="shared" si="2"/>
        <v>-1479.9499999999989</v>
      </c>
      <c r="M19" s="1"/>
      <c r="N19" s="5">
        <f t="shared" si="3"/>
        <v>-0.10336766466396684</v>
      </c>
      <c r="O19" s="13"/>
      <c r="P19" s="1">
        <f>SUM(OSRRefP22_0x_0)</f>
        <v>79913.799999999988</v>
      </c>
      <c r="Q19" s="1"/>
      <c r="R19" s="5">
        <f t="shared" si="4"/>
        <v>0</v>
      </c>
      <c r="S19" s="1"/>
      <c r="T19" s="1">
        <f>SUM(OSRRefT22_0x_0)</f>
        <v>94785.65</v>
      </c>
      <c r="U19" s="1"/>
      <c r="V19" s="5">
        <f t="shared" si="5"/>
        <v>0</v>
      </c>
      <c r="W19" s="1"/>
      <c r="X19" s="1">
        <f t="shared" si="6"/>
        <v>-14871.850000000006</v>
      </c>
      <c r="Y19" s="1"/>
      <c r="Z19" s="5">
        <f t="shared" si="7"/>
        <v>-0.15689980498102832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1623.95</v>
      </c>
      <c r="E20" s="2"/>
      <c r="F20" s="6">
        <f t="shared" si="0"/>
        <v>0</v>
      </c>
      <c r="G20" s="2"/>
      <c r="H20" s="7">
        <v>2058.9299999999998</v>
      </c>
      <c r="I20" s="2"/>
      <c r="J20" s="6">
        <f t="shared" si="1"/>
        <v>0</v>
      </c>
      <c r="K20" s="2"/>
      <c r="L20" s="7">
        <f t="shared" si="2"/>
        <v>-434.97999999999979</v>
      </c>
      <c r="M20" s="2"/>
      <c r="N20" s="6">
        <f t="shared" si="3"/>
        <v>-0.21126507457757177</v>
      </c>
      <c r="O20" s="11"/>
      <c r="P20" s="7">
        <v>11801.38</v>
      </c>
      <c r="Q20" s="2"/>
      <c r="R20" s="6">
        <f t="shared" si="4"/>
        <v>0</v>
      </c>
      <c r="S20" s="2"/>
      <c r="T20" s="7">
        <v>15434.42</v>
      </c>
      <c r="U20" s="2"/>
      <c r="V20" s="6">
        <f t="shared" si="5"/>
        <v>0</v>
      </c>
      <c r="W20" s="2"/>
      <c r="X20" s="7">
        <f t="shared" si="6"/>
        <v>-3633.0400000000009</v>
      </c>
      <c r="Y20" s="2"/>
      <c r="Z20" s="6">
        <f t="shared" si="7"/>
        <v>-0.23538558624165992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157.1</v>
      </c>
      <c r="E21" s="2"/>
      <c r="F21" s="6">
        <f t="shared" si="0"/>
        <v>0</v>
      </c>
      <c r="G21" s="2"/>
      <c r="H21" s="7">
        <v>153.54</v>
      </c>
      <c r="I21" s="2"/>
      <c r="J21" s="6">
        <f t="shared" si="1"/>
        <v>0</v>
      </c>
      <c r="K21" s="2"/>
      <c r="L21" s="7">
        <f t="shared" si="2"/>
        <v>3.5600000000000023</v>
      </c>
      <c r="M21" s="2"/>
      <c r="N21" s="6">
        <f t="shared" si="3"/>
        <v>2.3186140419434689E-2</v>
      </c>
      <c r="O21" s="11"/>
      <c r="P21" s="7">
        <v>594.29999999999995</v>
      </c>
      <c r="Q21" s="2"/>
      <c r="R21" s="6">
        <f t="shared" si="4"/>
        <v>0</v>
      </c>
      <c r="S21" s="2"/>
      <c r="T21" s="7">
        <v>575.54999999999995</v>
      </c>
      <c r="U21" s="2"/>
      <c r="V21" s="6">
        <f t="shared" si="5"/>
        <v>0</v>
      </c>
      <c r="W21" s="2"/>
      <c r="X21" s="7">
        <f t="shared" si="6"/>
        <v>18.75</v>
      </c>
      <c r="Y21" s="2"/>
      <c r="Z21" s="6">
        <f t="shared" si="7"/>
        <v>3.2577534532186606E-2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6246.72</v>
      </c>
      <c r="E22" s="2"/>
      <c r="F22" s="6">
        <f t="shared" si="0"/>
        <v>0</v>
      </c>
      <c r="G22" s="2"/>
      <c r="H22" s="7">
        <v>5942.02</v>
      </c>
      <c r="I22" s="2"/>
      <c r="J22" s="6">
        <f t="shared" si="1"/>
        <v>0</v>
      </c>
      <c r="K22" s="2"/>
      <c r="L22" s="7">
        <f t="shared" si="2"/>
        <v>304.69999999999982</v>
      </c>
      <c r="M22" s="2"/>
      <c r="N22" s="6">
        <f t="shared" si="3"/>
        <v>5.1278858031443816E-2</v>
      </c>
      <c r="O22" s="11"/>
      <c r="P22" s="7">
        <v>35441.279999999999</v>
      </c>
      <c r="Q22" s="2"/>
      <c r="R22" s="6">
        <f t="shared" si="4"/>
        <v>0</v>
      </c>
      <c r="S22" s="2"/>
      <c r="T22" s="7">
        <v>35652.120000000003</v>
      </c>
      <c r="U22" s="2"/>
      <c r="V22" s="6">
        <f t="shared" si="5"/>
        <v>0</v>
      </c>
      <c r="W22" s="2"/>
      <c r="X22" s="7">
        <f t="shared" si="6"/>
        <v>-210.84000000000378</v>
      </c>
      <c r="Y22" s="2"/>
      <c r="Z22" s="6">
        <f t="shared" si="7"/>
        <v>-5.9138138208892979E-3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117.41</v>
      </c>
      <c r="I23" s="2"/>
      <c r="J23" s="6">
        <f t="shared" si="1"/>
        <v>0</v>
      </c>
      <c r="K23" s="2"/>
      <c r="L23" s="7">
        <f t="shared" si="2"/>
        <v>-117.41</v>
      </c>
      <c r="M23" s="2"/>
      <c r="N23" s="6">
        <f t="shared" si="3"/>
        <v>-1</v>
      </c>
      <c r="O23" s="11"/>
      <c r="P23" s="7">
        <v>344.44</v>
      </c>
      <c r="Q23" s="2"/>
      <c r="R23" s="6">
        <f t="shared" si="4"/>
        <v>0</v>
      </c>
      <c r="S23" s="2"/>
      <c r="T23" s="7">
        <v>580.88</v>
      </c>
      <c r="U23" s="2"/>
      <c r="V23" s="6">
        <f t="shared" si="5"/>
        <v>0</v>
      </c>
      <c r="W23" s="2"/>
      <c r="X23" s="7">
        <f t="shared" si="6"/>
        <v>-236.44</v>
      </c>
      <c r="Y23" s="2"/>
      <c r="Z23" s="6">
        <f t="shared" si="7"/>
        <v>-0.40703759812697976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1978.76</v>
      </c>
      <c r="E24" s="2"/>
      <c r="F24" s="6">
        <f t="shared" si="0"/>
        <v>0</v>
      </c>
      <c r="G24" s="2"/>
      <c r="H24" s="7">
        <v>2196.79</v>
      </c>
      <c r="I24" s="2"/>
      <c r="J24" s="6">
        <f t="shared" si="1"/>
        <v>0</v>
      </c>
      <c r="K24" s="2"/>
      <c r="L24" s="7">
        <f t="shared" si="2"/>
        <v>-218.02999999999997</v>
      </c>
      <c r="M24" s="2"/>
      <c r="N24" s="6">
        <f t="shared" si="3"/>
        <v>-9.924935929242211E-2</v>
      </c>
      <c r="O24" s="11"/>
      <c r="P24" s="7">
        <v>13713.24</v>
      </c>
      <c r="Q24" s="2"/>
      <c r="R24" s="6">
        <f t="shared" si="4"/>
        <v>0</v>
      </c>
      <c r="S24" s="2"/>
      <c r="T24" s="7">
        <v>14408.53</v>
      </c>
      <c r="U24" s="2"/>
      <c r="V24" s="6">
        <f t="shared" si="5"/>
        <v>0</v>
      </c>
      <c r="W24" s="2"/>
      <c r="X24" s="7">
        <f t="shared" si="6"/>
        <v>-695.29000000000087</v>
      </c>
      <c r="Y24" s="2"/>
      <c r="Z24" s="6">
        <f t="shared" si="7"/>
        <v>-4.8255443129868271E-2</v>
      </c>
    </row>
    <row r="25" spans="1:26" s="24" customFormat="1" hidden="1" outlineLevel="2" x14ac:dyDescent="0.25">
      <c r="A25" s="27"/>
      <c r="B25" s="11" t="str">
        <f>CONCATENATE("          ", "6118", " - ", "VACATION")</f>
        <v xml:space="preserve">          6118 - VACATION</v>
      </c>
      <c r="C25" s="11"/>
      <c r="D25" s="7">
        <v>1559.44</v>
      </c>
      <c r="E25" s="2"/>
      <c r="F25" s="6">
        <f t="shared" si="0"/>
        <v>0</v>
      </c>
      <c r="G25" s="2"/>
      <c r="H25" s="7">
        <v>1866.76</v>
      </c>
      <c r="I25" s="2"/>
      <c r="J25" s="6">
        <f t="shared" si="1"/>
        <v>0</v>
      </c>
      <c r="K25" s="2"/>
      <c r="L25" s="7">
        <f t="shared" si="2"/>
        <v>-307.31999999999994</v>
      </c>
      <c r="M25" s="2"/>
      <c r="N25" s="6">
        <f t="shared" si="3"/>
        <v>-0.16462748291156867</v>
      </c>
      <c r="O25" s="11"/>
      <c r="P25" s="7">
        <v>10097.67</v>
      </c>
      <c r="Q25" s="2"/>
      <c r="R25" s="6">
        <f t="shared" si="4"/>
        <v>0</v>
      </c>
      <c r="S25" s="2"/>
      <c r="T25" s="7">
        <v>13008.36</v>
      </c>
      <c r="U25" s="2"/>
      <c r="V25" s="6">
        <f t="shared" si="5"/>
        <v>0</v>
      </c>
      <c r="W25" s="2"/>
      <c r="X25" s="7">
        <f t="shared" si="6"/>
        <v>-2910.6900000000005</v>
      </c>
      <c r="Y25" s="2"/>
      <c r="Z25" s="6">
        <f t="shared" si="7"/>
        <v>-0.22375533887438542</v>
      </c>
    </row>
    <row r="26" spans="1:26" s="24" customFormat="1" hidden="1" outlineLevel="2" x14ac:dyDescent="0.25">
      <c r="A26" s="27"/>
      <c r="B26" s="11" t="str">
        <f>CONCATENATE("          ", "6119", " - ", "SICK LEAVE")</f>
        <v xml:space="preserve">          6119 - SICK LEAVE</v>
      </c>
      <c r="C26" s="11"/>
      <c r="D26" s="7">
        <v>979.42</v>
      </c>
      <c r="E26" s="2"/>
      <c r="F26" s="6">
        <f t="shared" si="0"/>
        <v>0</v>
      </c>
      <c r="G26" s="2"/>
      <c r="H26" s="7">
        <v>1152.2</v>
      </c>
      <c r="I26" s="2"/>
      <c r="J26" s="6">
        <f t="shared" si="1"/>
        <v>0</v>
      </c>
      <c r="K26" s="2"/>
      <c r="L26" s="7">
        <f t="shared" si="2"/>
        <v>-172.78000000000009</v>
      </c>
      <c r="M26" s="2"/>
      <c r="N26" s="6">
        <f t="shared" si="3"/>
        <v>-0.1499566047561188</v>
      </c>
      <c r="O26" s="11"/>
      <c r="P26" s="7">
        <v>6366.23</v>
      </c>
      <c r="Q26" s="2"/>
      <c r="R26" s="6">
        <f t="shared" si="4"/>
        <v>0</v>
      </c>
      <c r="S26" s="2"/>
      <c r="T26" s="7">
        <v>10272.01</v>
      </c>
      <c r="U26" s="2"/>
      <c r="V26" s="6">
        <f t="shared" si="5"/>
        <v>0</v>
      </c>
      <c r="W26" s="2"/>
      <c r="X26" s="7">
        <f t="shared" si="6"/>
        <v>-3905.7800000000007</v>
      </c>
      <c r="Y26" s="2"/>
      <c r="Z26" s="6">
        <f t="shared" si="7"/>
        <v>-0.38023522173362378</v>
      </c>
    </row>
    <row r="27" spans="1:26" s="24" customFormat="1" hidden="1" outlineLevel="2" x14ac:dyDescent="0.25">
      <c r="A27" s="27"/>
      <c r="B27" s="11" t="str">
        <f>CONCATENATE("          ", "6156", " - ", "EMPLOYEE MEALS")</f>
        <v xml:space="preserve">          6156 - EMPLOYEE MEALS</v>
      </c>
      <c r="C27" s="11"/>
      <c r="D27" s="7">
        <v>292</v>
      </c>
      <c r="E27" s="2"/>
      <c r="F27" s="6">
        <f t="shared" si="0"/>
        <v>0</v>
      </c>
      <c r="G27" s="2"/>
      <c r="H27" s="7">
        <v>829.69</v>
      </c>
      <c r="I27" s="2"/>
      <c r="J27" s="6">
        <f t="shared" si="1"/>
        <v>0</v>
      </c>
      <c r="K27" s="2"/>
      <c r="L27" s="7">
        <f t="shared" si="2"/>
        <v>-537.69000000000005</v>
      </c>
      <c r="M27" s="2"/>
      <c r="N27" s="6">
        <f t="shared" si="3"/>
        <v>-0.64806132410900463</v>
      </c>
      <c r="O27" s="11"/>
      <c r="P27" s="7">
        <v>1555.26</v>
      </c>
      <c r="Q27" s="2"/>
      <c r="R27" s="6">
        <f t="shared" si="4"/>
        <v>0</v>
      </c>
      <c r="S27" s="2"/>
      <c r="T27" s="7">
        <v>4853.78</v>
      </c>
      <c r="U27" s="2"/>
      <c r="V27" s="6">
        <f t="shared" si="5"/>
        <v>0</v>
      </c>
      <c r="W27" s="2"/>
      <c r="X27" s="7">
        <f t="shared" si="6"/>
        <v>-3298.5199999999995</v>
      </c>
      <c r="Y27" s="2"/>
      <c r="Z27" s="6">
        <f t="shared" si="7"/>
        <v>-0.6795775663503496</v>
      </c>
    </row>
    <row r="28" spans="1:26" s="25" customFormat="1" outlineLevel="1" collapsed="1" x14ac:dyDescent="0.25">
      <c r="A28" s="26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18337.96</v>
      </c>
      <c r="E28" s="1"/>
      <c r="F28" s="5">
        <f t="shared" ref="F28:F32" si="8">IF(D$12=0,0,D28/D$12)</f>
        <v>0</v>
      </c>
      <c r="G28" s="1"/>
      <c r="H28" s="1">
        <f>SUM(OSRRefH22_1x_0)</f>
        <v>29105.890000000003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-10767.930000000004</v>
      </c>
      <c r="M28" s="1"/>
      <c r="N28" s="5">
        <f t="shared" ref="N28:N32" si="11">IF(H28=0,0,L28/H28)</f>
        <v>-0.36995707741628936</v>
      </c>
      <c r="O28" s="13"/>
      <c r="P28" s="1">
        <f>SUM(OSRRefP22_1x_0)</f>
        <v>125859.51999999999</v>
      </c>
      <c r="Q28" s="1"/>
      <c r="R28" s="5">
        <f t="shared" ref="R28:R32" si="12">IF(P$12=0,0,P28/P$12)</f>
        <v>0</v>
      </c>
      <c r="S28" s="1"/>
      <c r="T28" s="1">
        <f>SUM(OSRRefT22_1x_0)</f>
        <v>184903.46999999997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-59043.949999999983</v>
      </c>
      <c r="Y28" s="1"/>
      <c r="Z28" s="5">
        <f t="shared" ref="Z28:Z32" si="15">IF(T28=0,0,X28/T28)</f>
        <v>-0.31932310410399539</v>
      </c>
    </row>
    <row r="29" spans="1:26" s="24" customFormat="1" hidden="1" outlineLevel="2" x14ac:dyDescent="0.25">
      <c r="A29" s="27"/>
      <c r="B29" s="11" t="str">
        <f>CONCATENATE("          ", "6002", " - ", "STAFF SALARIES")</f>
        <v xml:space="preserve">          6002 - STAFF SALARIES</v>
      </c>
      <c r="C29" s="11"/>
      <c r="D29" s="7">
        <v>18337.96</v>
      </c>
      <c r="E29" s="2"/>
      <c r="F29" s="6">
        <f t="shared" si="8"/>
        <v>0</v>
      </c>
      <c r="G29" s="2"/>
      <c r="H29" s="7">
        <v>23793.030000000002</v>
      </c>
      <c r="I29" s="2"/>
      <c r="J29" s="6">
        <f t="shared" si="9"/>
        <v>0</v>
      </c>
      <c r="K29" s="2"/>
      <c r="L29" s="7">
        <f t="shared" si="10"/>
        <v>-5455.0700000000033</v>
      </c>
      <c r="M29" s="2"/>
      <c r="N29" s="6">
        <f t="shared" si="11"/>
        <v>-0.22927176572298705</v>
      </c>
      <c r="O29" s="11"/>
      <c r="P29" s="7">
        <v>125477.75999999999</v>
      </c>
      <c r="Q29" s="2"/>
      <c r="R29" s="6">
        <f t="shared" si="12"/>
        <v>0</v>
      </c>
      <c r="S29" s="2"/>
      <c r="T29" s="7">
        <v>149437.90999999997</v>
      </c>
      <c r="U29" s="2"/>
      <c r="V29" s="6">
        <f t="shared" si="13"/>
        <v>0</v>
      </c>
      <c r="W29" s="2"/>
      <c r="X29" s="7">
        <f t="shared" si="14"/>
        <v>-23960.14999999998</v>
      </c>
      <c r="Y29" s="2"/>
      <c r="Z29" s="6">
        <f t="shared" si="15"/>
        <v>-0.16033515190355635</v>
      </c>
    </row>
    <row r="30" spans="1:26" s="24" customFormat="1" hidden="1" outlineLevel="2" x14ac:dyDescent="0.25">
      <c r="A30" s="27"/>
      <c r="B30" s="11" t="str">
        <f>CONCATENATE("          ", "6005", " - ", "TEMPORARY WAGES-HOURLY")</f>
        <v xml:space="preserve">          6005 - TEMPORARY WAGES-HOURLY</v>
      </c>
      <c r="C30" s="11"/>
      <c r="D30" s="7"/>
      <c r="E30" s="2"/>
      <c r="F30" s="6">
        <f t="shared" si="8"/>
        <v>0</v>
      </c>
      <c r="G30" s="2"/>
      <c r="H30" s="7">
        <v>1830.23</v>
      </c>
      <c r="I30" s="2"/>
      <c r="J30" s="6">
        <f t="shared" si="9"/>
        <v>0</v>
      </c>
      <c r="K30" s="2"/>
      <c r="L30" s="7">
        <f t="shared" si="10"/>
        <v>-1830.23</v>
      </c>
      <c r="M30" s="2"/>
      <c r="N30" s="6">
        <f t="shared" si="11"/>
        <v>-1</v>
      </c>
      <c r="O30" s="11"/>
      <c r="P30" s="7">
        <v>265.48</v>
      </c>
      <c r="Q30" s="2"/>
      <c r="R30" s="6">
        <f t="shared" si="12"/>
        <v>0</v>
      </c>
      <c r="S30" s="2"/>
      <c r="T30" s="7">
        <v>13734.68</v>
      </c>
      <c r="U30" s="2"/>
      <c r="V30" s="6">
        <f t="shared" si="13"/>
        <v>0</v>
      </c>
      <c r="W30" s="2"/>
      <c r="X30" s="7">
        <f t="shared" si="14"/>
        <v>-13469.2</v>
      </c>
      <c r="Y30" s="2"/>
      <c r="Z30" s="6">
        <f t="shared" si="15"/>
        <v>-0.98067082742371869</v>
      </c>
    </row>
    <row r="31" spans="1:26" s="24" customFormat="1" hidden="1" outlineLevel="2" x14ac:dyDescent="0.25">
      <c r="A31" s="27"/>
      <c r="B31" s="11" t="str">
        <f>CONCATENATE("          ", "6007", " - ", "STUDENT HOURLY")</f>
        <v xml:space="preserve">          6007 - STUDENT HOURLY</v>
      </c>
      <c r="C31" s="11"/>
      <c r="D31" s="7"/>
      <c r="E31" s="2"/>
      <c r="F31" s="6">
        <f t="shared" si="8"/>
        <v>0</v>
      </c>
      <c r="G31" s="2"/>
      <c r="H31" s="7">
        <v>3143.63</v>
      </c>
      <c r="I31" s="2"/>
      <c r="J31" s="6">
        <f t="shared" si="9"/>
        <v>0</v>
      </c>
      <c r="K31" s="2"/>
      <c r="L31" s="7">
        <f t="shared" si="10"/>
        <v>-3143.63</v>
      </c>
      <c r="M31" s="2"/>
      <c r="N31" s="6">
        <f t="shared" si="11"/>
        <v>-1</v>
      </c>
      <c r="O31" s="11"/>
      <c r="P31" s="7">
        <v>116.28</v>
      </c>
      <c r="Q31" s="2"/>
      <c r="R31" s="6">
        <f t="shared" si="12"/>
        <v>0</v>
      </c>
      <c r="S31" s="2"/>
      <c r="T31" s="7">
        <v>18886.88</v>
      </c>
      <c r="U31" s="2"/>
      <c r="V31" s="6">
        <f t="shared" si="13"/>
        <v>0</v>
      </c>
      <c r="W31" s="2"/>
      <c r="X31" s="7">
        <f t="shared" si="14"/>
        <v>-18770.600000000002</v>
      </c>
      <c r="Y31" s="2"/>
      <c r="Z31" s="6">
        <f t="shared" si="15"/>
        <v>-0.99384334522165663</v>
      </c>
    </row>
    <row r="32" spans="1:26" s="24" customFormat="1" hidden="1" outlineLevel="2" x14ac:dyDescent="0.25">
      <c r="A32" s="27"/>
      <c r="B32" s="11" t="str">
        <f>CONCATENATE("          ", "6008", " - ", "STUDENT HOURLY-FICA EXEMPT")</f>
        <v xml:space="preserve">          6008 - STUDENT HOURLY-FICA EXEMPT</v>
      </c>
      <c r="C32" s="11"/>
      <c r="D32" s="7"/>
      <c r="E32" s="2"/>
      <c r="F32" s="6">
        <f t="shared" si="8"/>
        <v>0</v>
      </c>
      <c r="G32" s="2"/>
      <c r="H32" s="7">
        <v>339</v>
      </c>
      <c r="I32" s="2"/>
      <c r="J32" s="6">
        <f t="shared" si="9"/>
        <v>0</v>
      </c>
      <c r="K32" s="2"/>
      <c r="L32" s="7">
        <f t="shared" si="10"/>
        <v>-339</v>
      </c>
      <c r="M32" s="2"/>
      <c r="N32" s="6">
        <f t="shared" si="11"/>
        <v>-1</v>
      </c>
      <c r="O32" s="11"/>
      <c r="P32" s="7"/>
      <c r="Q32" s="2"/>
      <c r="R32" s="6">
        <f t="shared" si="12"/>
        <v>0</v>
      </c>
      <c r="S32" s="2"/>
      <c r="T32" s="7">
        <v>2844</v>
      </c>
      <c r="U32" s="2"/>
      <c r="V32" s="6">
        <f t="shared" si="13"/>
        <v>0</v>
      </c>
      <c r="W32" s="2"/>
      <c r="X32" s="7">
        <f t="shared" si="14"/>
        <v>-2844</v>
      </c>
      <c r="Y32" s="2"/>
      <c r="Z32" s="6">
        <f t="shared" si="15"/>
        <v>-1</v>
      </c>
    </row>
    <row r="33" spans="1:26" s="25" customFormat="1" outlineLevel="1" collapsed="1" x14ac:dyDescent="0.25">
      <c r="A33" s="26"/>
      <c r="B33" s="13" t="str">
        <f>CONCATENATE("     ","Depreciation                                      ")</f>
        <v xml:space="preserve">     Depreciation                                      </v>
      </c>
      <c r="C33" s="13"/>
      <c r="D33" s="1">
        <f>SUM(OSRRefD22_2x_0)</f>
        <v>1558.88</v>
      </c>
      <c r="E33" s="1"/>
      <c r="F33" s="5">
        <f t="shared" ref="F33:F39" si="16">IF(D$12=0,0,D33/D$12)</f>
        <v>0</v>
      </c>
      <c r="G33" s="1"/>
      <c r="H33" s="1">
        <f>SUM(OSRRefH22_2x_0)</f>
        <v>1558.88</v>
      </c>
      <c r="I33" s="1"/>
      <c r="J33" s="5">
        <f t="shared" ref="J33:J39" si="17">IF(H$12=0,0,H33/H$12)</f>
        <v>0</v>
      </c>
      <c r="K33" s="1"/>
      <c r="L33" s="1">
        <f t="shared" ref="L33:L39" si="18">+D33-H33</f>
        <v>0</v>
      </c>
      <c r="M33" s="1"/>
      <c r="N33" s="5">
        <f t="shared" ref="N33:N39" si="19">IF(H33=0,0,L33/H33)</f>
        <v>0</v>
      </c>
      <c r="O33" s="13"/>
      <c r="P33" s="1">
        <f>SUM(OSRRefP22_2x_0)</f>
        <v>9353.2800000000007</v>
      </c>
      <c r="Q33" s="1"/>
      <c r="R33" s="5">
        <f t="shared" ref="R33:R39" si="20">IF(P$12=0,0,P33/P$12)</f>
        <v>0</v>
      </c>
      <c r="S33" s="1"/>
      <c r="T33" s="1">
        <f>SUM(OSRRefT22_2x_0)</f>
        <v>9353.2800000000007</v>
      </c>
      <c r="U33" s="1"/>
      <c r="V33" s="5">
        <f t="shared" ref="V33:V39" si="21">IF(T$12=0,0,T33/T$12)</f>
        <v>0</v>
      </c>
      <c r="W33" s="1"/>
      <c r="X33" s="1">
        <f t="shared" ref="X33:X39" si="22">+P33-T33</f>
        <v>0</v>
      </c>
      <c r="Y33" s="1"/>
      <c r="Z33" s="5">
        <f t="shared" ref="Z33:Z39" si="23">IF(T33=0,0,X33/T33)</f>
        <v>0</v>
      </c>
    </row>
    <row r="34" spans="1:26" s="24" customFormat="1" hidden="1" outlineLevel="2" x14ac:dyDescent="0.25">
      <c r="A34" s="27"/>
      <c r="B34" s="11" t="str">
        <f>CONCATENATE("          ", "6322", " - ", "EQUIPMENT DEPRECIATION EXPENSE")</f>
        <v xml:space="preserve">          6322 - EQUIPMENT DEPRECIATION EXPENSE</v>
      </c>
      <c r="C34" s="11"/>
      <c r="D34" s="7">
        <v>1558.88</v>
      </c>
      <c r="E34" s="2"/>
      <c r="F34" s="6">
        <f t="shared" si="16"/>
        <v>0</v>
      </c>
      <c r="G34" s="2"/>
      <c r="H34" s="7">
        <v>1558.88</v>
      </c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>
        <v>9353.2800000000007</v>
      </c>
      <c r="Q34" s="2"/>
      <c r="R34" s="6">
        <f t="shared" si="20"/>
        <v>0</v>
      </c>
      <c r="S34" s="2"/>
      <c r="T34" s="7">
        <v>9353.2800000000007</v>
      </c>
      <c r="U34" s="2"/>
      <c r="V34" s="6">
        <f t="shared" si="21"/>
        <v>0</v>
      </c>
      <c r="W34" s="2"/>
      <c r="X34" s="7">
        <f t="shared" si="22"/>
        <v>0</v>
      </c>
      <c r="Y34" s="2"/>
      <c r="Z34" s="6">
        <f t="shared" si="23"/>
        <v>0</v>
      </c>
    </row>
    <row r="35" spans="1:26" s="25" customFormat="1" outlineLevel="1" collapsed="1" x14ac:dyDescent="0.25">
      <c r="A35" s="26"/>
      <c r="B35" s="13" t="str">
        <f>CONCATENATE("     ","Equipment Rental                                  ")</f>
        <v xml:space="preserve">     Equipment Rental                                  </v>
      </c>
      <c r="C35" s="13"/>
      <c r="D35" s="1">
        <f>SUM(OSRRefD22_3x_0)</f>
        <v>91.26</v>
      </c>
      <c r="E35" s="1"/>
      <c r="F35" s="5">
        <f t="shared" si="16"/>
        <v>0</v>
      </c>
      <c r="G35" s="1"/>
      <c r="H35" s="1">
        <f>SUM(OSRRefH22_3x_0)</f>
        <v>0</v>
      </c>
      <c r="I35" s="1"/>
      <c r="J35" s="5">
        <f t="shared" si="17"/>
        <v>0</v>
      </c>
      <c r="K35" s="1"/>
      <c r="L35" s="1">
        <f t="shared" si="18"/>
        <v>91.26</v>
      </c>
      <c r="M35" s="1"/>
      <c r="N35" s="5">
        <f t="shared" si="19"/>
        <v>0</v>
      </c>
      <c r="O35" s="13"/>
      <c r="P35" s="1">
        <f>SUM(OSRRefP22_3x_0)</f>
        <v>547.55999999999995</v>
      </c>
      <c r="Q35" s="1"/>
      <c r="R35" s="5">
        <f t="shared" si="20"/>
        <v>0</v>
      </c>
      <c r="S35" s="1"/>
      <c r="T35" s="1">
        <f>SUM(OSRRefT22_3x_0)</f>
        <v>547.55999999999995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7"/>
      <c r="B36" s="11" t="str">
        <f>CONCATENATE("          ", "6351", " - ", "EQUIPMENT RENTAL")</f>
        <v xml:space="preserve">          6351 - EQUIPMENT RENTAL</v>
      </c>
      <c r="C36" s="11"/>
      <c r="D36" s="7">
        <v>91.26</v>
      </c>
      <c r="E36" s="2"/>
      <c r="F36" s="6">
        <f t="shared" si="16"/>
        <v>0</v>
      </c>
      <c r="G36" s="2"/>
      <c r="H36" s="7"/>
      <c r="I36" s="2"/>
      <c r="J36" s="6">
        <f t="shared" si="17"/>
        <v>0</v>
      </c>
      <c r="K36" s="2"/>
      <c r="L36" s="7">
        <f t="shared" si="18"/>
        <v>91.26</v>
      </c>
      <c r="M36" s="2"/>
      <c r="N36" s="6">
        <f t="shared" si="19"/>
        <v>0</v>
      </c>
      <c r="O36" s="11"/>
      <c r="P36" s="7">
        <v>547.55999999999995</v>
      </c>
      <c r="Q36" s="2"/>
      <c r="R36" s="6">
        <f t="shared" si="20"/>
        <v>0</v>
      </c>
      <c r="S36" s="2"/>
      <c r="T36" s="7">
        <v>547.55999999999995</v>
      </c>
      <c r="U36" s="2"/>
      <c r="V36" s="6">
        <f t="shared" si="21"/>
        <v>0</v>
      </c>
      <c r="W36" s="2"/>
      <c r="X36" s="7">
        <f t="shared" si="22"/>
        <v>0</v>
      </c>
      <c r="Y36" s="2"/>
      <c r="Z36" s="6">
        <f t="shared" si="23"/>
        <v>0</v>
      </c>
    </row>
    <row r="37" spans="1:26" s="25" customFormat="1" outlineLevel="1" collapsed="1" x14ac:dyDescent="0.25">
      <c r="A37" s="26"/>
      <c r="B37" s="13" t="str">
        <f>CONCATENATE("     ","Freight out/Postage                               ")</f>
        <v xml:space="preserve">     Freight out/Postage                               </v>
      </c>
      <c r="C37" s="13"/>
      <c r="D37" s="1">
        <f>SUM(OSRRefD22_4x_0)</f>
        <v>66.5</v>
      </c>
      <c r="E37" s="1"/>
      <c r="F37" s="5">
        <f t="shared" si="16"/>
        <v>0</v>
      </c>
      <c r="G37" s="1"/>
      <c r="H37" s="1">
        <f>SUM(OSRRefH22_4x_0)</f>
        <v>83.65</v>
      </c>
      <c r="I37" s="1"/>
      <c r="J37" s="5">
        <f t="shared" si="17"/>
        <v>0</v>
      </c>
      <c r="K37" s="1"/>
      <c r="L37" s="1">
        <f t="shared" si="18"/>
        <v>-17.150000000000006</v>
      </c>
      <c r="M37" s="1"/>
      <c r="N37" s="5">
        <f t="shared" si="19"/>
        <v>-0.20502092050209211</v>
      </c>
      <c r="O37" s="13"/>
      <c r="P37" s="1">
        <f>SUM(OSRRefP22_4x_0)</f>
        <v>604.86</v>
      </c>
      <c r="Q37" s="1"/>
      <c r="R37" s="5">
        <f t="shared" si="20"/>
        <v>0</v>
      </c>
      <c r="S37" s="1"/>
      <c r="T37" s="1">
        <f>SUM(OSRRefT22_4x_0)</f>
        <v>748.9</v>
      </c>
      <c r="U37" s="1"/>
      <c r="V37" s="5">
        <f t="shared" si="21"/>
        <v>0</v>
      </c>
      <c r="W37" s="1"/>
      <c r="X37" s="1">
        <f t="shared" si="22"/>
        <v>-144.03999999999996</v>
      </c>
      <c r="Y37" s="1"/>
      <c r="Z37" s="5">
        <f t="shared" si="23"/>
        <v>-0.19233542529042591</v>
      </c>
    </row>
    <row r="38" spans="1:26" s="24" customFormat="1" hidden="1" outlineLevel="2" x14ac:dyDescent="0.25">
      <c r="A38" s="27"/>
      <c r="B38" s="11" t="str">
        <f>CONCATENATE("          ", "6305", " - ", "FREIGHT OUT")</f>
        <v xml:space="preserve">          6305 - FREIGHT OUT</v>
      </c>
      <c r="C38" s="11"/>
      <c r="D38" s="7"/>
      <c r="E38" s="2"/>
      <c r="F38" s="6">
        <f t="shared" si="16"/>
        <v>0</v>
      </c>
      <c r="G38" s="2"/>
      <c r="H38" s="7"/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>
        <v>5.41</v>
      </c>
      <c r="Q38" s="2"/>
      <c r="R38" s="6">
        <f t="shared" si="20"/>
        <v>0</v>
      </c>
      <c r="S38" s="2"/>
      <c r="T38" s="7"/>
      <c r="U38" s="2"/>
      <c r="V38" s="6">
        <f t="shared" si="21"/>
        <v>0</v>
      </c>
      <c r="W38" s="2"/>
      <c r="X38" s="7">
        <f t="shared" si="22"/>
        <v>5.41</v>
      </c>
      <c r="Y38" s="2"/>
      <c r="Z38" s="6">
        <f t="shared" si="23"/>
        <v>0</v>
      </c>
    </row>
    <row r="39" spans="1:26" s="24" customFormat="1" hidden="1" outlineLevel="2" x14ac:dyDescent="0.25">
      <c r="A39" s="27"/>
      <c r="B39" s="11" t="str">
        <f>CONCATENATE("          ", "6307", " - ", "POSTAGE")</f>
        <v xml:space="preserve">          6307 - POSTAGE</v>
      </c>
      <c r="C39" s="11"/>
      <c r="D39" s="7">
        <v>66.5</v>
      </c>
      <c r="E39" s="2"/>
      <c r="F39" s="6">
        <f t="shared" si="16"/>
        <v>0</v>
      </c>
      <c r="G39" s="2"/>
      <c r="H39" s="7">
        <v>83.65</v>
      </c>
      <c r="I39" s="2"/>
      <c r="J39" s="6">
        <f t="shared" si="17"/>
        <v>0</v>
      </c>
      <c r="K39" s="2"/>
      <c r="L39" s="7">
        <f t="shared" si="18"/>
        <v>-17.150000000000006</v>
      </c>
      <c r="M39" s="2"/>
      <c r="N39" s="6">
        <f t="shared" si="19"/>
        <v>-0.20502092050209211</v>
      </c>
      <c r="O39" s="11"/>
      <c r="P39" s="7">
        <v>599.45000000000005</v>
      </c>
      <c r="Q39" s="2"/>
      <c r="R39" s="6">
        <f t="shared" si="20"/>
        <v>0</v>
      </c>
      <c r="S39" s="2"/>
      <c r="T39" s="7">
        <v>748.9</v>
      </c>
      <c r="U39" s="2"/>
      <c r="V39" s="6">
        <f t="shared" si="21"/>
        <v>0</v>
      </c>
      <c r="W39" s="2"/>
      <c r="X39" s="7">
        <f t="shared" si="22"/>
        <v>-149.44999999999993</v>
      </c>
      <c r="Y39" s="2"/>
      <c r="Z39" s="6">
        <f t="shared" si="23"/>
        <v>-0.19955935371878747</v>
      </c>
    </row>
    <row r="40" spans="1:26" s="25" customFormat="1" outlineLevel="1" collapsed="1" x14ac:dyDescent="0.25">
      <c r="A40" s="26"/>
      <c r="B40" s="13" t="str">
        <f>CONCATENATE("     ","Insurance                                         ")</f>
        <v xml:space="preserve">     Insurance                                         </v>
      </c>
      <c r="C40" s="13"/>
      <c r="D40" s="1">
        <f>SUM(OSRRefD22_5x_0)</f>
        <v>132.16999999999999</v>
      </c>
      <c r="E40" s="1"/>
      <c r="F40" s="5">
        <f t="shared" ref="F40:F47" si="24">IF(D$12=0,0,D40/D$12)</f>
        <v>0</v>
      </c>
      <c r="G40" s="1"/>
      <c r="H40" s="1">
        <f>SUM(OSRRefH22_5x_0)</f>
        <v>132.16999999999999</v>
      </c>
      <c r="I40" s="1"/>
      <c r="J40" s="5">
        <f t="shared" ref="J40:J47" si="25">IF(H$12=0,0,H40/H$12)</f>
        <v>0</v>
      </c>
      <c r="K40" s="1"/>
      <c r="L40" s="1">
        <f t="shared" ref="L40:L47" si="26">+D40-H40</f>
        <v>0</v>
      </c>
      <c r="M40" s="1"/>
      <c r="N40" s="5">
        <f t="shared" ref="N40:N47" si="27">IF(H40=0,0,L40/H40)</f>
        <v>0</v>
      </c>
      <c r="O40" s="13"/>
      <c r="P40" s="1">
        <f>SUM(OSRRefP22_5x_0)</f>
        <v>793.02</v>
      </c>
      <c r="Q40" s="1"/>
      <c r="R40" s="5">
        <f t="shared" ref="R40:R47" si="28">IF(P$12=0,0,P40/P$12)</f>
        <v>0</v>
      </c>
      <c r="S40" s="1"/>
      <c r="T40" s="1">
        <f>SUM(OSRRefT22_5x_0)</f>
        <v>793.02</v>
      </c>
      <c r="U40" s="1"/>
      <c r="V40" s="5">
        <f t="shared" ref="V40:V47" si="29">IF(T$12=0,0,T40/T$12)</f>
        <v>0</v>
      </c>
      <c r="W40" s="1"/>
      <c r="X40" s="1">
        <f t="shared" ref="X40:X47" si="30">+P40-T40</f>
        <v>0</v>
      </c>
      <c r="Y40" s="1"/>
      <c r="Z40" s="5">
        <f t="shared" ref="Z40:Z47" si="31">IF(T40=0,0,X40/T40)</f>
        <v>0</v>
      </c>
    </row>
    <row r="41" spans="1:26" s="24" customFormat="1" hidden="1" outlineLevel="2" x14ac:dyDescent="0.25">
      <c r="A41" s="27"/>
      <c r="B41" s="11" t="str">
        <f>CONCATENATE("          ", "6314", " - ", "LIABILITY INSURANCE")</f>
        <v xml:space="preserve">          6314 - LIABILITY INSURANCE</v>
      </c>
      <c r="C41" s="11"/>
      <c r="D41" s="7">
        <v>132.16999999999999</v>
      </c>
      <c r="E41" s="2"/>
      <c r="F41" s="6">
        <f t="shared" si="24"/>
        <v>0</v>
      </c>
      <c r="G41" s="2"/>
      <c r="H41" s="7">
        <v>132.16999999999999</v>
      </c>
      <c r="I41" s="2"/>
      <c r="J41" s="6">
        <f t="shared" si="25"/>
        <v>0</v>
      </c>
      <c r="K41" s="2"/>
      <c r="L41" s="7">
        <f t="shared" si="26"/>
        <v>0</v>
      </c>
      <c r="M41" s="2"/>
      <c r="N41" s="6">
        <f t="shared" si="27"/>
        <v>0</v>
      </c>
      <c r="O41" s="11"/>
      <c r="P41" s="7">
        <v>793.02</v>
      </c>
      <c r="Q41" s="2"/>
      <c r="R41" s="6">
        <f t="shared" si="28"/>
        <v>0</v>
      </c>
      <c r="S41" s="2"/>
      <c r="T41" s="7">
        <v>793.02</v>
      </c>
      <c r="U41" s="2"/>
      <c r="V41" s="6">
        <f t="shared" si="29"/>
        <v>0</v>
      </c>
      <c r="W41" s="2"/>
      <c r="X41" s="7">
        <f t="shared" si="30"/>
        <v>0</v>
      </c>
      <c r="Y41" s="2"/>
      <c r="Z41" s="6">
        <f t="shared" si="31"/>
        <v>0</v>
      </c>
    </row>
    <row r="42" spans="1:26" s="25" customFormat="1" outlineLevel="1" collapsed="1" x14ac:dyDescent="0.25">
      <c r="A42" s="26"/>
      <c r="B42" s="13" t="str">
        <f>CONCATENATE("     ","Professional Services                             ")</f>
        <v xml:space="preserve">     Professional Services                             </v>
      </c>
      <c r="C42" s="13"/>
      <c r="D42" s="1">
        <f>SUM(OSRRefD22_6x_0)</f>
        <v>0</v>
      </c>
      <c r="E42" s="1"/>
      <c r="F42" s="5">
        <f t="shared" si="24"/>
        <v>0</v>
      </c>
      <c r="G42" s="1"/>
      <c r="H42" s="1">
        <f>SUM(OSRRefH22_6x_0)</f>
        <v>0</v>
      </c>
      <c r="I42" s="1"/>
      <c r="J42" s="5">
        <f t="shared" si="25"/>
        <v>0</v>
      </c>
      <c r="K42" s="1"/>
      <c r="L42" s="1">
        <f t="shared" si="26"/>
        <v>0</v>
      </c>
      <c r="M42" s="1"/>
      <c r="N42" s="5">
        <f t="shared" si="27"/>
        <v>0</v>
      </c>
      <c r="O42" s="13"/>
      <c r="P42" s="1">
        <f>SUM(OSRRefP22_6x_0)</f>
        <v>0</v>
      </c>
      <c r="Q42" s="1"/>
      <c r="R42" s="5">
        <f t="shared" si="28"/>
        <v>0</v>
      </c>
      <c r="S42" s="1"/>
      <c r="T42" s="1">
        <f>SUM(OSRRefT22_6x_0)</f>
        <v>82.5</v>
      </c>
      <c r="U42" s="1"/>
      <c r="V42" s="5">
        <f t="shared" si="29"/>
        <v>0</v>
      </c>
      <c r="W42" s="1"/>
      <c r="X42" s="1">
        <f t="shared" si="30"/>
        <v>-82.5</v>
      </c>
      <c r="Y42" s="1"/>
      <c r="Z42" s="5">
        <f t="shared" si="31"/>
        <v>-1</v>
      </c>
    </row>
    <row r="43" spans="1:26" s="24" customFormat="1" hidden="1" outlineLevel="2" x14ac:dyDescent="0.25">
      <c r="A43" s="27"/>
      <c r="B43" s="11" t="str">
        <f>CONCATENATE("          ", "6332", " - ", "CONSULTANT FEES")</f>
        <v xml:space="preserve">          6332 - CONSULTANT FEES</v>
      </c>
      <c r="C43" s="11"/>
      <c r="D43" s="7"/>
      <c r="E43" s="2"/>
      <c r="F43" s="6">
        <f t="shared" si="24"/>
        <v>0</v>
      </c>
      <c r="G43" s="2"/>
      <c r="H43" s="7"/>
      <c r="I43" s="2"/>
      <c r="J43" s="6">
        <f t="shared" si="25"/>
        <v>0</v>
      </c>
      <c r="K43" s="2"/>
      <c r="L43" s="7">
        <f t="shared" si="26"/>
        <v>0</v>
      </c>
      <c r="M43" s="2"/>
      <c r="N43" s="6">
        <f t="shared" si="27"/>
        <v>0</v>
      </c>
      <c r="O43" s="11"/>
      <c r="P43" s="7"/>
      <c r="Q43" s="2"/>
      <c r="R43" s="6">
        <f t="shared" si="28"/>
        <v>0</v>
      </c>
      <c r="S43" s="2"/>
      <c r="T43" s="7">
        <v>82.5</v>
      </c>
      <c r="U43" s="2"/>
      <c r="V43" s="6">
        <f t="shared" si="29"/>
        <v>0</v>
      </c>
      <c r="W43" s="2"/>
      <c r="X43" s="7">
        <f t="shared" si="30"/>
        <v>-82.5</v>
      </c>
      <c r="Y43" s="2"/>
      <c r="Z43" s="6">
        <f t="shared" si="31"/>
        <v>-1</v>
      </c>
    </row>
    <row r="44" spans="1:26" s="25" customFormat="1" outlineLevel="1" collapsed="1" x14ac:dyDescent="0.25">
      <c r="A44" s="26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SUM(OSRRefD22_7x_0)</f>
        <v>233.10999999999999</v>
      </c>
      <c r="E44" s="1"/>
      <c r="F44" s="5">
        <f t="shared" si="24"/>
        <v>0</v>
      </c>
      <c r="G44" s="1"/>
      <c r="H44" s="1">
        <f>SUM(OSRRefH22_7x_0)</f>
        <v>392.71</v>
      </c>
      <c r="I44" s="1"/>
      <c r="J44" s="5">
        <f t="shared" si="25"/>
        <v>0</v>
      </c>
      <c r="K44" s="1"/>
      <c r="L44" s="1">
        <f t="shared" si="26"/>
        <v>-159.6</v>
      </c>
      <c r="M44" s="1"/>
      <c r="N44" s="5">
        <f t="shared" si="27"/>
        <v>-0.40640676326042119</v>
      </c>
      <c r="O44" s="13"/>
      <c r="P44" s="1">
        <f>SUM(OSRRefP22_7x_0)</f>
        <v>952.87</v>
      </c>
      <c r="Q44" s="1"/>
      <c r="R44" s="5">
        <f t="shared" si="28"/>
        <v>0</v>
      </c>
      <c r="S44" s="1"/>
      <c r="T44" s="1">
        <f>SUM(OSRRefT22_7x_0)</f>
        <v>964.19</v>
      </c>
      <c r="U44" s="1"/>
      <c r="V44" s="5">
        <f t="shared" si="29"/>
        <v>0</v>
      </c>
      <c r="W44" s="1"/>
      <c r="X44" s="1">
        <f t="shared" si="30"/>
        <v>-11.32000000000005</v>
      </c>
      <c r="Y44" s="1"/>
      <c r="Z44" s="5">
        <f t="shared" si="31"/>
        <v>-1.1740424605109002E-2</v>
      </c>
    </row>
    <row r="45" spans="1:26" s="24" customFormat="1" hidden="1" outlineLevel="2" x14ac:dyDescent="0.25">
      <c r="A45" s="27"/>
      <c r="B45" s="11" t="str">
        <f>CONCATENATE("          ", "6371", " - ", "COMPUTER SOFTWARE MAINTENANCE")</f>
        <v xml:space="preserve">          6371 - COMPUTER SOFTWARE MAINTENANCE</v>
      </c>
      <c r="C45" s="11"/>
      <c r="D45" s="7">
        <v>224.95</v>
      </c>
      <c r="E45" s="2"/>
      <c r="F45" s="6">
        <f t="shared" si="24"/>
        <v>0</v>
      </c>
      <c r="G45" s="2"/>
      <c r="H45" s="7">
        <v>375</v>
      </c>
      <c r="I45" s="2"/>
      <c r="J45" s="6">
        <f t="shared" si="25"/>
        <v>0</v>
      </c>
      <c r="K45" s="2"/>
      <c r="L45" s="7">
        <f t="shared" si="26"/>
        <v>-150.05000000000001</v>
      </c>
      <c r="M45" s="2"/>
      <c r="N45" s="6">
        <f t="shared" si="27"/>
        <v>-0.40013333333333334</v>
      </c>
      <c r="O45" s="11"/>
      <c r="P45" s="7">
        <v>895.95</v>
      </c>
      <c r="Q45" s="2"/>
      <c r="R45" s="6">
        <f t="shared" si="28"/>
        <v>0</v>
      </c>
      <c r="S45" s="2"/>
      <c r="T45" s="7">
        <v>375</v>
      </c>
      <c r="U45" s="2"/>
      <c r="V45" s="6">
        <f t="shared" si="29"/>
        <v>0</v>
      </c>
      <c r="W45" s="2"/>
      <c r="X45" s="7">
        <f t="shared" si="30"/>
        <v>520.95000000000005</v>
      </c>
      <c r="Y45" s="2"/>
      <c r="Z45" s="6">
        <f t="shared" si="31"/>
        <v>1.3892000000000002</v>
      </c>
    </row>
    <row r="46" spans="1:26" s="24" customFormat="1" hidden="1" outlineLevel="2" x14ac:dyDescent="0.25">
      <c r="A46" s="27"/>
      <c r="B46" s="11" t="str">
        <f>CONCATENATE("          ", "6373", " - ", "MAINTENANCE CONTRACTS")</f>
        <v xml:space="preserve">          6373 - MAINTENANCE CONTRACTS</v>
      </c>
      <c r="C46" s="11"/>
      <c r="D46" s="7">
        <v>8.16</v>
      </c>
      <c r="E46" s="2"/>
      <c r="F46" s="6">
        <f t="shared" si="24"/>
        <v>0</v>
      </c>
      <c r="G46" s="2"/>
      <c r="H46" s="7">
        <v>17.71</v>
      </c>
      <c r="I46" s="2"/>
      <c r="J46" s="6">
        <f t="shared" si="25"/>
        <v>0</v>
      </c>
      <c r="K46" s="2"/>
      <c r="L46" s="7">
        <f t="shared" si="26"/>
        <v>-9.5500000000000007</v>
      </c>
      <c r="M46" s="2"/>
      <c r="N46" s="6">
        <f t="shared" si="27"/>
        <v>-0.53924336533032191</v>
      </c>
      <c r="O46" s="11"/>
      <c r="P46" s="7">
        <v>56.92</v>
      </c>
      <c r="Q46" s="2"/>
      <c r="R46" s="6">
        <f t="shared" si="28"/>
        <v>0</v>
      </c>
      <c r="S46" s="2"/>
      <c r="T46" s="7">
        <v>124.61</v>
      </c>
      <c r="U46" s="2"/>
      <c r="V46" s="6">
        <f t="shared" si="29"/>
        <v>0</v>
      </c>
      <c r="W46" s="2"/>
      <c r="X46" s="7">
        <f t="shared" si="30"/>
        <v>-67.69</v>
      </c>
      <c r="Y46" s="2"/>
      <c r="Z46" s="6">
        <f t="shared" si="31"/>
        <v>-0.54321483027044382</v>
      </c>
    </row>
    <row r="47" spans="1:26" s="24" customFormat="1" hidden="1" outlineLevel="2" x14ac:dyDescent="0.25">
      <c r="A47" s="27"/>
      <c r="B47" s="11" t="str">
        <f>CONCATENATE("          ", "6375", " - ", "OUTSIDE REPAIRS &amp; MAINTENANCE")</f>
        <v xml:space="preserve">          6375 - OUTSIDE REPAIRS &amp; MAINTENANCE</v>
      </c>
      <c r="C47" s="11"/>
      <c r="D47" s="7"/>
      <c r="E47" s="2"/>
      <c r="F47" s="6">
        <f t="shared" si="24"/>
        <v>0</v>
      </c>
      <c r="G47" s="2"/>
      <c r="H47" s="7"/>
      <c r="I47" s="2"/>
      <c r="J47" s="6">
        <f t="shared" si="25"/>
        <v>0</v>
      </c>
      <c r="K47" s="2"/>
      <c r="L47" s="7">
        <f t="shared" si="26"/>
        <v>0</v>
      </c>
      <c r="M47" s="2"/>
      <c r="N47" s="6">
        <f t="shared" si="27"/>
        <v>0</v>
      </c>
      <c r="O47" s="11"/>
      <c r="P47" s="7"/>
      <c r="Q47" s="2"/>
      <c r="R47" s="6">
        <f t="shared" si="28"/>
        <v>0</v>
      </c>
      <c r="S47" s="2"/>
      <c r="T47" s="7">
        <v>464.58</v>
      </c>
      <c r="U47" s="2"/>
      <c r="V47" s="6">
        <f t="shared" si="29"/>
        <v>0</v>
      </c>
      <c r="W47" s="2"/>
      <c r="X47" s="7">
        <f t="shared" si="30"/>
        <v>-464.58</v>
      </c>
      <c r="Y47" s="2"/>
      <c r="Z47" s="6">
        <f t="shared" si="31"/>
        <v>-1</v>
      </c>
    </row>
    <row r="48" spans="1:26" s="25" customFormat="1" outlineLevel="1" collapsed="1" x14ac:dyDescent="0.25">
      <c r="A48" s="26"/>
      <c r="B48" s="13" t="str">
        <f>CONCATENATE("     ","Services                                          ")</f>
        <v xml:space="preserve">     Services                                          </v>
      </c>
      <c r="C48" s="13"/>
      <c r="D48" s="1">
        <f>SUM(OSRRefD22_8x_0)</f>
        <v>512.48</v>
      </c>
      <c r="E48" s="1"/>
      <c r="F48" s="5">
        <f t="shared" ref="F48:F55" si="32">IF(D$12=0,0,D48/D$12)</f>
        <v>0</v>
      </c>
      <c r="G48" s="1"/>
      <c r="H48" s="1">
        <f>SUM(OSRRefH22_8x_0)</f>
        <v>504.37</v>
      </c>
      <c r="I48" s="1"/>
      <c r="J48" s="5">
        <f t="shared" ref="J48:J55" si="33">IF(H$12=0,0,H48/H$12)</f>
        <v>0</v>
      </c>
      <c r="K48" s="1"/>
      <c r="L48" s="1">
        <f t="shared" ref="L48:L55" si="34">+D48-H48</f>
        <v>8.1100000000000136</v>
      </c>
      <c r="M48" s="1"/>
      <c r="N48" s="5">
        <f t="shared" ref="N48:N55" si="35">IF(H48=0,0,L48/H48)</f>
        <v>1.6079465471776699E-2</v>
      </c>
      <c r="O48" s="13"/>
      <c r="P48" s="1">
        <f>SUM(OSRRefP22_8x_0)</f>
        <v>3074.88</v>
      </c>
      <c r="Q48" s="1"/>
      <c r="R48" s="5">
        <f t="shared" ref="R48:R55" si="36">IF(P$12=0,0,P48/P$12)</f>
        <v>0</v>
      </c>
      <c r="S48" s="1"/>
      <c r="T48" s="1">
        <f>SUM(OSRRefT22_8x_0)</f>
        <v>8099.4</v>
      </c>
      <c r="U48" s="1"/>
      <c r="V48" s="5">
        <f t="shared" ref="V48:V55" si="37">IF(T$12=0,0,T48/T$12)</f>
        <v>0</v>
      </c>
      <c r="W48" s="1"/>
      <c r="X48" s="1">
        <f t="shared" ref="X48:X55" si="38">+P48-T48</f>
        <v>-5024.5199999999995</v>
      </c>
      <c r="Y48" s="1"/>
      <c r="Z48" s="5">
        <f t="shared" ref="Z48:Z55" si="39">IF(T48=0,0,X48/T48)</f>
        <v>-0.62035706348618413</v>
      </c>
    </row>
    <row r="49" spans="1:26" s="24" customFormat="1" hidden="1" outlineLevel="2" x14ac:dyDescent="0.25">
      <c r="A49" s="27"/>
      <c r="B49" s="11" t="str">
        <f>CONCATENATE("          ", "6281", " - ", "STORAGE FEE")</f>
        <v xml:space="preserve">          6281 - STORAGE FEE</v>
      </c>
      <c r="C49" s="11"/>
      <c r="D49" s="7">
        <v>512.48</v>
      </c>
      <c r="E49" s="2"/>
      <c r="F49" s="6">
        <f t="shared" si="32"/>
        <v>0</v>
      </c>
      <c r="G49" s="2"/>
      <c r="H49" s="7">
        <v>504.37</v>
      </c>
      <c r="I49" s="2"/>
      <c r="J49" s="6">
        <f t="shared" si="33"/>
        <v>0</v>
      </c>
      <c r="K49" s="2"/>
      <c r="L49" s="7">
        <f t="shared" si="34"/>
        <v>8.1100000000000136</v>
      </c>
      <c r="M49" s="2"/>
      <c r="N49" s="6">
        <f t="shared" si="35"/>
        <v>1.6079465471776699E-2</v>
      </c>
      <c r="O49" s="11"/>
      <c r="P49" s="7">
        <v>3074.88</v>
      </c>
      <c r="Q49" s="2"/>
      <c r="R49" s="6">
        <f t="shared" si="36"/>
        <v>0</v>
      </c>
      <c r="S49" s="2"/>
      <c r="T49" s="7">
        <v>8099.4</v>
      </c>
      <c r="U49" s="2"/>
      <c r="V49" s="6">
        <f t="shared" si="37"/>
        <v>0</v>
      </c>
      <c r="W49" s="2"/>
      <c r="X49" s="7">
        <f t="shared" si="38"/>
        <v>-5024.5199999999995</v>
      </c>
      <c r="Y49" s="2"/>
      <c r="Z49" s="6">
        <f t="shared" si="39"/>
        <v>-0.62035706348618413</v>
      </c>
    </row>
    <row r="50" spans="1:26" s="25" customFormat="1" outlineLevel="1" collapsed="1" x14ac:dyDescent="0.25">
      <c r="A50" s="26"/>
      <c r="B50" s="13" t="str">
        <f>CONCATENATE("     ","Subscriptions &amp; Dues                              ")</f>
        <v xml:space="preserve">     Subscriptions &amp; Dues                              </v>
      </c>
      <c r="C50" s="13"/>
      <c r="D50" s="1">
        <f>SUM(OSRRefD22_9x_0)</f>
        <v>0</v>
      </c>
      <c r="E50" s="1"/>
      <c r="F50" s="5">
        <f t="shared" si="32"/>
        <v>0</v>
      </c>
      <c r="G50" s="1"/>
      <c r="H50" s="1">
        <f>SUM(OSRRefH22_9x_0)</f>
        <v>0</v>
      </c>
      <c r="I50" s="1"/>
      <c r="J50" s="5">
        <f t="shared" si="33"/>
        <v>0</v>
      </c>
      <c r="K50" s="1"/>
      <c r="L50" s="1">
        <f t="shared" si="34"/>
        <v>0</v>
      </c>
      <c r="M50" s="1"/>
      <c r="N50" s="5">
        <f t="shared" si="35"/>
        <v>0</v>
      </c>
      <c r="O50" s="13"/>
      <c r="P50" s="1">
        <f>SUM(OSRRefP22_9x_0)</f>
        <v>0</v>
      </c>
      <c r="Q50" s="1"/>
      <c r="R50" s="5">
        <f t="shared" si="36"/>
        <v>0</v>
      </c>
      <c r="S50" s="1"/>
      <c r="T50" s="1">
        <f>SUM(OSRRefT22_9x_0)</f>
        <v>39</v>
      </c>
      <c r="U50" s="1"/>
      <c r="V50" s="5">
        <f t="shared" si="37"/>
        <v>0</v>
      </c>
      <c r="W50" s="1"/>
      <c r="X50" s="1">
        <f t="shared" si="38"/>
        <v>-39</v>
      </c>
      <c r="Y50" s="1"/>
      <c r="Z50" s="5">
        <f t="shared" si="39"/>
        <v>-1</v>
      </c>
    </row>
    <row r="51" spans="1:26" s="24" customFormat="1" hidden="1" outlineLevel="2" x14ac:dyDescent="0.25">
      <c r="A51" s="27"/>
      <c r="B51" s="11" t="str">
        <f>CONCATENATE("          ", "6258", " - ", "MEMBERSHIP DUES")</f>
        <v xml:space="preserve">          6258 - MEMBERSHIP DUES</v>
      </c>
      <c r="C51" s="11"/>
      <c r="D51" s="7"/>
      <c r="E51" s="2"/>
      <c r="F51" s="6">
        <f t="shared" si="32"/>
        <v>0</v>
      </c>
      <c r="G51" s="2"/>
      <c r="H51" s="7"/>
      <c r="I51" s="2"/>
      <c r="J51" s="6">
        <f t="shared" si="33"/>
        <v>0</v>
      </c>
      <c r="K51" s="2"/>
      <c r="L51" s="7">
        <f t="shared" si="34"/>
        <v>0</v>
      </c>
      <c r="M51" s="2"/>
      <c r="N51" s="6">
        <f t="shared" si="35"/>
        <v>0</v>
      </c>
      <c r="O51" s="11"/>
      <c r="P51" s="7"/>
      <c r="Q51" s="2"/>
      <c r="R51" s="6">
        <f t="shared" si="36"/>
        <v>0</v>
      </c>
      <c r="S51" s="2"/>
      <c r="T51" s="7">
        <v>39</v>
      </c>
      <c r="U51" s="2"/>
      <c r="V51" s="6">
        <f t="shared" si="37"/>
        <v>0</v>
      </c>
      <c r="W51" s="2"/>
      <c r="X51" s="7">
        <f t="shared" si="38"/>
        <v>-39</v>
      </c>
      <c r="Y51" s="2"/>
      <c r="Z51" s="6">
        <f t="shared" si="39"/>
        <v>-1</v>
      </c>
    </row>
    <row r="52" spans="1:26" s="25" customFormat="1" outlineLevel="1" collapsed="1" x14ac:dyDescent="0.25">
      <c r="A52" s="26"/>
      <c r="B52" s="13" t="str">
        <f>CONCATENATE("     ","Supplies                                          ")</f>
        <v xml:space="preserve">     Supplies                                          </v>
      </c>
      <c r="C52" s="13"/>
      <c r="D52" s="1">
        <f>SUM(OSRRefD22_10x_0)</f>
        <v>68.849999999999994</v>
      </c>
      <c r="E52" s="1"/>
      <c r="F52" s="5">
        <f t="shared" si="32"/>
        <v>0</v>
      </c>
      <c r="G52" s="1"/>
      <c r="H52" s="1">
        <f>SUM(OSRRefH22_10x_0)</f>
        <v>177.3</v>
      </c>
      <c r="I52" s="1"/>
      <c r="J52" s="5">
        <f t="shared" si="33"/>
        <v>0</v>
      </c>
      <c r="K52" s="1"/>
      <c r="L52" s="1">
        <f t="shared" si="34"/>
        <v>-108.45000000000002</v>
      </c>
      <c r="M52" s="1"/>
      <c r="N52" s="5">
        <f t="shared" si="35"/>
        <v>-0.6116751269035533</v>
      </c>
      <c r="O52" s="13"/>
      <c r="P52" s="1">
        <f>SUM(OSRRefP22_10x_0)</f>
        <v>782.8900000000001</v>
      </c>
      <c r="Q52" s="1"/>
      <c r="R52" s="5">
        <f t="shared" si="36"/>
        <v>0</v>
      </c>
      <c r="S52" s="1"/>
      <c r="T52" s="1">
        <f>SUM(OSRRefT22_10x_0)</f>
        <v>3062.25</v>
      </c>
      <c r="U52" s="1"/>
      <c r="V52" s="5">
        <f t="shared" si="37"/>
        <v>0</v>
      </c>
      <c r="W52" s="1"/>
      <c r="X52" s="1">
        <f t="shared" si="38"/>
        <v>-2279.3599999999997</v>
      </c>
      <c r="Y52" s="1"/>
      <c r="Z52" s="5">
        <f t="shared" si="39"/>
        <v>-0.74434157890440023</v>
      </c>
    </row>
    <row r="53" spans="1:26" s="24" customFormat="1" hidden="1" outlineLevel="2" x14ac:dyDescent="0.25">
      <c r="A53" s="27"/>
      <c r="B53" s="11" t="str">
        <f>CONCATENATE("          ", "6235", " - ", "COVID-19 EXPENSES")</f>
        <v xml:space="preserve">          6235 - COVID-19 EXPENSES</v>
      </c>
      <c r="C53" s="11"/>
      <c r="D53" s="7"/>
      <c r="E53" s="2"/>
      <c r="F53" s="6">
        <f t="shared" si="32"/>
        <v>0</v>
      </c>
      <c r="G53" s="2"/>
      <c r="H53" s="7"/>
      <c r="I53" s="2"/>
      <c r="J53" s="6">
        <f t="shared" si="33"/>
        <v>0</v>
      </c>
      <c r="K53" s="2"/>
      <c r="L53" s="7">
        <f t="shared" si="34"/>
        <v>0</v>
      </c>
      <c r="M53" s="2"/>
      <c r="N53" s="6">
        <f t="shared" si="35"/>
        <v>0</v>
      </c>
      <c r="O53" s="11"/>
      <c r="P53" s="7">
        <v>426.66</v>
      </c>
      <c r="Q53" s="2"/>
      <c r="R53" s="6">
        <f t="shared" si="36"/>
        <v>0</v>
      </c>
      <c r="S53" s="2"/>
      <c r="T53" s="7"/>
      <c r="U53" s="2"/>
      <c r="V53" s="6">
        <f t="shared" si="37"/>
        <v>0</v>
      </c>
      <c r="W53" s="2"/>
      <c r="X53" s="7">
        <f t="shared" si="38"/>
        <v>426.66</v>
      </c>
      <c r="Y53" s="2"/>
      <c r="Z53" s="6">
        <f t="shared" si="39"/>
        <v>0</v>
      </c>
    </row>
    <row r="54" spans="1:26" s="24" customFormat="1" hidden="1" outlineLevel="2" x14ac:dyDescent="0.25">
      <c r="A54" s="27"/>
      <c r="B54" s="11" t="str">
        <f>CONCATENATE("          ", "6241", " - ", "OFFICE EXPENSE")</f>
        <v xml:space="preserve">          6241 - OFFICE EXPENSE</v>
      </c>
      <c r="C54" s="11"/>
      <c r="D54" s="7">
        <v>68.849999999999994</v>
      </c>
      <c r="E54" s="2"/>
      <c r="F54" s="6">
        <f t="shared" si="32"/>
        <v>0</v>
      </c>
      <c r="G54" s="2"/>
      <c r="H54" s="7">
        <v>177.3</v>
      </c>
      <c r="I54" s="2"/>
      <c r="J54" s="6">
        <f t="shared" si="33"/>
        <v>0</v>
      </c>
      <c r="K54" s="2"/>
      <c r="L54" s="7">
        <f t="shared" si="34"/>
        <v>-108.45000000000002</v>
      </c>
      <c r="M54" s="2"/>
      <c r="N54" s="6">
        <f t="shared" si="35"/>
        <v>-0.6116751269035533</v>
      </c>
      <c r="O54" s="11"/>
      <c r="P54" s="7">
        <v>356.23</v>
      </c>
      <c r="Q54" s="2"/>
      <c r="R54" s="6">
        <f t="shared" si="36"/>
        <v>0</v>
      </c>
      <c r="S54" s="2"/>
      <c r="T54" s="7">
        <v>2399.34</v>
      </c>
      <c r="U54" s="2"/>
      <c r="V54" s="6">
        <f t="shared" si="37"/>
        <v>0</v>
      </c>
      <c r="W54" s="2"/>
      <c r="X54" s="7">
        <f t="shared" si="38"/>
        <v>-2043.1100000000001</v>
      </c>
      <c r="Y54" s="2"/>
      <c r="Z54" s="6">
        <f t="shared" si="39"/>
        <v>-0.85153000408445656</v>
      </c>
    </row>
    <row r="55" spans="1:26" s="24" customFormat="1" hidden="1" outlineLevel="2" x14ac:dyDescent="0.25">
      <c r="A55" s="27"/>
      <c r="B55" s="11" t="str">
        <f>CONCATENATE("          ", "6245", " - ", "PRINTING")</f>
        <v xml:space="preserve">          6245 - PRINTING</v>
      </c>
      <c r="C55" s="11"/>
      <c r="D55" s="7"/>
      <c r="E55" s="2"/>
      <c r="F55" s="6">
        <f t="shared" si="32"/>
        <v>0</v>
      </c>
      <c r="G55" s="2"/>
      <c r="H55" s="7"/>
      <c r="I55" s="2"/>
      <c r="J55" s="6">
        <f t="shared" si="33"/>
        <v>0</v>
      </c>
      <c r="K55" s="2"/>
      <c r="L55" s="7">
        <f t="shared" si="34"/>
        <v>0</v>
      </c>
      <c r="M55" s="2"/>
      <c r="N55" s="6">
        <f t="shared" si="35"/>
        <v>0</v>
      </c>
      <c r="O55" s="11"/>
      <c r="P55" s="7"/>
      <c r="Q55" s="2"/>
      <c r="R55" s="6">
        <f t="shared" si="36"/>
        <v>0</v>
      </c>
      <c r="S55" s="2"/>
      <c r="T55" s="7">
        <v>662.91</v>
      </c>
      <c r="U55" s="2"/>
      <c r="V55" s="6">
        <f t="shared" si="37"/>
        <v>0</v>
      </c>
      <c r="W55" s="2"/>
      <c r="X55" s="7">
        <f t="shared" si="38"/>
        <v>-662.91</v>
      </c>
      <c r="Y55" s="2"/>
      <c r="Z55" s="6">
        <f t="shared" si="39"/>
        <v>-1</v>
      </c>
    </row>
    <row r="56" spans="1:26" s="25" customFormat="1" outlineLevel="1" collapsed="1" x14ac:dyDescent="0.25">
      <c r="A56" s="26"/>
      <c r="B56" s="13" t="str">
        <f>CONCATENATE("     ","Telephone/Data Lines                              ")</f>
        <v xml:space="preserve">     Telephone/Data Lines                              </v>
      </c>
      <c r="C56" s="13"/>
      <c r="D56" s="1">
        <f>SUM(OSRRefD22_11x_0)</f>
        <v>414.15</v>
      </c>
      <c r="E56" s="1"/>
      <c r="F56" s="5">
        <f t="shared" ref="F56:F61" si="40">IF(D$12=0,0,D56/D$12)</f>
        <v>0</v>
      </c>
      <c r="G56" s="1"/>
      <c r="H56" s="1">
        <f>SUM(OSRRefH22_11x_0)</f>
        <v>443.83</v>
      </c>
      <c r="I56" s="1"/>
      <c r="J56" s="5">
        <f t="shared" ref="J56:J61" si="41">IF(H$12=0,0,H56/H$12)</f>
        <v>0</v>
      </c>
      <c r="K56" s="1"/>
      <c r="L56" s="1">
        <f t="shared" ref="L56:L61" si="42">+D56-H56</f>
        <v>-29.680000000000007</v>
      </c>
      <c r="M56" s="1"/>
      <c r="N56" s="5">
        <f t="shared" ref="N56:N61" si="43">IF(H56=0,0,L56/H56)</f>
        <v>-6.6872451163733873E-2</v>
      </c>
      <c r="O56" s="13"/>
      <c r="P56" s="1">
        <f>SUM(OSRRefP22_11x_0)</f>
        <v>2520.0500000000002</v>
      </c>
      <c r="Q56" s="1"/>
      <c r="R56" s="5">
        <f t="shared" ref="R56:R61" si="44">IF(P$12=0,0,P56/P$12)</f>
        <v>0</v>
      </c>
      <c r="S56" s="1"/>
      <c r="T56" s="1">
        <f>SUM(OSRRefT22_11x_0)</f>
        <v>2439.44</v>
      </c>
      <c r="U56" s="1"/>
      <c r="V56" s="5">
        <f t="shared" ref="V56:V61" si="45">IF(T$12=0,0,T56/T$12)</f>
        <v>0</v>
      </c>
      <c r="W56" s="1"/>
      <c r="X56" s="1">
        <f t="shared" ref="X56:X61" si="46">+P56-T56</f>
        <v>80.610000000000127</v>
      </c>
      <c r="Y56" s="1"/>
      <c r="Z56" s="5">
        <f t="shared" ref="Z56:Z61" si="47">IF(T56=0,0,X56/T56)</f>
        <v>3.3044469222444549E-2</v>
      </c>
    </row>
    <row r="57" spans="1:26" s="24" customFormat="1" hidden="1" outlineLevel="2" x14ac:dyDescent="0.25">
      <c r="A57" s="27"/>
      <c r="B57" s="11" t="str">
        <f>CONCATENATE("          ", "6309", " - ", "TELEPHONE")</f>
        <v xml:space="preserve">          6309 - TELEPHONE</v>
      </c>
      <c r="C57" s="11"/>
      <c r="D57" s="7">
        <v>414.15</v>
      </c>
      <c r="E57" s="2"/>
      <c r="F57" s="6">
        <f t="shared" si="40"/>
        <v>0</v>
      </c>
      <c r="G57" s="2"/>
      <c r="H57" s="7">
        <v>443.83</v>
      </c>
      <c r="I57" s="2"/>
      <c r="J57" s="6">
        <f t="shared" si="41"/>
        <v>0</v>
      </c>
      <c r="K57" s="2"/>
      <c r="L57" s="7">
        <f t="shared" si="42"/>
        <v>-29.680000000000007</v>
      </c>
      <c r="M57" s="2"/>
      <c r="N57" s="6">
        <f t="shared" si="43"/>
        <v>-6.6872451163733873E-2</v>
      </c>
      <c r="O57" s="11"/>
      <c r="P57" s="7">
        <v>2520.0500000000002</v>
      </c>
      <c r="Q57" s="2"/>
      <c r="R57" s="6">
        <f t="shared" si="44"/>
        <v>0</v>
      </c>
      <c r="S57" s="2"/>
      <c r="T57" s="7">
        <v>2439.44</v>
      </c>
      <c r="U57" s="2"/>
      <c r="V57" s="6">
        <f t="shared" si="45"/>
        <v>0</v>
      </c>
      <c r="W57" s="2"/>
      <c r="X57" s="7">
        <f t="shared" si="46"/>
        <v>80.610000000000127</v>
      </c>
      <c r="Y57" s="2"/>
      <c r="Z57" s="6">
        <f t="shared" si="47"/>
        <v>3.3044469222444549E-2</v>
      </c>
    </row>
    <row r="58" spans="1:26" s="25" customFormat="1" outlineLevel="1" collapsed="1" x14ac:dyDescent="0.25">
      <c r="A58" s="26"/>
      <c r="B58" s="13" t="str">
        <f>CONCATENATE("     ","Training                                          ")</f>
        <v xml:space="preserve">     Training                                          </v>
      </c>
      <c r="C58" s="13"/>
      <c r="D58" s="1">
        <f>SUM(OSRRefD22_12x_0)</f>
        <v>150</v>
      </c>
      <c r="E58" s="1"/>
      <c r="F58" s="5">
        <f t="shared" si="40"/>
        <v>0</v>
      </c>
      <c r="G58" s="1"/>
      <c r="H58" s="1">
        <f>SUM(OSRRefH22_12x_0)</f>
        <v>311</v>
      </c>
      <c r="I58" s="1"/>
      <c r="J58" s="5">
        <f t="shared" si="41"/>
        <v>0</v>
      </c>
      <c r="K58" s="1"/>
      <c r="L58" s="1">
        <f t="shared" si="42"/>
        <v>-161</v>
      </c>
      <c r="M58" s="1"/>
      <c r="N58" s="5">
        <f t="shared" si="43"/>
        <v>-0.51768488745980712</v>
      </c>
      <c r="O58" s="13"/>
      <c r="P58" s="1">
        <f>SUM(OSRRefP22_12x_0)</f>
        <v>548</v>
      </c>
      <c r="Q58" s="1"/>
      <c r="R58" s="5">
        <f t="shared" si="44"/>
        <v>0</v>
      </c>
      <c r="S58" s="1"/>
      <c r="T58" s="1">
        <f>SUM(OSRRefT22_12x_0)</f>
        <v>338.53</v>
      </c>
      <c r="U58" s="1"/>
      <c r="V58" s="5">
        <f t="shared" si="45"/>
        <v>0</v>
      </c>
      <c r="W58" s="1"/>
      <c r="X58" s="1">
        <f t="shared" si="46"/>
        <v>209.47000000000003</v>
      </c>
      <c r="Y58" s="1"/>
      <c r="Z58" s="5">
        <f t="shared" si="47"/>
        <v>0.61876347738752857</v>
      </c>
    </row>
    <row r="59" spans="1:26" s="24" customFormat="1" hidden="1" outlineLevel="2" x14ac:dyDescent="0.25">
      <c r="A59" s="27"/>
      <c r="B59" s="11" t="str">
        <f>CONCATENATE("          ", "6376", " - ", "TRAINING")</f>
        <v xml:space="preserve">          6376 - TRAINING</v>
      </c>
      <c r="C59" s="11"/>
      <c r="D59" s="7">
        <v>150</v>
      </c>
      <c r="E59" s="2"/>
      <c r="F59" s="6">
        <f t="shared" si="40"/>
        <v>0</v>
      </c>
      <c r="G59" s="2"/>
      <c r="H59" s="7">
        <v>311</v>
      </c>
      <c r="I59" s="2"/>
      <c r="J59" s="6">
        <f t="shared" si="41"/>
        <v>0</v>
      </c>
      <c r="K59" s="2"/>
      <c r="L59" s="7">
        <f t="shared" si="42"/>
        <v>-161</v>
      </c>
      <c r="M59" s="2"/>
      <c r="N59" s="6">
        <f t="shared" si="43"/>
        <v>-0.51768488745980712</v>
      </c>
      <c r="O59" s="11"/>
      <c r="P59" s="7">
        <v>548</v>
      </c>
      <c r="Q59" s="2"/>
      <c r="R59" s="6">
        <f t="shared" si="44"/>
        <v>0</v>
      </c>
      <c r="S59" s="2"/>
      <c r="T59" s="7">
        <v>338.53</v>
      </c>
      <c r="U59" s="2"/>
      <c r="V59" s="6">
        <f t="shared" si="45"/>
        <v>0</v>
      </c>
      <c r="W59" s="2"/>
      <c r="X59" s="7">
        <f t="shared" si="46"/>
        <v>209.47000000000003</v>
      </c>
      <c r="Y59" s="2"/>
      <c r="Z59" s="6">
        <f t="shared" si="47"/>
        <v>0.61876347738752857</v>
      </c>
    </row>
    <row r="60" spans="1:26" s="25" customFormat="1" outlineLevel="1" collapsed="1" x14ac:dyDescent="0.25">
      <c r="A60" s="26"/>
      <c r="B60" s="13" t="str">
        <f>CONCATENATE("     ","Travel                                            ")</f>
        <v xml:space="preserve">     Travel                                            </v>
      </c>
      <c r="C60" s="13"/>
      <c r="D60" s="1">
        <f>SUM(OSRRefD22_13x_0)</f>
        <v>0</v>
      </c>
      <c r="E60" s="1"/>
      <c r="F60" s="5">
        <f t="shared" si="40"/>
        <v>0</v>
      </c>
      <c r="G60" s="1"/>
      <c r="H60" s="1">
        <f>SUM(OSRRefH22_13x_0)</f>
        <v>0</v>
      </c>
      <c r="I60" s="1"/>
      <c r="J60" s="5">
        <f t="shared" si="41"/>
        <v>0</v>
      </c>
      <c r="K60" s="1"/>
      <c r="L60" s="1">
        <f t="shared" si="42"/>
        <v>0</v>
      </c>
      <c r="M60" s="1"/>
      <c r="N60" s="5">
        <f t="shared" si="43"/>
        <v>0</v>
      </c>
      <c r="O60" s="13"/>
      <c r="P60" s="1">
        <f>SUM(OSRRefP22_13x_0)</f>
        <v>46.62</v>
      </c>
      <c r="Q60" s="1"/>
      <c r="R60" s="5">
        <f t="shared" si="44"/>
        <v>0</v>
      </c>
      <c r="S60" s="1"/>
      <c r="T60" s="1">
        <f>SUM(OSRRefT22_13x_0)</f>
        <v>0</v>
      </c>
      <c r="U60" s="1"/>
      <c r="V60" s="5">
        <f t="shared" si="45"/>
        <v>0</v>
      </c>
      <c r="W60" s="1"/>
      <c r="X60" s="1">
        <f t="shared" si="46"/>
        <v>46.62</v>
      </c>
      <c r="Y60" s="1"/>
      <c r="Z60" s="5">
        <f t="shared" si="47"/>
        <v>0</v>
      </c>
    </row>
    <row r="61" spans="1:26" s="24" customFormat="1" hidden="1" outlineLevel="2" x14ac:dyDescent="0.25">
      <c r="A61" s="27"/>
      <c r="B61" s="11" t="str">
        <f>CONCATENATE("          ", "6294", " - ", "TRAVEL OPERATIONAL")</f>
        <v xml:space="preserve">          6294 - TRAVEL OPERATIONAL</v>
      </c>
      <c r="C61" s="11"/>
      <c r="D61" s="7"/>
      <c r="E61" s="2"/>
      <c r="F61" s="6">
        <f t="shared" si="40"/>
        <v>0</v>
      </c>
      <c r="G61" s="2"/>
      <c r="H61" s="7"/>
      <c r="I61" s="2"/>
      <c r="J61" s="6">
        <f t="shared" si="41"/>
        <v>0</v>
      </c>
      <c r="K61" s="2"/>
      <c r="L61" s="7">
        <f t="shared" si="42"/>
        <v>0</v>
      </c>
      <c r="M61" s="2"/>
      <c r="N61" s="6">
        <f t="shared" si="43"/>
        <v>0</v>
      </c>
      <c r="O61" s="11"/>
      <c r="P61" s="7">
        <v>46.62</v>
      </c>
      <c r="Q61" s="2"/>
      <c r="R61" s="6">
        <f t="shared" si="44"/>
        <v>0</v>
      </c>
      <c r="S61" s="2"/>
      <c r="T61" s="7"/>
      <c r="U61" s="2"/>
      <c r="V61" s="6">
        <f t="shared" si="45"/>
        <v>0</v>
      </c>
      <c r="W61" s="2"/>
      <c r="X61" s="7">
        <f t="shared" si="46"/>
        <v>46.62</v>
      </c>
      <c r="Y61" s="2"/>
      <c r="Z61" s="6">
        <f t="shared" si="47"/>
        <v>0</v>
      </c>
    </row>
    <row r="62" spans="1:26" s="55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9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8" t="s">
        <v>3</v>
      </c>
      <c r="C65" s="28"/>
      <c r="D65" s="20">
        <f>+D16-D18+D63</f>
        <v>-34402.75</v>
      </c>
      <c r="E65" s="14"/>
      <c r="F65" s="21">
        <f>IF(D$12=0,0,D65/D$12)</f>
        <v>0</v>
      </c>
      <c r="G65" s="14"/>
      <c r="H65" s="20">
        <f>+H16-H18+H63</f>
        <v>-47027.140000000007</v>
      </c>
      <c r="I65" s="14"/>
      <c r="J65" s="21">
        <f>IF(H$12=0,0,H65/H$12)</f>
        <v>0</v>
      </c>
      <c r="K65" s="15"/>
      <c r="L65" s="20">
        <f>+D65-H65</f>
        <v>12624.390000000007</v>
      </c>
      <c r="M65" s="15"/>
      <c r="N65" s="21">
        <f>IF(H65=0,0,L65/H65)</f>
        <v>-0.26844902751900296</v>
      </c>
      <c r="O65" s="29"/>
      <c r="P65" s="20">
        <f>+P16-P18+P63</f>
        <v>-224997.35000000003</v>
      </c>
      <c r="Q65" s="14"/>
      <c r="R65" s="21">
        <f>IF(P$12=0,0,P65/P$12)</f>
        <v>0</v>
      </c>
      <c r="S65" s="14"/>
      <c r="T65" s="20">
        <f>+T16-T18+T63</f>
        <v>-306157.19000000006</v>
      </c>
      <c r="U65" s="14"/>
      <c r="V65" s="21">
        <f>IF(T$12=0,0,T65/T$12)</f>
        <v>0</v>
      </c>
      <c r="W65" s="15"/>
      <c r="X65" s="20">
        <f>+P65-T65</f>
        <v>81159.840000000026</v>
      </c>
      <c r="Y65" s="15"/>
      <c r="Z65" s="21">
        <f>IF(T65=0,0,X65/T65)</f>
        <v>-0.26509205940908986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1"/>
      <c r="B67" s="10" t="s">
        <v>13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4</v>
      </c>
      <c r="C69" s="28"/>
      <c r="D69" s="33">
        <f>+D65-D67</f>
        <v>-34402.75</v>
      </c>
      <c r="E69" s="14"/>
      <c r="F69" s="34">
        <f>IF(D$12=0,0,D69/D$12)</f>
        <v>0</v>
      </c>
      <c r="G69" s="14"/>
      <c r="H69" s="33">
        <f>+H65-H67</f>
        <v>-47027.140000000007</v>
      </c>
      <c r="I69" s="14"/>
      <c r="J69" s="34">
        <f>IF(H$12=0,0,H69/H$12)</f>
        <v>0</v>
      </c>
      <c r="K69" s="15"/>
      <c r="L69" s="33">
        <f>D69-H69</f>
        <v>12624.390000000007</v>
      </c>
      <c r="M69" s="15"/>
      <c r="N69" s="34">
        <f>IF(H69=0,0,L69/H69)</f>
        <v>-0.26844902751900296</v>
      </c>
      <c r="O69" s="29"/>
      <c r="P69" s="33">
        <f>+P65-P67</f>
        <v>-224997.35000000003</v>
      </c>
      <c r="Q69" s="14"/>
      <c r="R69" s="34">
        <f>IF(P$12=0,0,P69/P$12)</f>
        <v>0</v>
      </c>
      <c r="S69" s="14"/>
      <c r="T69" s="33">
        <f>+T65-T67</f>
        <v>-306157.19000000006</v>
      </c>
      <c r="U69" s="14"/>
      <c r="V69" s="34">
        <f>IF(T$12=0,0,T69/T$12)</f>
        <v>0</v>
      </c>
      <c r="W69" s="15"/>
      <c r="X69" s="33">
        <f>P69-T69</f>
        <v>81159.840000000026</v>
      </c>
      <c r="Y69" s="15"/>
      <c r="Z69" s="34">
        <f>IF(T69=0,0,X69/T69)</f>
        <v>-0.26509205940908986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5</v>
      </c>
      <c r="C72" s="28"/>
      <c r="D72" s="30">
        <f>SUM(D69:D71)</f>
        <v>-34402.75</v>
      </c>
      <c r="E72" s="14"/>
      <c r="F72" s="32">
        <f>IF(D$12=0,0,D72/D$12)</f>
        <v>0</v>
      </c>
      <c r="G72" s="14"/>
      <c r="H72" s="30">
        <f>SUM(H69:H71)</f>
        <v>-47027.140000000007</v>
      </c>
      <c r="I72" s="14"/>
      <c r="J72" s="32">
        <f>IF(H$12=0,0,H72/H$12)</f>
        <v>0</v>
      </c>
      <c r="K72" s="15"/>
      <c r="L72" s="30">
        <f>+D72-H72</f>
        <v>12624.390000000007</v>
      </c>
      <c r="M72" s="15"/>
      <c r="N72" s="32">
        <f>IF(H72=0,0,L72/H72)</f>
        <v>-0.26844902751900296</v>
      </c>
      <c r="O72" s="29"/>
      <c r="P72" s="30">
        <f>SUM(P69:P71)</f>
        <v>-224997.35000000003</v>
      </c>
      <c r="Q72" s="14"/>
      <c r="R72" s="32">
        <f>IF(P$12=0,0,P72/P$12)</f>
        <v>0</v>
      </c>
      <c r="S72" s="14"/>
      <c r="T72" s="30">
        <f>SUM(T69:T71)</f>
        <v>-306157.19000000006</v>
      </c>
      <c r="U72" s="14"/>
      <c r="V72" s="32">
        <f>IF(T$12=0,0,T72/T$12)</f>
        <v>0</v>
      </c>
      <c r="W72" s="15"/>
      <c r="X72" s="30">
        <f>+P72-T72</f>
        <v>81159.840000000026</v>
      </c>
      <c r="Y72" s="15"/>
      <c r="Z72" s="32">
        <f>IF(T72=0,0,X72/T72)</f>
        <v>-0.26509205940908986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8">
        <v>44209.521590011573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61" t="s">
        <v>313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57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","203", " - ", "Human Resources")</f>
        <v>Department 203 - Human Resources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41240.700000000004</v>
      </c>
      <c r="E18" s="22"/>
      <c r="F18" s="36">
        <f t="shared" ref="F18:F29" si="0">IF(D$12=0,0,D18/D$12)</f>
        <v>0</v>
      </c>
      <c r="G18" s="22"/>
      <c r="H18" s="22">
        <f>SUM(OSRRefH22x_0)</f>
        <v>62517.429999999993</v>
      </c>
      <c r="I18" s="22"/>
      <c r="J18" s="36">
        <f t="shared" ref="J18:J29" si="1">IF(H$12=0,0,H18/H$12)</f>
        <v>0</v>
      </c>
      <c r="K18" s="4"/>
      <c r="L18" s="22">
        <f t="shared" ref="L18:L29" si="2">+D18-H18</f>
        <v>-21276.729999999989</v>
      </c>
      <c r="M18" s="4"/>
      <c r="N18" s="36">
        <f t="shared" ref="N18:N29" si="3">IF(H18=0,0,L18/H18)</f>
        <v>-0.34033276799766066</v>
      </c>
      <c r="O18" s="10"/>
      <c r="P18" s="22">
        <f>SUM(OSRRefP22x_0)</f>
        <v>271629.11000000004</v>
      </c>
      <c r="Q18" s="22"/>
      <c r="R18" s="36">
        <f t="shared" ref="R18:R29" si="4">IF(P$12=0,0,P18/P$12)</f>
        <v>0</v>
      </c>
      <c r="S18" s="22"/>
      <c r="T18" s="22">
        <f>SUM(OSRRefT22x_0)</f>
        <v>402598.70999999996</v>
      </c>
      <c r="U18" s="22"/>
      <c r="V18" s="36">
        <f t="shared" ref="V18:V29" si="5">IF(T$12=0,0,T18/T$12)</f>
        <v>0</v>
      </c>
      <c r="W18" s="4"/>
      <c r="X18" s="22">
        <f t="shared" ref="X18:X29" si="6">+P18-T18</f>
        <v>-130969.59999999992</v>
      </c>
      <c r="Y18" s="4"/>
      <c r="Z18" s="36">
        <f t="shared" ref="Z18:Z29" si="7">IF(T18=0,0,X18/T18)</f>
        <v>-0.32531053067706039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10978.25</v>
      </c>
      <c r="E19" s="1"/>
      <c r="F19" s="5">
        <f t="shared" si="0"/>
        <v>0</v>
      </c>
      <c r="G19" s="1"/>
      <c r="H19" s="1">
        <f>SUM(OSRRefH22_0x_0)</f>
        <v>11647.369999999999</v>
      </c>
      <c r="I19" s="1"/>
      <c r="J19" s="5">
        <f t="shared" si="1"/>
        <v>0</v>
      </c>
      <c r="K19" s="1"/>
      <c r="L19" s="1">
        <f t="shared" si="2"/>
        <v>-669.11999999999898</v>
      </c>
      <c r="M19" s="1"/>
      <c r="N19" s="5">
        <f t="shared" si="3"/>
        <v>-5.7448162117284762E-2</v>
      </c>
      <c r="O19" s="13"/>
      <c r="P19" s="1">
        <f>SUM(OSRRefP22_0x_0)</f>
        <v>75974.59</v>
      </c>
      <c r="Q19" s="1"/>
      <c r="R19" s="5">
        <f t="shared" si="4"/>
        <v>0</v>
      </c>
      <c r="S19" s="1"/>
      <c r="T19" s="1">
        <f>SUM(OSRRefT22_0x_0)</f>
        <v>81364.08</v>
      </c>
      <c r="U19" s="1"/>
      <c r="V19" s="5">
        <f t="shared" si="5"/>
        <v>0</v>
      </c>
      <c r="W19" s="1"/>
      <c r="X19" s="1">
        <f t="shared" si="6"/>
        <v>-5389.4900000000052</v>
      </c>
      <c r="Y19" s="1"/>
      <c r="Z19" s="5">
        <f t="shared" si="7"/>
        <v>-6.6239180729383354E-2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1657.48</v>
      </c>
      <c r="E20" s="2"/>
      <c r="F20" s="6">
        <f t="shared" si="0"/>
        <v>0</v>
      </c>
      <c r="G20" s="2"/>
      <c r="H20" s="7">
        <v>1797.27</v>
      </c>
      <c r="I20" s="2"/>
      <c r="J20" s="6">
        <f t="shared" si="1"/>
        <v>0</v>
      </c>
      <c r="K20" s="2"/>
      <c r="L20" s="7">
        <f t="shared" si="2"/>
        <v>-139.78999999999996</v>
      </c>
      <c r="M20" s="2"/>
      <c r="N20" s="6">
        <f t="shared" si="3"/>
        <v>-7.777907604310981E-2</v>
      </c>
      <c r="O20" s="11"/>
      <c r="P20" s="7">
        <v>13334.73</v>
      </c>
      <c r="Q20" s="2"/>
      <c r="R20" s="6">
        <f t="shared" si="4"/>
        <v>0</v>
      </c>
      <c r="S20" s="2"/>
      <c r="T20" s="7">
        <v>12581.17</v>
      </c>
      <c r="U20" s="2"/>
      <c r="V20" s="6">
        <f t="shared" si="5"/>
        <v>0</v>
      </c>
      <c r="W20" s="2"/>
      <c r="X20" s="7">
        <f t="shared" si="6"/>
        <v>753.55999999999949</v>
      </c>
      <c r="Y20" s="2"/>
      <c r="Z20" s="6">
        <f t="shared" si="7"/>
        <v>5.9895860241932941E-2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160.16999999999999</v>
      </c>
      <c r="E21" s="2"/>
      <c r="F21" s="6">
        <f t="shared" si="0"/>
        <v>0</v>
      </c>
      <c r="G21" s="2"/>
      <c r="H21" s="7">
        <v>116.47</v>
      </c>
      <c r="I21" s="2"/>
      <c r="J21" s="6">
        <f t="shared" si="1"/>
        <v>0</v>
      </c>
      <c r="K21" s="2"/>
      <c r="L21" s="7">
        <f t="shared" si="2"/>
        <v>43.699999999999989</v>
      </c>
      <c r="M21" s="2"/>
      <c r="N21" s="6">
        <f t="shared" si="3"/>
        <v>0.37520391517128865</v>
      </c>
      <c r="O21" s="11"/>
      <c r="P21" s="7">
        <v>660.78</v>
      </c>
      <c r="Q21" s="2"/>
      <c r="R21" s="6">
        <f t="shared" si="4"/>
        <v>0</v>
      </c>
      <c r="S21" s="2"/>
      <c r="T21" s="7">
        <v>427.64</v>
      </c>
      <c r="U21" s="2"/>
      <c r="V21" s="6">
        <f t="shared" si="5"/>
        <v>0</v>
      </c>
      <c r="W21" s="2"/>
      <c r="X21" s="7">
        <f t="shared" si="6"/>
        <v>233.14</v>
      </c>
      <c r="Y21" s="2"/>
      <c r="Z21" s="6">
        <f t="shared" si="7"/>
        <v>0.54517818726031242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6091.67</v>
      </c>
      <c r="E22" s="2"/>
      <c r="F22" s="6">
        <f t="shared" si="0"/>
        <v>0</v>
      </c>
      <c r="G22" s="2"/>
      <c r="H22" s="7">
        <v>5861.62</v>
      </c>
      <c r="I22" s="2"/>
      <c r="J22" s="6">
        <f t="shared" si="1"/>
        <v>0</v>
      </c>
      <c r="K22" s="2"/>
      <c r="L22" s="7">
        <f t="shared" si="2"/>
        <v>230.05000000000018</v>
      </c>
      <c r="M22" s="2"/>
      <c r="N22" s="6">
        <f t="shared" si="3"/>
        <v>3.9246829374814503E-2</v>
      </c>
      <c r="O22" s="11"/>
      <c r="P22" s="7">
        <v>36550.019999999997</v>
      </c>
      <c r="Q22" s="2"/>
      <c r="R22" s="6">
        <f t="shared" si="4"/>
        <v>0</v>
      </c>
      <c r="S22" s="2"/>
      <c r="T22" s="7">
        <v>35170.519999999997</v>
      </c>
      <c r="U22" s="2"/>
      <c r="V22" s="6">
        <f t="shared" si="5"/>
        <v>0</v>
      </c>
      <c r="W22" s="2"/>
      <c r="X22" s="7">
        <f t="shared" si="6"/>
        <v>1379.5</v>
      </c>
      <c r="Y22" s="2"/>
      <c r="Z22" s="6">
        <f t="shared" si="7"/>
        <v>3.922319033099312E-2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89.06</v>
      </c>
      <c r="I23" s="2"/>
      <c r="J23" s="6">
        <f t="shared" si="1"/>
        <v>0</v>
      </c>
      <c r="K23" s="2"/>
      <c r="L23" s="7">
        <f t="shared" si="2"/>
        <v>-89.06</v>
      </c>
      <c r="M23" s="2"/>
      <c r="N23" s="6">
        <f t="shared" si="3"/>
        <v>-1</v>
      </c>
      <c r="O23" s="11"/>
      <c r="P23" s="7">
        <v>394.42</v>
      </c>
      <c r="Q23" s="2"/>
      <c r="R23" s="6">
        <f t="shared" si="4"/>
        <v>0</v>
      </c>
      <c r="S23" s="2"/>
      <c r="T23" s="7">
        <v>425.71</v>
      </c>
      <c r="U23" s="2"/>
      <c r="V23" s="6">
        <f t="shared" si="5"/>
        <v>0</v>
      </c>
      <c r="W23" s="2"/>
      <c r="X23" s="7">
        <f t="shared" si="6"/>
        <v>-31.289999999999964</v>
      </c>
      <c r="Y23" s="2"/>
      <c r="Z23" s="6">
        <f t="shared" si="7"/>
        <v>-7.3500739940334889E-2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1091.48</v>
      </c>
      <c r="E24" s="2"/>
      <c r="F24" s="6">
        <f t="shared" si="0"/>
        <v>0</v>
      </c>
      <c r="G24" s="2"/>
      <c r="H24" s="7">
        <v>919.4</v>
      </c>
      <c r="I24" s="2"/>
      <c r="J24" s="6">
        <f t="shared" si="1"/>
        <v>0</v>
      </c>
      <c r="K24" s="2"/>
      <c r="L24" s="7">
        <f t="shared" si="2"/>
        <v>172.08000000000004</v>
      </c>
      <c r="M24" s="2"/>
      <c r="N24" s="6">
        <f t="shared" si="3"/>
        <v>0.1871655427452687</v>
      </c>
      <c r="O24" s="11"/>
      <c r="P24" s="7">
        <v>8371.66</v>
      </c>
      <c r="Q24" s="2"/>
      <c r="R24" s="6">
        <f t="shared" si="4"/>
        <v>0</v>
      </c>
      <c r="S24" s="2"/>
      <c r="T24" s="7">
        <v>7040.29</v>
      </c>
      <c r="U24" s="2"/>
      <c r="V24" s="6">
        <f t="shared" si="5"/>
        <v>0</v>
      </c>
      <c r="W24" s="2"/>
      <c r="X24" s="7">
        <f t="shared" si="6"/>
        <v>1331.37</v>
      </c>
      <c r="Y24" s="2"/>
      <c r="Z24" s="6">
        <f t="shared" si="7"/>
        <v>0.18910726688815374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1971.94</v>
      </c>
      <c r="U25" s="2"/>
      <c r="V25" s="6">
        <f t="shared" si="5"/>
        <v>0</v>
      </c>
      <c r="W25" s="2"/>
      <c r="X25" s="7">
        <f t="shared" si="6"/>
        <v>-1971.94</v>
      </c>
      <c r="Y25" s="2"/>
      <c r="Z25" s="6">
        <f t="shared" si="7"/>
        <v>-1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590.65</v>
      </c>
      <c r="E26" s="2"/>
      <c r="F26" s="6">
        <f t="shared" si="0"/>
        <v>0</v>
      </c>
      <c r="G26" s="2"/>
      <c r="H26" s="7">
        <v>454.67</v>
      </c>
      <c r="I26" s="2"/>
      <c r="J26" s="6">
        <f t="shared" si="1"/>
        <v>0</v>
      </c>
      <c r="K26" s="2"/>
      <c r="L26" s="7">
        <f t="shared" si="2"/>
        <v>135.97999999999996</v>
      </c>
      <c r="M26" s="2"/>
      <c r="N26" s="6">
        <f t="shared" si="3"/>
        <v>0.29907405370928358</v>
      </c>
      <c r="O26" s="11"/>
      <c r="P26" s="7">
        <v>3845.81</v>
      </c>
      <c r="Q26" s="2"/>
      <c r="R26" s="6">
        <f t="shared" si="4"/>
        <v>0</v>
      </c>
      <c r="S26" s="2"/>
      <c r="T26" s="7">
        <v>2768.04</v>
      </c>
      <c r="U26" s="2"/>
      <c r="V26" s="6">
        <f t="shared" si="5"/>
        <v>0</v>
      </c>
      <c r="W26" s="2"/>
      <c r="X26" s="7">
        <f t="shared" si="6"/>
        <v>1077.77</v>
      </c>
      <c r="Y26" s="2"/>
      <c r="Z26" s="6">
        <f t="shared" si="7"/>
        <v>0.38936214794583895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7">
        <v>478.68</v>
      </c>
      <c r="E27" s="2"/>
      <c r="F27" s="6">
        <f t="shared" si="0"/>
        <v>0</v>
      </c>
      <c r="G27" s="2"/>
      <c r="H27" s="7">
        <v>1201.82</v>
      </c>
      <c r="I27" s="2"/>
      <c r="J27" s="6">
        <f t="shared" si="1"/>
        <v>0</v>
      </c>
      <c r="K27" s="2"/>
      <c r="L27" s="7">
        <f t="shared" si="2"/>
        <v>-723.13999999999987</v>
      </c>
      <c r="M27" s="2"/>
      <c r="N27" s="6">
        <f t="shared" si="3"/>
        <v>-0.60170408214208448</v>
      </c>
      <c r="O27" s="11"/>
      <c r="P27" s="7">
        <v>6574.56</v>
      </c>
      <c r="Q27" s="2"/>
      <c r="R27" s="6">
        <f t="shared" si="4"/>
        <v>0</v>
      </c>
      <c r="S27" s="2"/>
      <c r="T27" s="7">
        <v>11287.69</v>
      </c>
      <c r="U27" s="2"/>
      <c r="V27" s="6">
        <f t="shared" si="5"/>
        <v>0</v>
      </c>
      <c r="W27" s="2"/>
      <c r="X27" s="7">
        <f t="shared" si="6"/>
        <v>-4713.13</v>
      </c>
      <c r="Y27" s="2"/>
      <c r="Z27" s="6">
        <f t="shared" si="7"/>
        <v>-0.4175460169441223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7">
        <v>908.12</v>
      </c>
      <c r="E28" s="2"/>
      <c r="F28" s="6">
        <f t="shared" si="0"/>
        <v>0</v>
      </c>
      <c r="G28" s="2"/>
      <c r="H28" s="7">
        <v>859.24</v>
      </c>
      <c r="I28" s="2"/>
      <c r="J28" s="6">
        <f t="shared" si="1"/>
        <v>0</v>
      </c>
      <c r="K28" s="2"/>
      <c r="L28" s="7">
        <f t="shared" si="2"/>
        <v>48.879999999999995</v>
      </c>
      <c r="M28" s="2"/>
      <c r="N28" s="6">
        <f t="shared" si="3"/>
        <v>5.6887481960802566E-2</v>
      </c>
      <c r="O28" s="11"/>
      <c r="P28" s="7">
        <v>5902.78</v>
      </c>
      <c r="Q28" s="2"/>
      <c r="R28" s="6">
        <f t="shared" si="4"/>
        <v>0</v>
      </c>
      <c r="S28" s="2"/>
      <c r="T28" s="7">
        <v>7410.33</v>
      </c>
      <c r="U28" s="2"/>
      <c r="V28" s="6">
        <f t="shared" si="5"/>
        <v>0</v>
      </c>
      <c r="W28" s="2"/>
      <c r="X28" s="7">
        <f t="shared" si="6"/>
        <v>-1507.5500000000002</v>
      </c>
      <c r="Y28" s="2"/>
      <c r="Z28" s="6">
        <f t="shared" si="7"/>
        <v>-0.2034389831491985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7"/>
      <c r="E29" s="2"/>
      <c r="F29" s="6">
        <f t="shared" si="0"/>
        <v>0</v>
      </c>
      <c r="G29" s="2"/>
      <c r="H29" s="7">
        <v>347.82</v>
      </c>
      <c r="I29" s="2"/>
      <c r="J29" s="6">
        <f t="shared" si="1"/>
        <v>0</v>
      </c>
      <c r="K29" s="2"/>
      <c r="L29" s="7">
        <f t="shared" si="2"/>
        <v>-347.82</v>
      </c>
      <c r="M29" s="2"/>
      <c r="N29" s="6">
        <f t="shared" si="3"/>
        <v>-1</v>
      </c>
      <c r="O29" s="11"/>
      <c r="P29" s="7">
        <v>339.83</v>
      </c>
      <c r="Q29" s="2"/>
      <c r="R29" s="6">
        <f t="shared" si="4"/>
        <v>0</v>
      </c>
      <c r="S29" s="2"/>
      <c r="T29" s="7">
        <v>2280.75</v>
      </c>
      <c r="U29" s="2"/>
      <c r="V29" s="6">
        <f t="shared" si="5"/>
        <v>0</v>
      </c>
      <c r="W29" s="2"/>
      <c r="X29" s="7">
        <f t="shared" si="6"/>
        <v>-1940.92</v>
      </c>
      <c r="Y29" s="2"/>
      <c r="Z29" s="6">
        <f t="shared" si="7"/>
        <v>-0.85100076729146112</v>
      </c>
    </row>
    <row r="30" spans="1:26" s="25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23993.41</v>
      </c>
      <c r="E30" s="1"/>
      <c r="F30" s="5">
        <f t="shared" ref="F30:F34" si="8">IF(D$12=0,0,D30/D$12)</f>
        <v>0</v>
      </c>
      <c r="G30" s="1"/>
      <c r="H30" s="1">
        <f>SUM(OSRRefH22_1x_0)</f>
        <v>22167.93</v>
      </c>
      <c r="I30" s="1"/>
      <c r="J30" s="5">
        <f t="shared" ref="J30:J34" si="9">IF(H$12=0,0,H30/H$12)</f>
        <v>0</v>
      </c>
      <c r="K30" s="1"/>
      <c r="L30" s="1">
        <f t="shared" ref="L30:L34" si="10">+D30-H30</f>
        <v>1825.4799999999996</v>
      </c>
      <c r="M30" s="1"/>
      <c r="N30" s="5">
        <f t="shared" ref="N30:N34" si="11">IF(H30=0,0,L30/H30)</f>
        <v>8.2347787998247893E-2</v>
      </c>
      <c r="O30" s="13"/>
      <c r="P30" s="1">
        <f>SUM(OSRRefP22_1x_0)</f>
        <v>159672.59</v>
      </c>
      <c r="Q30" s="1"/>
      <c r="R30" s="5">
        <f t="shared" ref="R30:R34" si="12">IF(P$12=0,0,P30/P$12)</f>
        <v>0</v>
      </c>
      <c r="S30" s="1"/>
      <c r="T30" s="1">
        <f>SUM(OSRRefT22_1x_0)</f>
        <v>140503.00999999998</v>
      </c>
      <c r="U30" s="1"/>
      <c r="V30" s="5">
        <f t="shared" ref="V30:V34" si="13">IF(T$12=0,0,T30/T$12)</f>
        <v>0</v>
      </c>
      <c r="W30" s="1"/>
      <c r="X30" s="1">
        <f t="shared" ref="X30:X34" si="14">+P30-T30</f>
        <v>19169.580000000016</v>
      </c>
      <c r="Y30" s="1"/>
      <c r="Z30" s="5">
        <f t="shared" ref="Z30:Z34" si="15">IF(T30=0,0,X30/T30)</f>
        <v>0.13643536889352065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>
        <v>9894.68</v>
      </c>
      <c r="E31" s="2"/>
      <c r="F31" s="6">
        <f t="shared" si="8"/>
        <v>0</v>
      </c>
      <c r="G31" s="2"/>
      <c r="H31" s="7">
        <v>8545.4</v>
      </c>
      <c r="I31" s="2"/>
      <c r="J31" s="6">
        <f t="shared" si="9"/>
        <v>0</v>
      </c>
      <c r="K31" s="2"/>
      <c r="L31" s="7">
        <f t="shared" si="10"/>
        <v>1349.2800000000007</v>
      </c>
      <c r="M31" s="2"/>
      <c r="N31" s="6">
        <f t="shared" si="11"/>
        <v>0.15789547592856984</v>
      </c>
      <c r="O31" s="11"/>
      <c r="P31" s="7">
        <v>60852.3</v>
      </c>
      <c r="Q31" s="2"/>
      <c r="R31" s="6">
        <f t="shared" si="12"/>
        <v>0</v>
      </c>
      <c r="S31" s="2"/>
      <c r="T31" s="7">
        <v>52171.92</v>
      </c>
      <c r="U31" s="2"/>
      <c r="V31" s="6">
        <f t="shared" si="13"/>
        <v>0</v>
      </c>
      <c r="W31" s="2"/>
      <c r="X31" s="7">
        <f t="shared" si="14"/>
        <v>8680.3800000000047</v>
      </c>
      <c r="Y31" s="2"/>
      <c r="Z31" s="6">
        <f t="shared" si="15"/>
        <v>0.1663803057276789</v>
      </c>
    </row>
    <row r="32" spans="1:26" s="24" customFormat="1" hidden="1" outlineLevel="2" x14ac:dyDescent="0.25">
      <c r="A32" s="27"/>
      <c r="B32" s="11" t="str">
        <f>CONCATENATE("          ", "6004", " - ", "STAFF HOURLY")</f>
        <v xml:space="preserve">          6004 - STAFF HOURLY</v>
      </c>
      <c r="C32" s="11"/>
      <c r="D32" s="7">
        <v>8881.4500000000007</v>
      </c>
      <c r="E32" s="2"/>
      <c r="F32" s="6">
        <f t="shared" si="8"/>
        <v>0</v>
      </c>
      <c r="G32" s="2"/>
      <c r="H32" s="7">
        <v>9128.1299999999992</v>
      </c>
      <c r="I32" s="2"/>
      <c r="J32" s="6">
        <f t="shared" si="9"/>
        <v>0</v>
      </c>
      <c r="K32" s="2"/>
      <c r="L32" s="7">
        <f t="shared" si="10"/>
        <v>-246.67999999999847</v>
      </c>
      <c r="M32" s="2"/>
      <c r="N32" s="6">
        <f t="shared" si="11"/>
        <v>-2.7024155002174432E-2</v>
      </c>
      <c r="O32" s="11"/>
      <c r="P32" s="7">
        <v>62554.239999999998</v>
      </c>
      <c r="Q32" s="2"/>
      <c r="R32" s="6">
        <f t="shared" si="12"/>
        <v>0</v>
      </c>
      <c r="S32" s="2"/>
      <c r="T32" s="7">
        <v>57999.409999999996</v>
      </c>
      <c r="U32" s="2"/>
      <c r="V32" s="6">
        <f t="shared" si="13"/>
        <v>0</v>
      </c>
      <c r="W32" s="2"/>
      <c r="X32" s="7">
        <f t="shared" si="14"/>
        <v>4554.8300000000017</v>
      </c>
      <c r="Y32" s="2"/>
      <c r="Z32" s="6">
        <f t="shared" si="15"/>
        <v>7.8532350587704289E-2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7">
        <v>5217.28</v>
      </c>
      <c r="E33" s="2"/>
      <c r="F33" s="6">
        <f t="shared" si="8"/>
        <v>0</v>
      </c>
      <c r="G33" s="2"/>
      <c r="H33" s="7">
        <v>4494.3999999999996</v>
      </c>
      <c r="I33" s="2"/>
      <c r="J33" s="6">
        <f t="shared" si="9"/>
        <v>0</v>
      </c>
      <c r="K33" s="2"/>
      <c r="L33" s="7">
        <f t="shared" si="10"/>
        <v>722.88000000000011</v>
      </c>
      <c r="M33" s="2"/>
      <c r="N33" s="6">
        <f t="shared" si="11"/>
        <v>0.16084015663937348</v>
      </c>
      <c r="O33" s="11"/>
      <c r="P33" s="7">
        <v>36266.049999999996</v>
      </c>
      <c r="Q33" s="2"/>
      <c r="R33" s="6">
        <f t="shared" si="12"/>
        <v>0</v>
      </c>
      <c r="S33" s="2"/>
      <c r="T33" s="7">
        <v>30331.68</v>
      </c>
      <c r="U33" s="2"/>
      <c r="V33" s="6">
        <f t="shared" si="13"/>
        <v>0</v>
      </c>
      <c r="W33" s="2"/>
      <c r="X33" s="7">
        <f t="shared" si="14"/>
        <v>5934.3699999999953</v>
      </c>
      <c r="Y33" s="2"/>
      <c r="Z33" s="6">
        <f t="shared" si="15"/>
        <v>0.19564923538689566</v>
      </c>
    </row>
    <row r="34" spans="1:26" s="24" customFormat="1" hidden="1" outlineLevel="2" x14ac:dyDescent="0.25">
      <c r="A34" s="27"/>
      <c r="B34" s="11" t="str">
        <f>CONCATENATE("          ", "6007", " - ", "STUDENT HOURLY")</f>
        <v xml:space="preserve">          6007 - STUDENT HOURLY</v>
      </c>
      <c r="C34" s="11"/>
      <c r="D34" s="7"/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0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5" customFormat="1" outlineLevel="1" collapsed="1" x14ac:dyDescent="0.25">
      <c r="A35" s="26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0</v>
      </c>
      <c r="E35" s="1"/>
      <c r="F35" s="5">
        <f t="shared" ref="F35:F51" si="16">IF(D$12=0,0,D35/D$12)</f>
        <v>0</v>
      </c>
      <c r="G35" s="1"/>
      <c r="H35" s="1">
        <f>SUM(OSRRefH22_2x_0)</f>
        <v>52.5</v>
      </c>
      <c r="I35" s="1"/>
      <c r="J35" s="5">
        <f t="shared" ref="J35:J51" si="17">IF(H$12=0,0,H35/H$12)</f>
        <v>0</v>
      </c>
      <c r="K35" s="1"/>
      <c r="L35" s="1">
        <f t="shared" ref="L35:L51" si="18">+D35-H35</f>
        <v>-52.5</v>
      </c>
      <c r="M35" s="1"/>
      <c r="N35" s="5">
        <f t="shared" ref="N35:N51" si="19">IF(H35=0,0,L35/H35)</f>
        <v>-1</v>
      </c>
      <c r="O35" s="13"/>
      <c r="P35" s="1">
        <f>SUM(OSRRefP22_2x_0)</f>
        <v>0</v>
      </c>
      <c r="Q35" s="1"/>
      <c r="R35" s="5">
        <f t="shared" ref="R35:R51" si="20">IF(P$12=0,0,P35/P$12)</f>
        <v>0</v>
      </c>
      <c r="S35" s="1"/>
      <c r="T35" s="1">
        <f>SUM(OSRRefT22_2x_0)</f>
        <v>1387.74</v>
      </c>
      <c r="U35" s="1"/>
      <c r="V35" s="5">
        <f t="shared" ref="V35:V51" si="21">IF(T$12=0,0,T35/T$12)</f>
        <v>0</v>
      </c>
      <c r="W35" s="1"/>
      <c r="X35" s="1">
        <f t="shared" ref="X35:X51" si="22">+P35-T35</f>
        <v>-1387.74</v>
      </c>
      <c r="Y35" s="1"/>
      <c r="Z35" s="5">
        <f t="shared" ref="Z35:Z51" si="23">IF(T35=0,0,X35/T35)</f>
        <v>-1</v>
      </c>
    </row>
    <row r="36" spans="1:26" s="24" customFormat="1" hidden="1" outlineLevel="2" x14ac:dyDescent="0.25">
      <c r="A36" s="27"/>
      <c r="B36" s="11" t="str">
        <f>CONCATENATE("          ", "6362", " - ", "ADVERTISING EXPENSE")</f>
        <v xml:space="preserve">          6362 - ADVERTISING EXPENSE</v>
      </c>
      <c r="C36" s="11"/>
      <c r="D36" s="7"/>
      <c r="E36" s="2"/>
      <c r="F36" s="6">
        <f t="shared" si="16"/>
        <v>0</v>
      </c>
      <c r="G36" s="2"/>
      <c r="H36" s="7">
        <v>52.5</v>
      </c>
      <c r="I36" s="2"/>
      <c r="J36" s="6">
        <f t="shared" si="17"/>
        <v>0</v>
      </c>
      <c r="K36" s="2"/>
      <c r="L36" s="7">
        <f t="shared" si="18"/>
        <v>-52.5</v>
      </c>
      <c r="M36" s="2"/>
      <c r="N36" s="6">
        <f t="shared" si="19"/>
        <v>-1</v>
      </c>
      <c r="O36" s="11"/>
      <c r="P36" s="7"/>
      <c r="Q36" s="2"/>
      <c r="R36" s="6">
        <f t="shared" si="20"/>
        <v>0</v>
      </c>
      <c r="S36" s="2"/>
      <c r="T36" s="7">
        <v>1387.74</v>
      </c>
      <c r="U36" s="2"/>
      <c r="V36" s="6">
        <f t="shared" si="21"/>
        <v>0</v>
      </c>
      <c r="W36" s="2"/>
      <c r="X36" s="7">
        <f t="shared" si="22"/>
        <v>-1387.74</v>
      </c>
      <c r="Y36" s="2"/>
      <c r="Z36" s="6">
        <f t="shared" si="23"/>
        <v>-1</v>
      </c>
    </row>
    <row r="37" spans="1:26" s="25" customFormat="1" outlineLevel="1" collapsed="1" x14ac:dyDescent="0.25">
      <c r="A37" s="26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0</v>
      </c>
      <c r="E37" s="1"/>
      <c r="F37" s="5">
        <f t="shared" si="16"/>
        <v>0</v>
      </c>
      <c r="G37" s="1"/>
      <c r="H37" s="1">
        <f>SUM(OSRRefH22_3x_0)</f>
        <v>224.18</v>
      </c>
      <c r="I37" s="1"/>
      <c r="J37" s="5">
        <f t="shared" si="17"/>
        <v>0</v>
      </c>
      <c r="K37" s="1"/>
      <c r="L37" s="1">
        <f t="shared" si="18"/>
        <v>-224.18</v>
      </c>
      <c r="M37" s="1"/>
      <c r="N37" s="5">
        <f t="shared" si="19"/>
        <v>-1</v>
      </c>
      <c r="O37" s="13"/>
      <c r="P37" s="1">
        <f>SUM(OSRRefP22_3x_0)</f>
        <v>0</v>
      </c>
      <c r="Q37" s="1"/>
      <c r="R37" s="5">
        <f t="shared" si="20"/>
        <v>0</v>
      </c>
      <c r="S37" s="1"/>
      <c r="T37" s="1">
        <f>SUM(OSRRefT22_3x_0)</f>
        <v>1345.08</v>
      </c>
      <c r="U37" s="1"/>
      <c r="V37" s="5">
        <f t="shared" si="21"/>
        <v>0</v>
      </c>
      <c r="W37" s="1"/>
      <c r="X37" s="1">
        <f t="shared" si="22"/>
        <v>-1345.08</v>
      </c>
      <c r="Y37" s="1"/>
      <c r="Z37" s="5">
        <f t="shared" si="23"/>
        <v>-1</v>
      </c>
    </row>
    <row r="38" spans="1:26" s="24" customFormat="1" hidden="1" outlineLevel="2" x14ac:dyDescent="0.25">
      <c r="A38" s="27"/>
      <c r="B38" s="11" t="str">
        <f>CONCATENATE("          ", "6322", " - ", "EQUIPMENT DEPRECIATION EXPENSE")</f>
        <v xml:space="preserve">          6322 - EQUIPMENT DEPRECIATION EXPENSE</v>
      </c>
      <c r="C38" s="11"/>
      <c r="D38" s="7"/>
      <c r="E38" s="2"/>
      <c r="F38" s="6">
        <f t="shared" si="16"/>
        <v>0</v>
      </c>
      <c r="G38" s="2"/>
      <c r="H38" s="7">
        <v>224.18</v>
      </c>
      <c r="I38" s="2"/>
      <c r="J38" s="6">
        <f t="shared" si="17"/>
        <v>0</v>
      </c>
      <c r="K38" s="2"/>
      <c r="L38" s="7">
        <f t="shared" si="18"/>
        <v>-224.18</v>
      </c>
      <c r="M38" s="2"/>
      <c r="N38" s="6">
        <f t="shared" si="19"/>
        <v>-1</v>
      </c>
      <c r="O38" s="11"/>
      <c r="P38" s="7"/>
      <c r="Q38" s="2"/>
      <c r="R38" s="6">
        <f t="shared" si="20"/>
        <v>0</v>
      </c>
      <c r="S38" s="2"/>
      <c r="T38" s="7">
        <v>1345.08</v>
      </c>
      <c r="U38" s="2"/>
      <c r="V38" s="6">
        <f t="shared" si="21"/>
        <v>0</v>
      </c>
      <c r="W38" s="2"/>
      <c r="X38" s="7">
        <f t="shared" si="22"/>
        <v>-1345.08</v>
      </c>
      <c r="Y38" s="2"/>
      <c r="Z38" s="6">
        <f t="shared" si="23"/>
        <v>-1</v>
      </c>
    </row>
    <row r="39" spans="1:26" s="25" customFormat="1" outlineLevel="1" collapsed="1" x14ac:dyDescent="0.25">
      <c r="A39" s="26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SUM(OSRRefD22_4x_0)</f>
        <v>0</v>
      </c>
      <c r="E39" s="1"/>
      <c r="F39" s="5">
        <f t="shared" si="16"/>
        <v>0</v>
      </c>
      <c r="G39" s="1"/>
      <c r="H39" s="1">
        <f>SUM(OSRRefH22_4x_0)</f>
        <v>12678.74</v>
      </c>
      <c r="I39" s="1"/>
      <c r="J39" s="5">
        <f t="shared" si="17"/>
        <v>0</v>
      </c>
      <c r="K39" s="1"/>
      <c r="L39" s="1">
        <f t="shared" si="18"/>
        <v>-12678.74</v>
      </c>
      <c r="M39" s="1"/>
      <c r="N39" s="5">
        <f t="shared" si="19"/>
        <v>-1</v>
      </c>
      <c r="O39" s="13"/>
      <c r="P39" s="1">
        <f>SUM(OSRRefP22_4x_0)</f>
        <v>81.56</v>
      </c>
      <c r="Q39" s="1"/>
      <c r="R39" s="5">
        <f t="shared" si="20"/>
        <v>0</v>
      </c>
      <c r="S39" s="1"/>
      <c r="T39" s="1">
        <f>SUM(OSRRefT22_4x_0)</f>
        <v>24837.86</v>
      </c>
      <c r="U39" s="1"/>
      <c r="V39" s="5">
        <f t="shared" si="21"/>
        <v>0</v>
      </c>
      <c r="W39" s="1"/>
      <c r="X39" s="1">
        <f t="shared" si="22"/>
        <v>-24756.3</v>
      </c>
      <c r="Y39" s="1"/>
      <c r="Z39" s="5">
        <f t="shared" si="23"/>
        <v>-0.9967163032563997</v>
      </c>
    </row>
    <row r="40" spans="1:26" s="24" customFormat="1" hidden="1" outlineLevel="2" x14ac:dyDescent="0.25">
      <c r="A40" s="27"/>
      <c r="B40" s="11" t="str">
        <f>CONCATENATE("          ", "6277", " - ", "EMPLOYEE APPRECIATION")</f>
        <v xml:space="preserve">          6277 - EMPLOYEE APPRECIATION</v>
      </c>
      <c r="C40" s="11"/>
      <c r="D40" s="7"/>
      <c r="E40" s="2"/>
      <c r="F40" s="6">
        <f t="shared" si="16"/>
        <v>0</v>
      </c>
      <c r="G40" s="2"/>
      <c r="H40" s="7">
        <v>12678.74</v>
      </c>
      <c r="I40" s="2"/>
      <c r="J40" s="6">
        <f t="shared" si="17"/>
        <v>0</v>
      </c>
      <c r="K40" s="2"/>
      <c r="L40" s="7">
        <f t="shared" si="18"/>
        <v>-12678.74</v>
      </c>
      <c r="M40" s="2"/>
      <c r="N40" s="6">
        <f t="shared" si="19"/>
        <v>-1</v>
      </c>
      <c r="O40" s="11"/>
      <c r="P40" s="7">
        <v>81.56</v>
      </c>
      <c r="Q40" s="2"/>
      <c r="R40" s="6">
        <f t="shared" si="20"/>
        <v>0</v>
      </c>
      <c r="S40" s="2"/>
      <c r="T40" s="7">
        <v>24837.86</v>
      </c>
      <c r="U40" s="2"/>
      <c r="V40" s="6">
        <f t="shared" si="21"/>
        <v>0</v>
      </c>
      <c r="W40" s="2"/>
      <c r="X40" s="7">
        <f t="shared" si="22"/>
        <v>-24756.3</v>
      </c>
      <c r="Y40" s="2"/>
      <c r="Z40" s="6">
        <f t="shared" si="23"/>
        <v>-0.9967163032563997</v>
      </c>
    </row>
    <row r="41" spans="1:26" s="25" customFormat="1" outlineLevel="1" collapsed="1" x14ac:dyDescent="0.25">
      <c r="A41" s="26"/>
      <c r="B41" s="13" t="str">
        <f>CONCATENATE("     ","Equipment Rental                                  ")</f>
        <v xml:space="preserve">     Equipment Rental                                  </v>
      </c>
      <c r="C41" s="13"/>
      <c r="D41" s="1">
        <f>SUM(OSRRefD22_5x_0)</f>
        <v>0</v>
      </c>
      <c r="E41" s="1"/>
      <c r="F41" s="5">
        <f t="shared" si="16"/>
        <v>0</v>
      </c>
      <c r="G41" s="1"/>
      <c r="H41" s="1">
        <f>SUM(OSRRefH22_5x_0)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SUM(OSRRefP22_5x_0)</f>
        <v>0</v>
      </c>
      <c r="Q41" s="1"/>
      <c r="R41" s="5">
        <f t="shared" si="20"/>
        <v>0</v>
      </c>
      <c r="S41" s="1"/>
      <c r="T41" s="1">
        <f>SUM(OSRRefT22_5x_0)</f>
        <v>273.77999999999997</v>
      </c>
      <c r="U41" s="1"/>
      <c r="V41" s="5">
        <f t="shared" si="21"/>
        <v>0</v>
      </c>
      <c r="W41" s="1"/>
      <c r="X41" s="1">
        <f t="shared" si="22"/>
        <v>-273.77999999999997</v>
      </c>
      <c r="Y41" s="1"/>
      <c r="Z41" s="5">
        <f t="shared" si="23"/>
        <v>-1</v>
      </c>
    </row>
    <row r="42" spans="1:26" s="24" customFormat="1" hidden="1" outlineLevel="2" x14ac:dyDescent="0.25">
      <c r="A42" s="27"/>
      <c r="B42" s="11" t="str">
        <f>CONCATENATE("          ", "6351", " - ", "EQUIPMENT RENTAL")</f>
        <v xml:space="preserve">          6351 - EQUIPMENT RENTAL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273.77999999999997</v>
      </c>
      <c r="U42" s="2"/>
      <c r="V42" s="6">
        <f t="shared" si="21"/>
        <v>0</v>
      </c>
      <c r="W42" s="2"/>
      <c r="X42" s="7">
        <f t="shared" si="22"/>
        <v>-273.77999999999997</v>
      </c>
      <c r="Y42" s="2"/>
      <c r="Z42" s="6">
        <f t="shared" si="23"/>
        <v>-1</v>
      </c>
    </row>
    <row r="43" spans="1:26" s="25" customFormat="1" outlineLevel="1" collapsed="1" x14ac:dyDescent="0.25">
      <c r="A43" s="26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SUM(OSRRefD22_6x_0)</f>
        <v>29.5</v>
      </c>
      <c r="E43" s="1"/>
      <c r="F43" s="5">
        <f t="shared" si="16"/>
        <v>0</v>
      </c>
      <c r="G43" s="1"/>
      <c r="H43" s="1">
        <f>SUM(OSRRefH22_6x_0)</f>
        <v>0</v>
      </c>
      <c r="I43" s="1"/>
      <c r="J43" s="5">
        <f t="shared" si="17"/>
        <v>0</v>
      </c>
      <c r="K43" s="1"/>
      <c r="L43" s="1">
        <f t="shared" si="18"/>
        <v>29.5</v>
      </c>
      <c r="M43" s="1"/>
      <c r="N43" s="5">
        <f t="shared" si="19"/>
        <v>0</v>
      </c>
      <c r="O43" s="13"/>
      <c r="P43" s="1">
        <f>SUM(OSRRefP22_6x_0)</f>
        <v>105.55</v>
      </c>
      <c r="Q43" s="1"/>
      <c r="R43" s="5">
        <f t="shared" si="20"/>
        <v>0</v>
      </c>
      <c r="S43" s="1"/>
      <c r="T43" s="1">
        <f>SUM(OSRRefT22_6x_0)</f>
        <v>283.5</v>
      </c>
      <c r="U43" s="1"/>
      <c r="V43" s="5">
        <f t="shared" si="21"/>
        <v>0</v>
      </c>
      <c r="W43" s="1"/>
      <c r="X43" s="1">
        <f t="shared" si="22"/>
        <v>-177.95</v>
      </c>
      <c r="Y43" s="1"/>
      <c r="Z43" s="5">
        <f t="shared" si="23"/>
        <v>-0.62768959435626104</v>
      </c>
    </row>
    <row r="44" spans="1:26" s="24" customFormat="1" hidden="1" outlineLevel="2" x14ac:dyDescent="0.25">
      <c r="A44" s="27"/>
      <c r="B44" s="11" t="str">
        <f>CONCATENATE("          ", "6307", " - ", "POSTAGE")</f>
        <v xml:space="preserve">          6307 - POSTAGE</v>
      </c>
      <c r="C44" s="11"/>
      <c r="D44" s="7">
        <v>29.5</v>
      </c>
      <c r="E44" s="2"/>
      <c r="F44" s="6">
        <f t="shared" si="16"/>
        <v>0</v>
      </c>
      <c r="G44" s="2"/>
      <c r="H44" s="7"/>
      <c r="I44" s="2"/>
      <c r="J44" s="6">
        <f t="shared" si="17"/>
        <v>0</v>
      </c>
      <c r="K44" s="2"/>
      <c r="L44" s="7">
        <f t="shared" si="18"/>
        <v>29.5</v>
      </c>
      <c r="M44" s="2"/>
      <c r="N44" s="6">
        <f t="shared" si="19"/>
        <v>0</v>
      </c>
      <c r="O44" s="11"/>
      <c r="P44" s="7">
        <v>105.55</v>
      </c>
      <c r="Q44" s="2"/>
      <c r="R44" s="6">
        <f t="shared" si="20"/>
        <v>0</v>
      </c>
      <c r="S44" s="2"/>
      <c r="T44" s="7">
        <v>283.5</v>
      </c>
      <c r="U44" s="2"/>
      <c r="V44" s="6">
        <f t="shared" si="21"/>
        <v>0</v>
      </c>
      <c r="W44" s="2"/>
      <c r="X44" s="7">
        <f t="shared" si="22"/>
        <v>-177.95</v>
      </c>
      <c r="Y44" s="2"/>
      <c r="Z44" s="6">
        <f t="shared" si="23"/>
        <v>-0.62768959435626104</v>
      </c>
    </row>
    <row r="45" spans="1:26" s="25" customFormat="1" outlineLevel="1" collapsed="1" x14ac:dyDescent="0.25">
      <c r="A45" s="26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SUM(OSRRefD22_7x_0)</f>
        <v>0</v>
      </c>
      <c r="E45" s="1"/>
      <c r="F45" s="5">
        <f t="shared" si="16"/>
        <v>0</v>
      </c>
      <c r="G45" s="1"/>
      <c r="H45" s="1">
        <f>SUM(OSRRefH22_7x_0)</f>
        <v>0</v>
      </c>
      <c r="I45" s="1"/>
      <c r="J45" s="5">
        <f t="shared" si="17"/>
        <v>0</v>
      </c>
      <c r="K45" s="1"/>
      <c r="L45" s="1">
        <f t="shared" si="18"/>
        <v>0</v>
      </c>
      <c r="M45" s="1"/>
      <c r="N45" s="5">
        <f t="shared" si="19"/>
        <v>0</v>
      </c>
      <c r="O45" s="13"/>
      <c r="P45" s="1">
        <f>SUM(OSRRefP22_7x_0)</f>
        <v>166.54</v>
      </c>
      <c r="Q45" s="1"/>
      <c r="R45" s="5">
        <f t="shared" si="20"/>
        <v>0</v>
      </c>
      <c r="S45" s="1"/>
      <c r="T45" s="1">
        <f>SUM(OSRRefT22_7x_0)</f>
        <v>700</v>
      </c>
      <c r="U45" s="1"/>
      <c r="V45" s="5">
        <f t="shared" si="21"/>
        <v>0</v>
      </c>
      <c r="W45" s="1"/>
      <c r="X45" s="1">
        <f t="shared" si="22"/>
        <v>-533.46</v>
      </c>
      <c r="Y45" s="1"/>
      <c r="Z45" s="5">
        <f t="shared" si="23"/>
        <v>-0.76208571428571437</v>
      </c>
    </row>
    <row r="46" spans="1:26" s="24" customFormat="1" hidden="1" outlineLevel="2" x14ac:dyDescent="0.25">
      <c r="A46" s="27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>
        <v>166.54</v>
      </c>
      <c r="Q46" s="2"/>
      <c r="R46" s="6">
        <f t="shared" si="20"/>
        <v>0</v>
      </c>
      <c r="S46" s="2"/>
      <c r="T46" s="7">
        <v>700</v>
      </c>
      <c r="U46" s="2"/>
      <c r="V46" s="6">
        <f t="shared" si="21"/>
        <v>0</v>
      </c>
      <c r="W46" s="2"/>
      <c r="X46" s="7">
        <f t="shared" si="22"/>
        <v>-533.46</v>
      </c>
      <c r="Y46" s="2"/>
      <c r="Z46" s="6">
        <f t="shared" si="23"/>
        <v>-0.76208571428571437</v>
      </c>
    </row>
    <row r="47" spans="1:26" s="25" customFormat="1" outlineLevel="1" collapsed="1" x14ac:dyDescent="0.25">
      <c r="A47" s="26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SUM(OSRRefD22_8x_0)</f>
        <v>65.47</v>
      </c>
      <c r="E47" s="1"/>
      <c r="F47" s="5">
        <f t="shared" si="16"/>
        <v>0</v>
      </c>
      <c r="G47" s="1"/>
      <c r="H47" s="1">
        <f>SUM(OSRRefH22_8x_0)</f>
        <v>65.47</v>
      </c>
      <c r="I47" s="1"/>
      <c r="J47" s="5">
        <f t="shared" si="17"/>
        <v>0</v>
      </c>
      <c r="K47" s="1"/>
      <c r="L47" s="1">
        <f t="shared" si="18"/>
        <v>0</v>
      </c>
      <c r="M47" s="1"/>
      <c r="N47" s="5">
        <f t="shared" si="19"/>
        <v>0</v>
      </c>
      <c r="O47" s="13"/>
      <c r="P47" s="1">
        <f>SUM(OSRRefP22_8x_0)</f>
        <v>392.82</v>
      </c>
      <c r="Q47" s="1"/>
      <c r="R47" s="5">
        <f t="shared" si="20"/>
        <v>0</v>
      </c>
      <c r="S47" s="1"/>
      <c r="T47" s="1">
        <f>SUM(OSRRefT22_8x_0)</f>
        <v>392.82</v>
      </c>
      <c r="U47" s="1"/>
      <c r="V47" s="5">
        <f t="shared" si="21"/>
        <v>0</v>
      </c>
      <c r="W47" s="1"/>
      <c r="X47" s="1">
        <f t="shared" si="22"/>
        <v>0</v>
      </c>
      <c r="Y47" s="1"/>
      <c r="Z47" s="5">
        <f t="shared" si="23"/>
        <v>0</v>
      </c>
    </row>
    <row r="48" spans="1:26" s="24" customFormat="1" hidden="1" outlineLevel="2" x14ac:dyDescent="0.25">
      <c r="A48" s="27"/>
      <c r="B48" s="11" t="str">
        <f>CONCATENATE("          ", "6314", " - ", "LIABILITY INSURANCE")</f>
        <v xml:space="preserve">          6314 - LIABILITY INSURANCE</v>
      </c>
      <c r="C48" s="11"/>
      <c r="D48" s="7">
        <v>65.47</v>
      </c>
      <c r="E48" s="2"/>
      <c r="F48" s="6">
        <f t="shared" si="16"/>
        <v>0</v>
      </c>
      <c r="G48" s="2"/>
      <c r="H48" s="7">
        <v>65.47</v>
      </c>
      <c r="I48" s="2"/>
      <c r="J48" s="6">
        <f t="shared" si="17"/>
        <v>0</v>
      </c>
      <c r="K48" s="2"/>
      <c r="L48" s="7">
        <f t="shared" si="18"/>
        <v>0</v>
      </c>
      <c r="M48" s="2"/>
      <c r="N48" s="6">
        <f t="shared" si="19"/>
        <v>0</v>
      </c>
      <c r="O48" s="11"/>
      <c r="P48" s="7">
        <v>392.82</v>
      </c>
      <c r="Q48" s="2"/>
      <c r="R48" s="6">
        <f t="shared" si="20"/>
        <v>0</v>
      </c>
      <c r="S48" s="2"/>
      <c r="T48" s="7">
        <v>392.82</v>
      </c>
      <c r="U48" s="2"/>
      <c r="V48" s="6">
        <f t="shared" si="21"/>
        <v>0</v>
      </c>
      <c r="W48" s="2"/>
      <c r="X48" s="7">
        <f t="shared" si="22"/>
        <v>0</v>
      </c>
      <c r="Y48" s="2"/>
      <c r="Z48" s="6">
        <f t="shared" si="23"/>
        <v>0</v>
      </c>
    </row>
    <row r="49" spans="1:26" s="25" customFormat="1" outlineLevel="1" collapsed="1" x14ac:dyDescent="0.25">
      <c r="A49" s="26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SUM(OSRRefD22_9x_0)</f>
        <v>840</v>
      </c>
      <c r="E49" s="1"/>
      <c r="F49" s="5">
        <f t="shared" si="16"/>
        <v>0</v>
      </c>
      <c r="G49" s="1"/>
      <c r="H49" s="1">
        <f>SUM(OSRRefH22_9x_0)</f>
        <v>145.94999999999999</v>
      </c>
      <c r="I49" s="1"/>
      <c r="J49" s="5">
        <f t="shared" si="17"/>
        <v>0</v>
      </c>
      <c r="K49" s="1"/>
      <c r="L49" s="1">
        <f t="shared" si="18"/>
        <v>694.05</v>
      </c>
      <c r="M49" s="1"/>
      <c r="N49" s="5">
        <f t="shared" si="19"/>
        <v>4.7553956834532372</v>
      </c>
      <c r="O49" s="13"/>
      <c r="P49" s="1">
        <f>SUM(OSRRefP22_9x_0)</f>
        <v>5642.58</v>
      </c>
      <c r="Q49" s="1"/>
      <c r="R49" s="5">
        <f t="shared" si="20"/>
        <v>0</v>
      </c>
      <c r="S49" s="1"/>
      <c r="T49" s="1">
        <f>SUM(OSRRefT22_9x_0)</f>
        <v>54834.04</v>
      </c>
      <c r="U49" s="1"/>
      <c r="V49" s="5">
        <f t="shared" si="21"/>
        <v>0</v>
      </c>
      <c r="W49" s="1"/>
      <c r="X49" s="1">
        <f t="shared" si="22"/>
        <v>-49191.46</v>
      </c>
      <c r="Y49" s="1"/>
      <c r="Z49" s="5">
        <f t="shared" si="23"/>
        <v>-0.89709713163575033</v>
      </c>
    </row>
    <row r="50" spans="1:26" s="24" customFormat="1" hidden="1" outlineLevel="2" x14ac:dyDescent="0.25">
      <c r="A50" s="27"/>
      <c r="B50" s="11" t="str">
        <f>CONCATENATE("          ", "6334", " - ", "LEGAL COUNCIL EXPENSE")</f>
        <v xml:space="preserve">          6334 - LEGAL COUNCIL EXPENSE</v>
      </c>
      <c r="C50" s="11"/>
      <c r="D50" s="7">
        <v>840</v>
      </c>
      <c r="E50" s="2"/>
      <c r="F50" s="6">
        <f t="shared" si="16"/>
        <v>0</v>
      </c>
      <c r="G50" s="2"/>
      <c r="H50" s="7"/>
      <c r="I50" s="2"/>
      <c r="J50" s="6">
        <f t="shared" si="17"/>
        <v>0</v>
      </c>
      <c r="K50" s="2"/>
      <c r="L50" s="7">
        <f t="shared" si="18"/>
        <v>840</v>
      </c>
      <c r="M50" s="2"/>
      <c r="N50" s="6">
        <f t="shared" si="19"/>
        <v>0</v>
      </c>
      <c r="O50" s="11"/>
      <c r="P50" s="7">
        <v>1225</v>
      </c>
      <c r="Q50" s="2"/>
      <c r="R50" s="6">
        <f t="shared" si="20"/>
        <v>0</v>
      </c>
      <c r="S50" s="2"/>
      <c r="T50" s="7">
        <v>38010</v>
      </c>
      <c r="U50" s="2"/>
      <c r="V50" s="6">
        <f t="shared" si="21"/>
        <v>0</v>
      </c>
      <c r="W50" s="2"/>
      <c r="X50" s="7">
        <f t="shared" si="22"/>
        <v>-36785</v>
      </c>
      <c r="Y50" s="2"/>
      <c r="Z50" s="6">
        <f t="shared" si="23"/>
        <v>-0.9677716390423573</v>
      </c>
    </row>
    <row r="51" spans="1:26" s="24" customFormat="1" hidden="1" outlineLevel="2" x14ac:dyDescent="0.25">
      <c r="A51" s="27"/>
      <c r="B51" s="11" t="str">
        <f>CONCATENATE("          ", "6336", " - ", "PROFESSIONAL SERVICES")</f>
        <v xml:space="preserve">          6336 - PROFESSIONAL SERVICES</v>
      </c>
      <c r="C51" s="11"/>
      <c r="D51" s="7"/>
      <c r="E51" s="2"/>
      <c r="F51" s="6">
        <f t="shared" si="16"/>
        <v>0</v>
      </c>
      <c r="G51" s="2"/>
      <c r="H51" s="7">
        <v>145.94999999999999</v>
      </c>
      <c r="I51" s="2"/>
      <c r="J51" s="6">
        <f t="shared" si="17"/>
        <v>0</v>
      </c>
      <c r="K51" s="2"/>
      <c r="L51" s="7">
        <f t="shared" si="18"/>
        <v>-145.94999999999999</v>
      </c>
      <c r="M51" s="2"/>
      <c r="N51" s="6">
        <f t="shared" si="19"/>
        <v>-1</v>
      </c>
      <c r="O51" s="11"/>
      <c r="P51" s="7">
        <v>4417.58</v>
      </c>
      <c r="Q51" s="2"/>
      <c r="R51" s="6">
        <f t="shared" si="20"/>
        <v>0</v>
      </c>
      <c r="S51" s="2"/>
      <c r="T51" s="7">
        <v>16824.04</v>
      </c>
      <c r="U51" s="2"/>
      <c r="V51" s="6">
        <f t="shared" si="21"/>
        <v>0</v>
      </c>
      <c r="W51" s="2"/>
      <c r="X51" s="7">
        <f t="shared" si="22"/>
        <v>-12406.460000000001</v>
      </c>
      <c r="Y51" s="2"/>
      <c r="Z51" s="6">
        <f t="shared" si="23"/>
        <v>-0.73742454249989897</v>
      </c>
    </row>
    <row r="52" spans="1:26" s="25" customFormat="1" outlineLevel="1" collapsed="1" x14ac:dyDescent="0.25">
      <c r="A52" s="26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SUM(OSRRefD22_10x_0)</f>
        <v>4785.9799999999996</v>
      </c>
      <c r="E52" s="1"/>
      <c r="F52" s="5">
        <f t="shared" ref="F52:F54" si="24">IF(D$12=0,0,D52/D$12)</f>
        <v>0</v>
      </c>
      <c r="G52" s="1"/>
      <c r="H52" s="1">
        <f>SUM(OSRRefH22_10x_0)</f>
        <v>14704.07</v>
      </c>
      <c r="I52" s="1"/>
      <c r="J52" s="5">
        <f t="shared" ref="J52:J54" si="25">IF(H$12=0,0,H52/H$12)</f>
        <v>0</v>
      </c>
      <c r="K52" s="1"/>
      <c r="L52" s="1">
        <f t="shared" ref="L52:L54" si="26">+D52-H52</f>
        <v>-9918.09</v>
      </c>
      <c r="M52" s="1"/>
      <c r="N52" s="5">
        <f t="shared" ref="N52:N54" si="27">IF(H52=0,0,L52/H52)</f>
        <v>-0.67451324701256188</v>
      </c>
      <c r="O52" s="13"/>
      <c r="P52" s="1">
        <f>SUM(OSRRefP22_10x_0)</f>
        <v>24939.59</v>
      </c>
      <c r="Q52" s="1"/>
      <c r="R52" s="5">
        <f t="shared" ref="R52:R54" si="28">IF(P$12=0,0,P52/P$12)</f>
        <v>0</v>
      </c>
      <c r="S52" s="1"/>
      <c r="T52" s="1">
        <f>SUM(OSRRefT22_10x_0)</f>
        <v>72769.53</v>
      </c>
      <c r="U52" s="1"/>
      <c r="V52" s="5">
        <f t="shared" ref="V52:V54" si="29">IF(T$12=0,0,T52/T$12)</f>
        <v>0</v>
      </c>
      <c r="W52" s="1"/>
      <c r="X52" s="1">
        <f t="shared" ref="X52:X54" si="30">+P52-T52</f>
        <v>-47829.94</v>
      </c>
      <c r="Y52" s="1"/>
      <c r="Z52" s="5">
        <f t="shared" ref="Z52:Z54" si="31">IF(T52=0,0,X52/T52)</f>
        <v>-0.65727977080517086</v>
      </c>
    </row>
    <row r="53" spans="1:26" s="24" customFormat="1" hidden="1" outlineLevel="2" x14ac:dyDescent="0.25">
      <c r="A53" s="27"/>
      <c r="B53" s="11" t="str">
        <f>CONCATENATE("          ", "6371", " - ", "COMPUTER SOFTWARE MAINTENANCE")</f>
        <v xml:space="preserve">          6371 - COMPUTER SOFTWARE MAINTENANCE</v>
      </c>
      <c r="C53" s="11"/>
      <c r="D53" s="7">
        <v>4785.9799999999996</v>
      </c>
      <c r="E53" s="2"/>
      <c r="F53" s="6">
        <f t="shared" si="24"/>
        <v>0</v>
      </c>
      <c r="G53" s="2"/>
      <c r="H53" s="7">
        <v>14704.07</v>
      </c>
      <c r="I53" s="2"/>
      <c r="J53" s="6">
        <f t="shared" si="25"/>
        <v>0</v>
      </c>
      <c r="K53" s="2"/>
      <c r="L53" s="7">
        <f t="shared" si="26"/>
        <v>-9918.09</v>
      </c>
      <c r="M53" s="2"/>
      <c r="N53" s="6">
        <f t="shared" si="27"/>
        <v>-0.67451324701256188</v>
      </c>
      <c r="O53" s="11"/>
      <c r="P53" s="7">
        <v>24881.5</v>
      </c>
      <c r="Q53" s="2"/>
      <c r="R53" s="6">
        <f t="shared" si="28"/>
        <v>0</v>
      </c>
      <c r="S53" s="2"/>
      <c r="T53" s="7">
        <v>72486.61</v>
      </c>
      <c r="U53" s="2"/>
      <c r="V53" s="6">
        <f t="shared" si="29"/>
        <v>0</v>
      </c>
      <c r="W53" s="2"/>
      <c r="X53" s="7">
        <f t="shared" si="30"/>
        <v>-47605.11</v>
      </c>
      <c r="Y53" s="2"/>
      <c r="Z53" s="6">
        <f t="shared" si="31"/>
        <v>-0.65674350062721931</v>
      </c>
    </row>
    <row r="54" spans="1:26" s="24" customFormat="1" hidden="1" outlineLevel="2" x14ac:dyDescent="0.25">
      <c r="A54" s="27"/>
      <c r="B54" s="11" t="str">
        <f>CONCATENATE("          ", "6373", " - ", "MAINTENANCE CONTRACTS")</f>
        <v xml:space="preserve">          6373 - MAINTENANCE CONTRACTS</v>
      </c>
      <c r="C54" s="11"/>
      <c r="D54" s="7"/>
      <c r="E54" s="2"/>
      <c r="F54" s="6">
        <f t="shared" si="24"/>
        <v>0</v>
      </c>
      <c r="G54" s="2"/>
      <c r="H54" s="7"/>
      <c r="I54" s="2"/>
      <c r="J54" s="6">
        <f t="shared" si="25"/>
        <v>0</v>
      </c>
      <c r="K54" s="2"/>
      <c r="L54" s="7">
        <f t="shared" si="26"/>
        <v>0</v>
      </c>
      <c r="M54" s="2"/>
      <c r="N54" s="6">
        <f t="shared" si="27"/>
        <v>0</v>
      </c>
      <c r="O54" s="11"/>
      <c r="P54" s="7">
        <v>58.09</v>
      </c>
      <c r="Q54" s="2"/>
      <c r="R54" s="6">
        <f t="shared" si="28"/>
        <v>0</v>
      </c>
      <c r="S54" s="2"/>
      <c r="T54" s="7">
        <v>282.92</v>
      </c>
      <c r="U54" s="2"/>
      <c r="V54" s="6">
        <f t="shared" si="29"/>
        <v>0</v>
      </c>
      <c r="W54" s="2"/>
      <c r="X54" s="7">
        <f t="shared" si="30"/>
        <v>-224.83</v>
      </c>
      <c r="Y54" s="2"/>
      <c r="Z54" s="6">
        <f t="shared" si="31"/>
        <v>-0.79467694047787363</v>
      </c>
    </row>
    <row r="55" spans="1:26" s="25" customFormat="1" outlineLevel="1" collapsed="1" x14ac:dyDescent="0.25">
      <c r="A55" s="26"/>
      <c r="B55" s="13" t="str">
        <f>CONCATENATE("     ","Subscriptions &amp; Dues                              ")</f>
        <v xml:space="preserve">     Subscriptions &amp; Dues                              </v>
      </c>
      <c r="C55" s="13"/>
      <c r="D55" s="1">
        <f>SUM(OSRRefD22_11x_0)</f>
        <v>0</v>
      </c>
      <c r="E55" s="1"/>
      <c r="F55" s="5">
        <f t="shared" ref="F55:F61" si="32">IF(D$12=0,0,D55/D$12)</f>
        <v>0</v>
      </c>
      <c r="G55" s="1"/>
      <c r="H55" s="1">
        <f>SUM(OSRRefH22_11x_0)</f>
        <v>0</v>
      </c>
      <c r="I55" s="1"/>
      <c r="J55" s="5">
        <f t="shared" ref="J55:J61" si="33">IF(H$12=0,0,H55/H$12)</f>
        <v>0</v>
      </c>
      <c r="K55" s="1"/>
      <c r="L55" s="1">
        <f t="shared" ref="L55:L61" si="34">+D55-H55</f>
        <v>0</v>
      </c>
      <c r="M55" s="1"/>
      <c r="N55" s="5">
        <f t="shared" ref="N55:N61" si="35">IF(H55=0,0,L55/H55)</f>
        <v>0</v>
      </c>
      <c r="O55" s="13"/>
      <c r="P55" s="1">
        <f>SUM(OSRRefP22_11x_0)</f>
        <v>534.99</v>
      </c>
      <c r="Q55" s="1"/>
      <c r="R55" s="5">
        <f t="shared" ref="R55:R61" si="36">IF(P$12=0,0,P55/P$12)</f>
        <v>0</v>
      </c>
      <c r="S55" s="1"/>
      <c r="T55" s="1">
        <f>SUM(OSRRefT22_11x_0)</f>
        <v>587</v>
      </c>
      <c r="U55" s="1"/>
      <c r="V55" s="5">
        <f t="shared" ref="V55:V61" si="37">IF(T$12=0,0,T55/T$12)</f>
        <v>0</v>
      </c>
      <c r="W55" s="1"/>
      <c r="X55" s="1">
        <f t="shared" ref="X55:X61" si="38">+P55-T55</f>
        <v>-52.009999999999991</v>
      </c>
      <c r="Y55" s="1"/>
      <c r="Z55" s="5">
        <f t="shared" ref="Z55:Z61" si="39">IF(T55=0,0,X55/T55)</f>
        <v>-8.8603066439522982E-2</v>
      </c>
    </row>
    <row r="56" spans="1:26" s="24" customFormat="1" hidden="1" outlineLevel="2" x14ac:dyDescent="0.25">
      <c r="A56" s="27"/>
      <c r="B56" s="11" t="str">
        <f>CONCATENATE("          ", "6258", " - ", "MEMBERSHIP DUES")</f>
        <v xml:space="preserve">          6258 - MEMBERSHIP DUES</v>
      </c>
      <c r="C56" s="11"/>
      <c r="D56" s="7"/>
      <c r="E56" s="2"/>
      <c r="F56" s="6">
        <f t="shared" si="32"/>
        <v>0</v>
      </c>
      <c r="G56" s="2"/>
      <c r="H56" s="7"/>
      <c r="I56" s="2"/>
      <c r="J56" s="6">
        <f t="shared" si="33"/>
        <v>0</v>
      </c>
      <c r="K56" s="2"/>
      <c r="L56" s="7">
        <f t="shared" si="34"/>
        <v>0</v>
      </c>
      <c r="M56" s="2"/>
      <c r="N56" s="6">
        <f t="shared" si="35"/>
        <v>0</v>
      </c>
      <c r="O56" s="11"/>
      <c r="P56" s="7">
        <v>534.99</v>
      </c>
      <c r="Q56" s="2"/>
      <c r="R56" s="6">
        <f t="shared" si="36"/>
        <v>0</v>
      </c>
      <c r="S56" s="2"/>
      <c r="T56" s="7">
        <v>587</v>
      </c>
      <c r="U56" s="2"/>
      <c r="V56" s="6">
        <f t="shared" si="37"/>
        <v>0</v>
      </c>
      <c r="W56" s="2"/>
      <c r="X56" s="7">
        <f t="shared" si="38"/>
        <v>-52.009999999999991</v>
      </c>
      <c r="Y56" s="2"/>
      <c r="Z56" s="6">
        <f t="shared" si="39"/>
        <v>-8.8603066439522982E-2</v>
      </c>
    </row>
    <row r="57" spans="1:26" s="25" customFormat="1" outlineLevel="1" collapsed="1" x14ac:dyDescent="0.25">
      <c r="A57" s="26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SUM(OSRRefD22_12x_0)</f>
        <v>224.69</v>
      </c>
      <c r="E57" s="1"/>
      <c r="F57" s="5">
        <f t="shared" si="32"/>
        <v>0</v>
      </c>
      <c r="G57" s="1"/>
      <c r="H57" s="1">
        <f>SUM(OSRRefH22_12x_0)</f>
        <v>366.80000000000007</v>
      </c>
      <c r="I57" s="1"/>
      <c r="J57" s="5">
        <f t="shared" si="33"/>
        <v>0</v>
      </c>
      <c r="K57" s="1"/>
      <c r="L57" s="1">
        <f t="shared" si="34"/>
        <v>-142.11000000000007</v>
      </c>
      <c r="M57" s="1"/>
      <c r="N57" s="5">
        <f t="shared" si="35"/>
        <v>-0.38743184296619421</v>
      </c>
      <c r="O57" s="13"/>
      <c r="P57" s="1">
        <f>SUM(OSRRefP22_12x_0)</f>
        <v>1514.85</v>
      </c>
      <c r="Q57" s="1"/>
      <c r="R57" s="5">
        <f t="shared" si="36"/>
        <v>0</v>
      </c>
      <c r="S57" s="1"/>
      <c r="T57" s="1">
        <f>SUM(OSRRefT22_12x_0)</f>
        <v>12390.460000000001</v>
      </c>
      <c r="U57" s="1"/>
      <c r="V57" s="5">
        <f t="shared" si="37"/>
        <v>0</v>
      </c>
      <c r="W57" s="1"/>
      <c r="X57" s="1">
        <f t="shared" si="38"/>
        <v>-10875.61</v>
      </c>
      <c r="Y57" s="1"/>
      <c r="Z57" s="5">
        <f t="shared" si="39"/>
        <v>-0.87774061657113611</v>
      </c>
    </row>
    <row r="58" spans="1:26" s="24" customFormat="1" hidden="1" outlineLevel="2" x14ac:dyDescent="0.25">
      <c r="A58" s="27"/>
      <c r="B58" s="11" t="str">
        <f>CONCATENATE("          ", "6235", " - ", "COVID-19 EXPENSES")</f>
        <v xml:space="preserve">          6235 - COVID-19 EXPENSES</v>
      </c>
      <c r="C58" s="11"/>
      <c r="D58" s="7"/>
      <c r="E58" s="2"/>
      <c r="F58" s="6">
        <f t="shared" si="32"/>
        <v>0</v>
      </c>
      <c r="G58" s="2"/>
      <c r="H58" s="7"/>
      <c r="I58" s="2"/>
      <c r="J58" s="6">
        <f t="shared" si="33"/>
        <v>0</v>
      </c>
      <c r="K58" s="2"/>
      <c r="L58" s="7">
        <f t="shared" si="34"/>
        <v>0</v>
      </c>
      <c r="M58" s="2"/>
      <c r="N58" s="6">
        <f t="shared" si="35"/>
        <v>0</v>
      </c>
      <c r="O58" s="11"/>
      <c r="P58" s="7">
        <v>210.58</v>
      </c>
      <c r="Q58" s="2"/>
      <c r="R58" s="6">
        <f t="shared" si="36"/>
        <v>0</v>
      </c>
      <c r="S58" s="2"/>
      <c r="T58" s="7"/>
      <c r="U58" s="2"/>
      <c r="V58" s="6">
        <f t="shared" si="37"/>
        <v>0</v>
      </c>
      <c r="W58" s="2"/>
      <c r="X58" s="7">
        <f t="shared" si="38"/>
        <v>210.58</v>
      </c>
      <c r="Y58" s="2"/>
      <c r="Z58" s="6">
        <f t="shared" si="39"/>
        <v>0</v>
      </c>
    </row>
    <row r="59" spans="1:26" s="24" customFormat="1" hidden="1" outlineLevel="2" x14ac:dyDescent="0.25">
      <c r="A59" s="27"/>
      <c r="B59" s="11" t="str">
        <f>CONCATENATE("          ", "6241", " - ", "OFFICE EXPENSE")</f>
        <v xml:space="preserve">          6241 - OFFICE EXPENSE</v>
      </c>
      <c r="C59" s="11"/>
      <c r="D59" s="7">
        <v>224.69</v>
      </c>
      <c r="E59" s="2"/>
      <c r="F59" s="6">
        <f t="shared" si="32"/>
        <v>0</v>
      </c>
      <c r="G59" s="2"/>
      <c r="H59" s="7">
        <v>253.08</v>
      </c>
      <c r="I59" s="2"/>
      <c r="J59" s="6">
        <f t="shared" si="33"/>
        <v>0</v>
      </c>
      <c r="K59" s="2"/>
      <c r="L59" s="7">
        <f t="shared" si="34"/>
        <v>-28.390000000000015</v>
      </c>
      <c r="M59" s="2"/>
      <c r="N59" s="6">
        <f t="shared" si="35"/>
        <v>-0.11217796744112539</v>
      </c>
      <c r="O59" s="11"/>
      <c r="P59" s="7">
        <v>1081.56</v>
      </c>
      <c r="Q59" s="2"/>
      <c r="R59" s="6">
        <f t="shared" si="36"/>
        <v>0</v>
      </c>
      <c r="S59" s="2"/>
      <c r="T59" s="7">
        <v>8835.0400000000009</v>
      </c>
      <c r="U59" s="2"/>
      <c r="V59" s="6">
        <f t="shared" si="37"/>
        <v>0</v>
      </c>
      <c r="W59" s="2"/>
      <c r="X59" s="7">
        <f t="shared" si="38"/>
        <v>-7753.4800000000014</v>
      </c>
      <c r="Y59" s="2"/>
      <c r="Z59" s="6">
        <f t="shared" si="39"/>
        <v>-0.87758289719118432</v>
      </c>
    </row>
    <row r="60" spans="1:26" s="24" customFormat="1" hidden="1" outlineLevel="2" x14ac:dyDescent="0.25">
      <c r="A60" s="27"/>
      <c r="B60" s="11" t="str">
        <f>CONCATENATE("          ", "6244", " - ", "SAFETY SUPPLY EXPENSE")</f>
        <v xml:space="preserve">          6244 - SAFETY SUPPLY EXPENSE</v>
      </c>
      <c r="C60" s="11"/>
      <c r="D60" s="7"/>
      <c r="E60" s="2"/>
      <c r="F60" s="6">
        <f t="shared" si="32"/>
        <v>0</v>
      </c>
      <c r="G60" s="2"/>
      <c r="H60" s="7">
        <v>50</v>
      </c>
      <c r="I60" s="2"/>
      <c r="J60" s="6">
        <f t="shared" si="33"/>
        <v>0</v>
      </c>
      <c r="K60" s="2"/>
      <c r="L60" s="7">
        <f t="shared" si="34"/>
        <v>-50</v>
      </c>
      <c r="M60" s="2"/>
      <c r="N60" s="6">
        <f t="shared" si="35"/>
        <v>-1</v>
      </c>
      <c r="O60" s="11"/>
      <c r="P60" s="7">
        <v>222.71</v>
      </c>
      <c r="Q60" s="2"/>
      <c r="R60" s="6">
        <f t="shared" si="36"/>
        <v>0</v>
      </c>
      <c r="S60" s="2"/>
      <c r="T60" s="7">
        <v>1557.33</v>
      </c>
      <c r="U60" s="2"/>
      <c r="V60" s="6">
        <f t="shared" si="37"/>
        <v>0</v>
      </c>
      <c r="W60" s="2"/>
      <c r="X60" s="7">
        <f t="shared" si="38"/>
        <v>-1334.62</v>
      </c>
      <c r="Y60" s="2"/>
      <c r="Z60" s="6">
        <f t="shared" si="39"/>
        <v>-0.85699241650774083</v>
      </c>
    </row>
    <row r="61" spans="1:26" s="24" customFormat="1" hidden="1" outlineLevel="2" x14ac:dyDescent="0.25">
      <c r="A61" s="27"/>
      <c r="B61" s="11" t="str">
        <f>CONCATENATE("          ", "6245", " - ", "PRINTING")</f>
        <v xml:space="preserve">          6245 - PRINTING</v>
      </c>
      <c r="C61" s="11"/>
      <c r="D61" s="7"/>
      <c r="E61" s="2"/>
      <c r="F61" s="6">
        <f t="shared" si="32"/>
        <v>0</v>
      </c>
      <c r="G61" s="2"/>
      <c r="H61" s="7">
        <v>63.72</v>
      </c>
      <c r="I61" s="2"/>
      <c r="J61" s="6">
        <f t="shared" si="33"/>
        <v>0</v>
      </c>
      <c r="K61" s="2"/>
      <c r="L61" s="7">
        <f t="shared" si="34"/>
        <v>-63.72</v>
      </c>
      <c r="M61" s="2"/>
      <c r="N61" s="6">
        <f t="shared" si="35"/>
        <v>-1</v>
      </c>
      <c r="O61" s="11"/>
      <c r="P61" s="7"/>
      <c r="Q61" s="2"/>
      <c r="R61" s="6">
        <f t="shared" si="36"/>
        <v>0</v>
      </c>
      <c r="S61" s="2"/>
      <c r="T61" s="7">
        <v>1998.09</v>
      </c>
      <c r="U61" s="2"/>
      <c r="V61" s="6">
        <f t="shared" si="37"/>
        <v>0</v>
      </c>
      <c r="W61" s="2"/>
      <c r="X61" s="7">
        <f t="shared" si="38"/>
        <v>-1998.09</v>
      </c>
      <c r="Y61" s="2"/>
      <c r="Z61" s="6">
        <f t="shared" si="39"/>
        <v>-1</v>
      </c>
    </row>
    <row r="62" spans="1:26" s="25" customFormat="1" outlineLevel="1" collapsed="1" x14ac:dyDescent="0.25">
      <c r="A62" s="26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SUM(OSRRefD22_13x_0)</f>
        <v>323.39999999999998</v>
      </c>
      <c r="E62" s="1"/>
      <c r="F62" s="5">
        <f t="shared" ref="F62:F67" si="40">IF(D$12=0,0,D62/D$12)</f>
        <v>0</v>
      </c>
      <c r="G62" s="1"/>
      <c r="H62" s="1">
        <f>SUM(OSRRefH22_13x_0)</f>
        <v>300.2</v>
      </c>
      <c r="I62" s="1"/>
      <c r="J62" s="5">
        <f t="shared" ref="J62:J67" si="41">IF(H$12=0,0,H62/H$12)</f>
        <v>0</v>
      </c>
      <c r="K62" s="1"/>
      <c r="L62" s="1">
        <f t="shared" ref="L62:L67" si="42">+D62-H62</f>
        <v>23.199999999999989</v>
      </c>
      <c r="M62" s="1"/>
      <c r="N62" s="5">
        <f t="shared" ref="N62:N67" si="43">IF(H62=0,0,L62/H62)</f>
        <v>7.7281812125249802E-2</v>
      </c>
      <c r="O62" s="13"/>
      <c r="P62" s="1">
        <f>SUM(OSRRefP22_13x_0)</f>
        <v>1980.45</v>
      </c>
      <c r="Q62" s="1"/>
      <c r="R62" s="5">
        <f t="shared" ref="R62:R67" si="44">IF(P$12=0,0,P62/P$12)</f>
        <v>0</v>
      </c>
      <c r="S62" s="1"/>
      <c r="T62" s="1">
        <f>SUM(OSRRefT22_13x_0)</f>
        <v>1963.6</v>
      </c>
      <c r="U62" s="1"/>
      <c r="V62" s="5">
        <f t="shared" ref="V62:V67" si="45">IF(T$12=0,0,T62/T$12)</f>
        <v>0</v>
      </c>
      <c r="W62" s="1"/>
      <c r="X62" s="1">
        <f t="shared" ref="X62:X67" si="46">+P62-T62</f>
        <v>16.850000000000136</v>
      </c>
      <c r="Y62" s="1"/>
      <c r="Z62" s="5">
        <f t="shared" ref="Z62:Z67" si="47">IF(T62=0,0,X62/T62)</f>
        <v>8.5811774292117223E-3</v>
      </c>
    </row>
    <row r="63" spans="1:26" s="24" customFormat="1" hidden="1" outlineLevel="2" x14ac:dyDescent="0.25">
      <c r="A63" s="27"/>
      <c r="B63" s="11" t="str">
        <f>CONCATENATE("          ", "6309", " - ", "TELEPHONE")</f>
        <v xml:space="preserve">          6309 - TELEPHONE</v>
      </c>
      <c r="C63" s="11"/>
      <c r="D63" s="7">
        <v>323.39999999999998</v>
      </c>
      <c r="E63" s="2"/>
      <c r="F63" s="6">
        <f t="shared" si="40"/>
        <v>0</v>
      </c>
      <c r="G63" s="2"/>
      <c r="H63" s="7">
        <v>300.2</v>
      </c>
      <c r="I63" s="2"/>
      <c r="J63" s="6">
        <f t="shared" si="41"/>
        <v>0</v>
      </c>
      <c r="K63" s="2"/>
      <c r="L63" s="7">
        <f t="shared" si="42"/>
        <v>23.199999999999989</v>
      </c>
      <c r="M63" s="2"/>
      <c r="N63" s="6">
        <f t="shared" si="43"/>
        <v>7.7281812125249802E-2</v>
      </c>
      <c r="O63" s="11"/>
      <c r="P63" s="7">
        <v>1980.45</v>
      </c>
      <c r="Q63" s="2"/>
      <c r="R63" s="6">
        <f t="shared" si="44"/>
        <v>0</v>
      </c>
      <c r="S63" s="2"/>
      <c r="T63" s="7">
        <v>1963.6</v>
      </c>
      <c r="U63" s="2"/>
      <c r="V63" s="6">
        <f t="shared" si="45"/>
        <v>0</v>
      </c>
      <c r="W63" s="2"/>
      <c r="X63" s="7">
        <f t="shared" si="46"/>
        <v>16.850000000000136</v>
      </c>
      <c r="Y63" s="2"/>
      <c r="Z63" s="6">
        <f t="shared" si="47"/>
        <v>8.5811774292117223E-3</v>
      </c>
    </row>
    <row r="64" spans="1:26" s="25" customFormat="1" outlineLevel="1" collapsed="1" x14ac:dyDescent="0.25">
      <c r="A64" s="26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SUM(OSRRefD22_14x_0)</f>
        <v>0</v>
      </c>
      <c r="E64" s="1"/>
      <c r="F64" s="5">
        <f t="shared" si="40"/>
        <v>0</v>
      </c>
      <c r="G64" s="1"/>
      <c r="H64" s="1">
        <f>SUM(OSRRefH22_14x_0)</f>
        <v>164.22</v>
      </c>
      <c r="I64" s="1"/>
      <c r="J64" s="5">
        <f t="shared" si="41"/>
        <v>0</v>
      </c>
      <c r="K64" s="1"/>
      <c r="L64" s="1">
        <f t="shared" si="42"/>
        <v>-164.22</v>
      </c>
      <c r="M64" s="1"/>
      <c r="N64" s="5">
        <f t="shared" si="43"/>
        <v>-1</v>
      </c>
      <c r="O64" s="13"/>
      <c r="P64" s="1">
        <f>SUM(OSRRefP22_14x_0)</f>
        <v>-97</v>
      </c>
      <c r="Q64" s="1"/>
      <c r="R64" s="5">
        <f t="shared" si="44"/>
        <v>0</v>
      </c>
      <c r="S64" s="1"/>
      <c r="T64" s="1">
        <f>SUM(OSRRefT22_14x_0)</f>
        <v>5479.2</v>
      </c>
      <c r="U64" s="1"/>
      <c r="V64" s="5">
        <f t="shared" si="45"/>
        <v>0</v>
      </c>
      <c r="W64" s="1"/>
      <c r="X64" s="1">
        <f t="shared" si="46"/>
        <v>-5576.2</v>
      </c>
      <c r="Y64" s="1"/>
      <c r="Z64" s="5">
        <f t="shared" si="47"/>
        <v>-1.0177033143524603</v>
      </c>
    </row>
    <row r="65" spans="1:26" s="24" customFormat="1" hidden="1" outlineLevel="2" x14ac:dyDescent="0.25">
      <c r="A65" s="27"/>
      <c r="B65" s="11" t="str">
        <f>CONCATENATE("          ", "6376", " - ", "TRAINING")</f>
        <v xml:space="preserve">          6376 - TRAINING</v>
      </c>
      <c r="C65" s="11"/>
      <c r="D65" s="7"/>
      <c r="E65" s="2"/>
      <c r="F65" s="6">
        <f t="shared" si="40"/>
        <v>0</v>
      </c>
      <c r="G65" s="2"/>
      <c r="H65" s="7">
        <v>164.22</v>
      </c>
      <c r="I65" s="2"/>
      <c r="J65" s="6">
        <f t="shared" si="41"/>
        <v>0</v>
      </c>
      <c r="K65" s="2"/>
      <c r="L65" s="7">
        <f t="shared" si="42"/>
        <v>-164.22</v>
      </c>
      <c r="M65" s="2"/>
      <c r="N65" s="6">
        <f t="shared" si="43"/>
        <v>-1</v>
      </c>
      <c r="O65" s="11"/>
      <c r="P65" s="7">
        <v>-97</v>
      </c>
      <c r="Q65" s="2"/>
      <c r="R65" s="6">
        <f t="shared" si="44"/>
        <v>0</v>
      </c>
      <c r="S65" s="2"/>
      <c r="T65" s="7">
        <v>5479.2</v>
      </c>
      <c r="U65" s="2"/>
      <c r="V65" s="6">
        <f t="shared" si="45"/>
        <v>0</v>
      </c>
      <c r="W65" s="2"/>
      <c r="X65" s="7">
        <f t="shared" si="46"/>
        <v>-5576.2</v>
      </c>
      <c r="Y65" s="2"/>
      <c r="Z65" s="6">
        <f t="shared" si="47"/>
        <v>-1.0177033143524603</v>
      </c>
    </row>
    <row r="66" spans="1:26" s="25" customFormat="1" outlineLevel="1" collapsed="1" x14ac:dyDescent="0.25">
      <c r="A66" s="26"/>
      <c r="B66" s="13" t="str">
        <f>CONCATENATE("     ","Travel                                            ")</f>
        <v xml:space="preserve">     Travel                                            </v>
      </c>
      <c r="C66" s="13"/>
      <c r="D66" s="1">
        <f>SUM(OSRRefD22_15x_0)</f>
        <v>0</v>
      </c>
      <c r="E66" s="1"/>
      <c r="F66" s="5">
        <f t="shared" si="40"/>
        <v>0</v>
      </c>
      <c r="G66" s="1"/>
      <c r="H66" s="1">
        <f>SUM(OSRRefH22_15x_0)</f>
        <v>0</v>
      </c>
      <c r="I66" s="1"/>
      <c r="J66" s="5">
        <f t="shared" si="41"/>
        <v>0</v>
      </c>
      <c r="K66" s="1"/>
      <c r="L66" s="1">
        <f t="shared" si="42"/>
        <v>0</v>
      </c>
      <c r="M66" s="1"/>
      <c r="N66" s="5">
        <f t="shared" si="43"/>
        <v>0</v>
      </c>
      <c r="O66" s="13"/>
      <c r="P66" s="1">
        <f>SUM(OSRRefP22_15x_0)</f>
        <v>720</v>
      </c>
      <c r="Q66" s="1"/>
      <c r="R66" s="5">
        <f t="shared" si="44"/>
        <v>0</v>
      </c>
      <c r="S66" s="1"/>
      <c r="T66" s="1">
        <f>SUM(OSRRefT22_15x_0)</f>
        <v>3487.01</v>
      </c>
      <c r="U66" s="1"/>
      <c r="V66" s="5">
        <f t="shared" si="45"/>
        <v>0</v>
      </c>
      <c r="W66" s="1"/>
      <c r="X66" s="1">
        <f t="shared" si="46"/>
        <v>-2767.01</v>
      </c>
      <c r="Y66" s="1"/>
      <c r="Z66" s="5">
        <f t="shared" si="47"/>
        <v>-0.79351937619909318</v>
      </c>
    </row>
    <row r="67" spans="1:26" s="24" customFormat="1" hidden="1" outlineLevel="2" x14ac:dyDescent="0.25">
      <c r="A67" s="27"/>
      <c r="B67" s="11" t="str">
        <f>CONCATENATE("          ", "6292", " - ", "TRAVEL/CONFERENCE")</f>
        <v xml:space="preserve">          6292 - TRAVEL/CONFERENCE</v>
      </c>
      <c r="C67" s="11"/>
      <c r="D67" s="7"/>
      <c r="E67" s="2"/>
      <c r="F67" s="6">
        <f t="shared" si="40"/>
        <v>0</v>
      </c>
      <c r="G67" s="2"/>
      <c r="H67" s="7"/>
      <c r="I67" s="2"/>
      <c r="J67" s="6">
        <f t="shared" si="41"/>
        <v>0</v>
      </c>
      <c r="K67" s="2"/>
      <c r="L67" s="7">
        <f t="shared" si="42"/>
        <v>0</v>
      </c>
      <c r="M67" s="2"/>
      <c r="N67" s="6">
        <f t="shared" si="43"/>
        <v>0</v>
      </c>
      <c r="O67" s="11"/>
      <c r="P67" s="7">
        <v>720</v>
      </c>
      <c r="Q67" s="2"/>
      <c r="R67" s="6">
        <f t="shared" si="44"/>
        <v>0</v>
      </c>
      <c r="S67" s="2"/>
      <c r="T67" s="7">
        <v>3487.01</v>
      </c>
      <c r="U67" s="2"/>
      <c r="V67" s="6">
        <f t="shared" si="45"/>
        <v>0</v>
      </c>
      <c r="W67" s="2"/>
      <c r="X67" s="7">
        <f t="shared" si="46"/>
        <v>-2767.01</v>
      </c>
      <c r="Y67" s="2"/>
      <c r="Z67" s="6">
        <f t="shared" si="47"/>
        <v>-0.79351937619909318</v>
      </c>
    </row>
    <row r="68" spans="1:26" s="55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9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3</v>
      </c>
      <c r="C71" s="28"/>
      <c r="D71" s="20">
        <f>+D16-D18+D69</f>
        <v>-41240.700000000004</v>
      </c>
      <c r="E71" s="14"/>
      <c r="F71" s="21">
        <f>IF(D$12=0,0,D71/D$12)</f>
        <v>0</v>
      </c>
      <c r="G71" s="14"/>
      <c r="H71" s="20">
        <f>+H16-H18+H69</f>
        <v>-62517.429999999993</v>
      </c>
      <c r="I71" s="14"/>
      <c r="J71" s="21">
        <f>IF(H$12=0,0,H71/H$12)</f>
        <v>0</v>
      </c>
      <c r="K71" s="15"/>
      <c r="L71" s="20">
        <f>+D71-H71</f>
        <v>21276.729999999989</v>
      </c>
      <c r="M71" s="15"/>
      <c r="N71" s="21">
        <f>IF(H71=0,0,L71/H71)</f>
        <v>-0.34033276799766066</v>
      </c>
      <c r="O71" s="29"/>
      <c r="P71" s="20">
        <f>+P16-P18+P69</f>
        <v>-271629.11000000004</v>
      </c>
      <c r="Q71" s="14"/>
      <c r="R71" s="21">
        <f>IF(P$12=0,0,P71/P$12)</f>
        <v>0</v>
      </c>
      <c r="S71" s="14"/>
      <c r="T71" s="20">
        <f>+T16-T18+T69</f>
        <v>-402598.70999999996</v>
      </c>
      <c r="U71" s="14"/>
      <c r="V71" s="21">
        <f>IF(T$12=0,0,T71/T$12)</f>
        <v>0</v>
      </c>
      <c r="W71" s="15"/>
      <c r="X71" s="20">
        <f>+P71-T71</f>
        <v>130969.59999999992</v>
      </c>
      <c r="Y71" s="15"/>
      <c r="Z71" s="21">
        <f>IF(T71=0,0,X71/T71)</f>
        <v>-0.32531053067706039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4</v>
      </c>
      <c r="C75" s="28"/>
      <c r="D75" s="33">
        <f>+D71-D73</f>
        <v>-41240.700000000004</v>
      </c>
      <c r="E75" s="14"/>
      <c r="F75" s="34">
        <f>IF(D$12=0,0,D75/D$12)</f>
        <v>0</v>
      </c>
      <c r="G75" s="14"/>
      <c r="H75" s="33">
        <f>+H71-H73</f>
        <v>-62517.429999999993</v>
      </c>
      <c r="I75" s="14"/>
      <c r="J75" s="34">
        <f>IF(H$12=0,0,H75/H$12)</f>
        <v>0</v>
      </c>
      <c r="K75" s="15"/>
      <c r="L75" s="33">
        <f>D75-H75</f>
        <v>21276.729999999989</v>
      </c>
      <c r="M75" s="15"/>
      <c r="N75" s="34">
        <f>IF(H75=0,0,L75/H75)</f>
        <v>-0.34033276799766066</v>
      </c>
      <c r="O75" s="29"/>
      <c r="P75" s="33">
        <f>+P71-P73</f>
        <v>-271629.11000000004</v>
      </c>
      <c r="Q75" s="14"/>
      <c r="R75" s="34">
        <f>IF(P$12=0,0,P75/P$12)</f>
        <v>0</v>
      </c>
      <c r="S75" s="14"/>
      <c r="T75" s="33">
        <f>+T71-T73</f>
        <v>-402598.70999999996</v>
      </c>
      <c r="U75" s="14"/>
      <c r="V75" s="34">
        <f>IF(T$12=0,0,T75/T$12)</f>
        <v>0</v>
      </c>
      <c r="W75" s="15"/>
      <c r="X75" s="33">
        <f>P75-T75</f>
        <v>130969.59999999992</v>
      </c>
      <c r="Y75" s="15"/>
      <c r="Z75" s="34">
        <f>IF(T75=0,0,X75/T75)</f>
        <v>-0.32531053067706039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5</v>
      </c>
      <c r="C78" s="28"/>
      <c r="D78" s="30">
        <f>SUM(D75:D77)</f>
        <v>-41240.700000000004</v>
      </c>
      <c r="E78" s="14"/>
      <c r="F78" s="32">
        <f>IF(D$12=0,0,D78/D$12)</f>
        <v>0</v>
      </c>
      <c r="G78" s="14"/>
      <c r="H78" s="30">
        <f>SUM(H75:H77)</f>
        <v>-62517.429999999993</v>
      </c>
      <c r="I78" s="14"/>
      <c r="J78" s="32">
        <f>IF(H$12=0,0,H78/H$12)</f>
        <v>0</v>
      </c>
      <c r="K78" s="15"/>
      <c r="L78" s="30">
        <f>+D78-H78</f>
        <v>21276.729999999989</v>
      </c>
      <c r="M78" s="15"/>
      <c r="N78" s="32">
        <f>IF(H78=0,0,L78/H78)</f>
        <v>-0.34033276799766066</v>
      </c>
      <c r="O78" s="29"/>
      <c r="P78" s="30">
        <f>SUM(P75:P77)</f>
        <v>-271629.11000000004</v>
      </c>
      <c r="Q78" s="14"/>
      <c r="R78" s="32">
        <f>IF(P$12=0,0,P78/P$12)</f>
        <v>0</v>
      </c>
      <c r="S78" s="14"/>
      <c r="T78" s="30">
        <f>SUM(T75:T77)</f>
        <v>-402598.70999999996</v>
      </c>
      <c r="U78" s="14"/>
      <c r="V78" s="32">
        <f>IF(T$12=0,0,T78/T$12)</f>
        <v>0</v>
      </c>
      <c r="W78" s="15"/>
      <c r="X78" s="30">
        <f>+P78-T78</f>
        <v>130969.59999999992</v>
      </c>
      <c r="Y78" s="15"/>
      <c r="Z78" s="32">
        <f>IF(T78=0,0,X78/T78)</f>
        <v>-0.32531053067706039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8">
        <v>44209.521604085647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61" t="s">
        <v>313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7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","204", " - ", "Information Technology")</f>
        <v>Department 204 - Information Technology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44863.99</v>
      </c>
      <c r="E18" s="22"/>
      <c r="F18" s="36">
        <f t="shared" ref="F18:F29" si="0">IF(D$12=0,0,D18/D$12)</f>
        <v>0</v>
      </c>
      <c r="G18" s="22"/>
      <c r="H18" s="22">
        <f>SUM(OSRRefH22x_0)</f>
        <v>54493.08</v>
      </c>
      <c r="I18" s="22"/>
      <c r="J18" s="36">
        <f t="shared" ref="J18:J29" si="1">IF(H$12=0,0,H18/H$12)</f>
        <v>0</v>
      </c>
      <c r="K18" s="4"/>
      <c r="L18" s="22">
        <f t="shared" ref="L18:L29" si="2">+D18-H18</f>
        <v>-9629.0900000000038</v>
      </c>
      <c r="M18" s="4"/>
      <c r="N18" s="36">
        <f t="shared" ref="N18:N29" si="3">IF(H18=0,0,L18/H18)</f>
        <v>-0.17670298687466379</v>
      </c>
      <c r="O18" s="10"/>
      <c r="P18" s="22">
        <f>SUM(OSRRefP22x_0)</f>
        <v>306555.24000000005</v>
      </c>
      <c r="Q18" s="22"/>
      <c r="R18" s="36">
        <f t="shared" ref="R18:R29" si="4">IF(P$12=0,0,P18/P$12)</f>
        <v>0</v>
      </c>
      <c r="S18" s="22"/>
      <c r="T18" s="22">
        <f>SUM(OSRRefT22x_0)</f>
        <v>360599.31000000006</v>
      </c>
      <c r="U18" s="22"/>
      <c r="V18" s="36">
        <f t="shared" ref="V18:V29" si="5">IF(T$12=0,0,T18/T$12)</f>
        <v>0</v>
      </c>
      <c r="W18" s="4"/>
      <c r="X18" s="22">
        <f t="shared" ref="X18:X29" si="6">+P18-T18</f>
        <v>-54044.070000000007</v>
      </c>
      <c r="Y18" s="4"/>
      <c r="Z18" s="36">
        <f t="shared" ref="Z18:Z29" si="7">IF(T18=0,0,X18/T18)</f>
        <v>-0.14987291573020481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11286.69</v>
      </c>
      <c r="E19" s="1"/>
      <c r="F19" s="5">
        <f t="shared" si="0"/>
        <v>0</v>
      </c>
      <c r="G19" s="1"/>
      <c r="H19" s="1">
        <f>SUM(OSRRefH22_0x_0)</f>
        <v>12132.760000000002</v>
      </c>
      <c r="I19" s="1"/>
      <c r="J19" s="5">
        <f t="shared" si="1"/>
        <v>0</v>
      </c>
      <c r="K19" s="1"/>
      <c r="L19" s="1">
        <f t="shared" si="2"/>
        <v>-846.07000000000153</v>
      </c>
      <c r="M19" s="1"/>
      <c r="N19" s="5">
        <f t="shared" si="3"/>
        <v>-6.9734339095144177E-2</v>
      </c>
      <c r="O19" s="13"/>
      <c r="P19" s="1">
        <f>SUM(OSRRefP22_0x_0)</f>
        <v>77088.929999999993</v>
      </c>
      <c r="Q19" s="1"/>
      <c r="R19" s="5">
        <f t="shared" si="4"/>
        <v>0</v>
      </c>
      <c r="S19" s="1"/>
      <c r="T19" s="1">
        <f>SUM(OSRRefT22_0x_0)</f>
        <v>78057.66</v>
      </c>
      <c r="U19" s="1"/>
      <c r="V19" s="5">
        <f t="shared" si="5"/>
        <v>0</v>
      </c>
      <c r="W19" s="1"/>
      <c r="X19" s="1">
        <f t="shared" si="6"/>
        <v>-968.73000000001048</v>
      </c>
      <c r="Y19" s="1"/>
      <c r="Z19" s="5">
        <f t="shared" si="7"/>
        <v>-1.2410441204617336E-2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1398.36</v>
      </c>
      <c r="E20" s="2"/>
      <c r="F20" s="6">
        <f t="shared" si="0"/>
        <v>0</v>
      </c>
      <c r="G20" s="2"/>
      <c r="H20" s="7">
        <v>1753.63</v>
      </c>
      <c r="I20" s="2"/>
      <c r="J20" s="6">
        <f t="shared" si="1"/>
        <v>0</v>
      </c>
      <c r="K20" s="2"/>
      <c r="L20" s="7">
        <f t="shared" si="2"/>
        <v>-355.27000000000021</v>
      </c>
      <c r="M20" s="2"/>
      <c r="N20" s="6">
        <f t="shared" si="3"/>
        <v>-0.20259119654659202</v>
      </c>
      <c r="O20" s="11"/>
      <c r="P20" s="7">
        <v>11290.57</v>
      </c>
      <c r="Q20" s="2"/>
      <c r="R20" s="6">
        <f t="shared" si="4"/>
        <v>0</v>
      </c>
      <c r="S20" s="2"/>
      <c r="T20" s="7">
        <v>13106.96</v>
      </c>
      <c r="U20" s="2"/>
      <c r="V20" s="6">
        <f t="shared" si="5"/>
        <v>0</v>
      </c>
      <c r="W20" s="2"/>
      <c r="X20" s="7">
        <f t="shared" si="6"/>
        <v>-1816.3899999999994</v>
      </c>
      <c r="Y20" s="2"/>
      <c r="Z20" s="6">
        <f t="shared" si="7"/>
        <v>-0.13858209684015207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194.42</v>
      </c>
      <c r="E21" s="2"/>
      <c r="F21" s="6">
        <f t="shared" si="0"/>
        <v>0</v>
      </c>
      <c r="G21" s="2"/>
      <c r="H21" s="7">
        <v>125.39</v>
      </c>
      <c r="I21" s="2"/>
      <c r="J21" s="6">
        <f t="shared" si="1"/>
        <v>0</v>
      </c>
      <c r="K21" s="2"/>
      <c r="L21" s="7">
        <f t="shared" si="2"/>
        <v>69.029999999999987</v>
      </c>
      <c r="M21" s="2"/>
      <c r="N21" s="6">
        <f t="shared" si="3"/>
        <v>0.55052237020496042</v>
      </c>
      <c r="O21" s="11"/>
      <c r="P21" s="7">
        <v>673.56</v>
      </c>
      <c r="Q21" s="2"/>
      <c r="R21" s="6">
        <f t="shared" si="4"/>
        <v>0</v>
      </c>
      <c r="S21" s="2"/>
      <c r="T21" s="7">
        <v>458.5</v>
      </c>
      <c r="U21" s="2"/>
      <c r="V21" s="6">
        <f t="shared" si="5"/>
        <v>0</v>
      </c>
      <c r="W21" s="2"/>
      <c r="X21" s="7">
        <f t="shared" si="6"/>
        <v>215.05999999999995</v>
      </c>
      <c r="Y21" s="2"/>
      <c r="Z21" s="6">
        <f t="shared" si="7"/>
        <v>0.46905125408942189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5541.03</v>
      </c>
      <c r="E22" s="2"/>
      <c r="F22" s="6">
        <f t="shared" si="0"/>
        <v>0</v>
      </c>
      <c r="G22" s="2"/>
      <c r="H22" s="7">
        <v>5268.48</v>
      </c>
      <c r="I22" s="2"/>
      <c r="J22" s="6">
        <f t="shared" si="1"/>
        <v>0</v>
      </c>
      <c r="K22" s="2"/>
      <c r="L22" s="7">
        <f t="shared" si="2"/>
        <v>272.55000000000018</v>
      </c>
      <c r="M22" s="2"/>
      <c r="N22" s="6">
        <f t="shared" si="3"/>
        <v>5.1732188411078753E-2</v>
      </c>
      <c r="O22" s="11"/>
      <c r="P22" s="7">
        <v>33380.380000000005</v>
      </c>
      <c r="Q22" s="2"/>
      <c r="R22" s="6">
        <f t="shared" si="4"/>
        <v>0</v>
      </c>
      <c r="S22" s="2"/>
      <c r="T22" s="7">
        <v>30975.779999999995</v>
      </c>
      <c r="U22" s="2"/>
      <c r="V22" s="6">
        <f t="shared" si="5"/>
        <v>0</v>
      </c>
      <c r="W22" s="2"/>
      <c r="X22" s="7">
        <f t="shared" si="6"/>
        <v>2404.6000000000095</v>
      </c>
      <c r="Y22" s="2"/>
      <c r="Z22" s="6">
        <f t="shared" si="7"/>
        <v>7.7628392247104341E-2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95.89</v>
      </c>
      <c r="I23" s="2"/>
      <c r="J23" s="6">
        <f t="shared" si="1"/>
        <v>0</v>
      </c>
      <c r="K23" s="2"/>
      <c r="L23" s="7">
        <f t="shared" si="2"/>
        <v>-95.89</v>
      </c>
      <c r="M23" s="2"/>
      <c r="N23" s="6">
        <f t="shared" si="3"/>
        <v>-1</v>
      </c>
      <c r="O23" s="11"/>
      <c r="P23" s="7">
        <v>338.33</v>
      </c>
      <c r="Q23" s="2"/>
      <c r="R23" s="6">
        <f t="shared" si="4"/>
        <v>0</v>
      </c>
      <c r="S23" s="2"/>
      <c r="T23" s="7">
        <v>476.5</v>
      </c>
      <c r="U23" s="2"/>
      <c r="V23" s="6">
        <f t="shared" si="5"/>
        <v>0</v>
      </c>
      <c r="W23" s="2"/>
      <c r="X23" s="7">
        <f t="shared" si="6"/>
        <v>-138.17000000000002</v>
      </c>
      <c r="Y23" s="2"/>
      <c r="Z23" s="6">
        <f t="shared" si="7"/>
        <v>-0.28996852046169991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1861.21</v>
      </c>
      <c r="E24" s="2"/>
      <c r="F24" s="6">
        <f t="shared" si="0"/>
        <v>0</v>
      </c>
      <c r="G24" s="2"/>
      <c r="H24" s="7">
        <v>1339.05</v>
      </c>
      <c r="I24" s="2"/>
      <c r="J24" s="6">
        <f t="shared" si="1"/>
        <v>0</v>
      </c>
      <c r="K24" s="2"/>
      <c r="L24" s="7">
        <f t="shared" si="2"/>
        <v>522.16000000000008</v>
      </c>
      <c r="M24" s="2"/>
      <c r="N24" s="6">
        <f t="shared" si="3"/>
        <v>0.38994809753183235</v>
      </c>
      <c r="O24" s="11"/>
      <c r="P24" s="7">
        <v>13553.09</v>
      </c>
      <c r="Q24" s="2"/>
      <c r="R24" s="6">
        <f t="shared" si="4"/>
        <v>0</v>
      </c>
      <c r="S24" s="2"/>
      <c r="T24" s="7">
        <v>9775.06</v>
      </c>
      <c r="U24" s="2"/>
      <c r="V24" s="6">
        <f t="shared" si="5"/>
        <v>0</v>
      </c>
      <c r="W24" s="2"/>
      <c r="X24" s="7">
        <f t="shared" si="6"/>
        <v>3778.0300000000007</v>
      </c>
      <c r="Y24" s="2"/>
      <c r="Z24" s="6">
        <f t="shared" si="7"/>
        <v>0.38649686037732767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134</v>
      </c>
      <c r="I25" s="2"/>
      <c r="J25" s="6">
        <f t="shared" si="1"/>
        <v>0</v>
      </c>
      <c r="K25" s="2"/>
      <c r="L25" s="7">
        <f t="shared" si="2"/>
        <v>-134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134</v>
      </c>
      <c r="U25" s="2"/>
      <c r="V25" s="6">
        <f t="shared" si="5"/>
        <v>0</v>
      </c>
      <c r="W25" s="2"/>
      <c r="X25" s="7">
        <f t="shared" si="6"/>
        <v>-134</v>
      </c>
      <c r="Y25" s="2"/>
      <c r="Z25" s="6">
        <f t="shared" si="7"/>
        <v>-1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/>
      <c r="E26" s="2"/>
      <c r="F26" s="6">
        <f t="shared" si="0"/>
        <v>0</v>
      </c>
      <c r="G26" s="2"/>
      <c r="H26" s="7">
        <v>367.14</v>
      </c>
      <c r="I26" s="2"/>
      <c r="J26" s="6">
        <f t="shared" si="1"/>
        <v>0</v>
      </c>
      <c r="K26" s="2"/>
      <c r="L26" s="7">
        <f t="shared" si="2"/>
        <v>-367.14</v>
      </c>
      <c r="M26" s="2"/>
      <c r="N26" s="6">
        <f t="shared" si="3"/>
        <v>-1</v>
      </c>
      <c r="O26" s="11"/>
      <c r="P26" s="7">
        <v>912.28</v>
      </c>
      <c r="Q26" s="2"/>
      <c r="R26" s="6">
        <f t="shared" si="4"/>
        <v>0</v>
      </c>
      <c r="S26" s="2"/>
      <c r="T26" s="7">
        <v>2391.41</v>
      </c>
      <c r="U26" s="2"/>
      <c r="V26" s="6">
        <f t="shared" si="5"/>
        <v>0</v>
      </c>
      <c r="W26" s="2"/>
      <c r="X26" s="7">
        <f t="shared" si="6"/>
        <v>-1479.1299999999999</v>
      </c>
      <c r="Y26" s="2"/>
      <c r="Z26" s="6">
        <f t="shared" si="7"/>
        <v>-0.61851794547986338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7">
        <v>1345.28</v>
      </c>
      <c r="E27" s="2"/>
      <c r="F27" s="6">
        <f t="shared" si="0"/>
        <v>0</v>
      </c>
      <c r="G27" s="2"/>
      <c r="H27" s="7">
        <v>1408.62</v>
      </c>
      <c r="I27" s="2"/>
      <c r="J27" s="6">
        <f t="shared" si="1"/>
        <v>0</v>
      </c>
      <c r="K27" s="2"/>
      <c r="L27" s="7">
        <f t="shared" si="2"/>
        <v>-63.339999999999918</v>
      </c>
      <c r="M27" s="2"/>
      <c r="N27" s="6">
        <f t="shared" si="3"/>
        <v>-4.4965995087390444E-2</v>
      </c>
      <c r="O27" s="11"/>
      <c r="P27" s="7">
        <v>9391.1200000000008</v>
      </c>
      <c r="Q27" s="2"/>
      <c r="R27" s="6">
        <f t="shared" si="4"/>
        <v>0</v>
      </c>
      <c r="S27" s="2"/>
      <c r="T27" s="7">
        <v>10170.799999999999</v>
      </c>
      <c r="U27" s="2"/>
      <c r="V27" s="6">
        <f t="shared" si="5"/>
        <v>0</v>
      </c>
      <c r="W27" s="2"/>
      <c r="X27" s="7">
        <f t="shared" si="6"/>
        <v>-779.67999999999847</v>
      </c>
      <c r="Y27" s="2"/>
      <c r="Z27" s="6">
        <f t="shared" si="7"/>
        <v>-7.6658669917803762E-2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7">
        <v>844.06</v>
      </c>
      <c r="E28" s="2"/>
      <c r="F28" s="6">
        <f t="shared" si="0"/>
        <v>0</v>
      </c>
      <c r="G28" s="2"/>
      <c r="H28" s="7">
        <v>941.7</v>
      </c>
      <c r="I28" s="2"/>
      <c r="J28" s="6">
        <f t="shared" si="1"/>
        <v>0</v>
      </c>
      <c r="K28" s="2"/>
      <c r="L28" s="7">
        <f t="shared" si="2"/>
        <v>-97.6400000000001</v>
      </c>
      <c r="M28" s="2"/>
      <c r="N28" s="6">
        <f t="shared" si="3"/>
        <v>-0.10368482531591812</v>
      </c>
      <c r="O28" s="11"/>
      <c r="P28" s="7">
        <v>6261.29</v>
      </c>
      <c r="Q28" s="2"/>
      <c r="R28" s="6">
        <f t="shared" si="4"/>
        <v>0</v>
      </c>
      <c r="S28" s="2"/>
      <c r="T28" s="7">
        <v>6806.66</v>
      </c>
      <c r="U28" s="2"/>
      <c r="V28" s="6">
        <f t="shared" si="5"/>
        <v>0</v>
      </c>
      <c r="W28" s="2"/>
      <c r="X28" s="7">
        <f t="shared" si="6"/>
        <v>-545.36999999999989</v>
      </c>
      <c r="Y28" s="2"/>
      <c r="Z28" s="6">
        <f t="shared" si="7"/>
        <v>-8.0122997182171571E-2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7">
        <v>102.33</v>
      </c>
      <c r="E29" s="2"/>
      <c r="F29" s="6">
        <f t="shared" si="0"/>
        <v>0</v>
      </c>
      <c r="G29" s="2"/>
      <c r="H29" s="7">
        <v>698.86</v>
      </c>
      <c r="I29" s="2"/>
      <c r="J29" s="6">
        <f t="shared" si="1"/>
        <v>0</v>
      </c>
      <c r="K29" s="2"/>
      <c r="L29" s="7">
        <f t="shared" si="2"/>
        <v>-596.53</v>
      </c>
      <c r="M29" s="2"/>
      <c r="N29" s="6">
        <f t="shared" si="3"/>
        <v>-0.85357582348395955</v>
      </c>
      <c r="O29" s="11"/>
      <c r="P29" s="7">
        <v>1288.31</v>
      </c>
      <c r="Q29" s="2"/>
      <c r="R29" s="6">
        <f t="shared" si="4"/>
        <v>0</v>
      </c>
      <c r="S29" s="2"/>
      <c r="T29" s="7">
        <v>3761.99</v>
      </c>
      <c r="U29" s="2"/>
      <c r="V29" s="6">
        <f t="shared" si="5"/>
        <v>0</v>
      </c>
      <c r="W29" s="2"/>
      <c r="X29" s="7">
        <f t="shared" si="6"/>
        <v>-2473.6799999999998</v>
      </c>
      <c r="Y29" s="2"/>
      <c r="Z29" s="6">
        <f t="shared" si="7"/>
        <v>-0.6575456075109184</v>
      </c>
    </row>
    <row r="30" spans="1:26" s="25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16907.8</v>
      </c>
      <c r="E30" s="1"/>
      <c r="F30" s="5">
        <f t="shared" ref="F30:F35" si="8">IF(D$12=0,0,D30/D$12)</f>
        <v>0</v>
      </c>
      <c r="G30" s="1"/>
      <c r="H30" s="1">
        <f>SUM(OSRRefH22_1x_0)</f>
        <v>23163.16</v>
      </c>
      <c r="I30" s="1"/>
      <c r="J30" s="5">
        <f t="shared" ref="J30:J35" si="9">IF(H$12=0,0,H30/H$12)</f>
        <v>0</v>
      </c>
      <c r="K30" s="1"/>
      <c r="L30" s="1">
        <f t="shared" ref="L30:L35" si="10">+D30-H30</f>
        <v>-6255.3600000000006</v>
      </c>
      <c r="M30" s="1"/>
      <c r="N30" s="5">
        <f t="shared" ref="N30:N35" si="11">IF(H30=0,0,L30/H30)</f>
        <v>-0.27005641717278644</v>
      </c>
      <c r="O30" s="13"/>
      <c r="P30" s="1">
        <f>SUM(OSRRefP22_1x_0)</f>
        <v>124226.35</v>
      </c>
      <c r="Q30" s="1"/>
      <c r="R30" s="5">
        <f t="shared" ref="R30:R35" si="12">IF(P$12=0,0,P30/P$12)</f>
        <v>0</v>
      </c>
      <c r="S30" s="1"/>
      <c r="T30" s="1">
        <f>SUM(OSRRefT22_1x_0)</f>
        <v>156153.51999999999</v>
      </c>
      <c r="U30" s="1"/>
      <c r="V30" s="5">
        <f t="shared" ref="V30:V35" si="13">IF(T$12=0,0,T30/T$12)</f>
        <v>0</v>
      </c>
      <c r="W30" s="1"/>
      <c r="X30" s="1">
        <f t="shared" ref="X30:X35" si="14">+P30-T30</f>
        <v>-31927.169999999984</v>
      </c>
      <c r="Y30" s="1"/>
      <c r="Z30" s="5">
        <f t="shared" ref="Z30:Z35" si="15">IF(T30=0,0,X30/T30)</f>
        <v>-0.20446013640934887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7">
        <v>16907.8</v>
      </c>
      <c r="E31" s="2"/>
      <c r="F31" s="6">
        <f t="shared" si="8"/>
        <v>0</v>
      </c>
      <c r="G31" s="2"/>
      <c r="H31" s="7">
        <v>12148.8</v>
      </c>
      <c r="I31" s="2"/>
      <c r="J31" s="6">
        <f t="shared" si="9"/>
        <v>0</v>
      </c>
      <c r="K31" s="2"/>
      <c r="L31" s="7">
        <f t="shared" si="10"/>
        <v>4759</v>
      </c>
      <c r="M31" s="2"/>
      <c r="N31" s="6">
        <f t="shared" si="11"/>
        <v>0.3917259317792704</v>
      </c>
      <c r="O31" s="11"/>
      <c r="P31" s="7">
        <v>110013.11</v>
      </c>
      <c r="Q31" s="2"/>
      <c r="R31" s="6">
        <f t="shared" si="12"/>
        <v>0</v>
      </c>
      <c r="S31" s="2"/>
      <c r="T31" s="7">
        <v>74762.599999999991</v>
      </c>
      <c r="U31" s="2"/>
      <c r="V31" s="6">
        <f t="shared" si="13"/>
        <v>0</v>
      </c>
      <c r="W31" s="2"/>
      <c r="X31" s="7">
        <f t="shared" si="14"/>
        <v>35250.510000000009</v>
      </c>
      <c r="Y31" s="2"/>
      <c r="Z31" s="6">
        <f t="shared" si="15"/>
        <v>0.47149925229994694</v>
      </c>
    </row>
    <row r="32" spans="1:26" s="24" customFormat="1" hidden="1" outlineLevel="2" x14ac:dyDescent="0.25">
      <c r="A32" s="27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6799.61</v>
      </c>
      <c r="I32" s="2"/>
      <c r="J32" s="6">
        <f t="shared" si="9"/>
        <v>0</v>
      </c>
      <c r="K32" s="2"/>
      <c r="L32" s="7">
        <f t="shared" si="10"/>
        <v>-6799.61</v>
      </c>
      <c r="M32" s="2"/>
      <c r="N32" s="6">
        <f t="shared" si="11"/>
        <v>-1</v>
      </c>
      <c r="O32" s="11"/>
      <c r="P32" s="7">
        <v>14213.24</v>
      </c>
      <c r="Q32" s="2"/>
      <c r="R32" s="6">
        <f t="shared" si="12"/>
        <v>0</v>
      </c>
      <c r="S32" s="2"/>
      <c r="T32" s="7">
        <v>47153.66</v>
      </c>
      <c r="U32" s="2"/>
      <c r="V32" s="6">
        <f t="shared" si="13"/>
        <v>0</v>
      </c>
      <c r="W32" s="2"/>
      <c r="X32" s="7">
        <f t="shared" si="14"/>
        <v>-32940.420000000006</v>
      </c>
      <c r="Y32" s="2"/>
      <c r="Z32" s="6">
        <f t="shared" si="15"/>
        <v>-0.69857610204594944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2103.75</v>
      </c>
      <c r="I33" s="2"/>
      <c r="J33" s="6">
        <f t="shared" si="9"/>
        <v>0</v>
      </c>
      <c r="K33" s="2"/>
      <c r="L33" s="7">
        <f t="shared" si="10"/>
        <v>-2103.75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15125.249999999998</v>
      </c>
      <c r="U33" s="2"/>
      <c r="V33" s="6">
        <f t="shared" si="13"/>
        <v>0</v>
      </c>
      <c r="W33" s="2"/>
      <c r="X33" s="7">
        <f t="shared" si="14"/>
        <v>-15125.249999999998</v>
      </c>
      <c r="Y33" s="2"/>
      <c r="Z33" s="6">
        <f t="shared" si="15"/>
        <v>-1</v>
      </c>
    </row>
    <row r="34" spans="1:26" s="24" customFormat="1" hidden="1" outlineLevel="2" x14ac:dyDescent="0.25">
      <c r="A34" s="27"/>
      <c r="B34" s="11" t="str">
        <f>CONCATENATE("          ", "6007", " - ", "STUDENT HOURLY")</f>
        <v xml:space="preserve">          6007 - STUDENT HOURLY</v>
      </c>
      <c r="C34" s="11"/>
      <c r="D34" s="7"/>
      <c r="E34" s="2"/>
      <c r="F34" s="6">
        <f t="shared" si="8"/>
        <v>0</v>
      </c>
      <c r="G34" s="2"/>
      <c r="H34" s="7">
        <v>2111</v>
      </c>
      <c r="I34" s="2"/>
      <c r="J34" s="6">
        <f t="shared" si="9"/>
        <v>0</v>
      </c>
      <c r="K34" s="2"/>
      <c r="L34" s="7">
        <f t="shared" si="10"/>
        <v>-2111</v>
      </c>
      <c r="M34" s="2"/>
      <c r="N34" s="6">
        <f t="shared" si="11"/>
        <v>-1</v>
      </c>
      <c r="O34" s="11"/>
      <c r="P34" s="7">
        <v>0</v>
      </c>
      <c r="Q34" s="2"/>
      <c r="R34" s="6">
        <f t="shared" si="12"/>
        <v>0</v>
      </c>
      <c r="S34" s="2"/>
      <c r="T34" s="7">
        <v>16592.009999999998</v>
      </c>
      <c r="U34" s="2"/>
      <c r="V34" s="6">
        <f t="shared" si="13"/>
        <v>0</v>
      </c>
      <c r="W34" s="2"/>
      <c r="X34" s="7">
        <f t="shared" si="14"/>
        <v>-16592.009999999998</v>
      </c>
      <c r="Y34" s="2"/>
      <c r="Z34" s="6">
        <f t="shared" si="15"/>
        <v>-1</v>
      </c>
    </row>
    <row r="35" spans="1:26" s="24" customFormat="1" hidden="1" outlineLevel="2" x14ac:dyDescent="0.25">
      <c r="A35" s="27"/>
      <c r="B35" s="11" t="str">
        <f>CONCATENATE("          ", "6008", " - ", "STUDENT HOURLY-FICA EXEMPT")</f>
        <v xml:space="preserve">          6008 - STUDENT HOURLY-FICA EXEMPT</v>
      </c>
      <c r="C35" s="11"/>
      <c r="D35" s="7"/>
      <c r="E35" s="2"/>
      <c r="F35" s="6">
        <f t="shared" si="8"/>
        <v>0</v>
      </c>
      <c r="G35" s="2"/>
      <c r="H35" s="7"/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2520</v>
      </c>
      <c r="U35" s="2"/>
      <c r="V35" s="6">
        <f t="shared" si="13"/>
        <v>0</v>
      </c>
      <c r="W35" s="2"/>
      <c r="X35" s="7">
        <f t="shared" si="14"/>
        <v>-2520</v>
      </c>
      <c r="Y35" s="2"/>
      <c r="Z35" s="6">
        <f t="shared" si="15"/>
        <v>-1</v>
      </c>
    </row>
    <row r="36" spans="1:26" s="25" customFormat="1" outlineLevel="1" collapsed="1" x14ac:dyDescent="0.25">
      <c r="A36" s="26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7" si="16">IF(D$12=0,0,D36/D$12)</f>
        <v>0</v>
      </c>
      <c r="G36" s="1"/>
      <c r="H36" s="1">
        <f>SUM(OSRRefH22_2x_0)</f>
        <v>0</v>
      </c>
      <c r="I36" s="1"/>
      <c r="J36" s="5">
        <f t="shared" ref="J36:J47" si="17">IF(H$12=0,0,H36/H$12)</f>
        <v>0</v>
      </c>
      <c r="K36" s="1"/>
      <c r="L36" s="1">
        <f t="shared" ref="L36:L47" si="18">+D36-H36</f>
        <v>0</v>
      </c>
      <c r="M36" s="1"/>
      <c r="N36" s="5">
        <f t="shared" ref="N36:N47" si="19">IF(H36=0,0,L36/H36)</f>
        <v>0</v>
      </c>
      <c r="O36" s="13"/>
      <c r="P36" s="1">
        <f>SUM(OSRRefP22_2x_0)</f>
        <v>0</v>
      </c>
      <c r="Q36" s="1"/>
      <c r="R36" s="5">
        <f t="shared" ref="R36:R47" si="20">IF(P$12=0,0,P36/P$12)</f>
        <v>0</v>
      </c>
      <c r="S36" s="1"/>
      <c r="T36" s="1">
        <f>SUM(OSRRefT22_2x_0)</f>
        <v>9.99</v>
      </c>
      <c r="U36" s="1"/>
      <c r="V36" s="5">
        <f t="shared" ref="V36:V47" si="21">IF(T$12=0,0,T36/T$12)</f>
        <v>0</v>
      </c>
      <c r="W36" s="1"/>
      <c r="X36" s="1">
        <f t="shared" ref="X36:X47" si="22">+P36-T36</f>
        <v>-9.99</v>
      </c>
      <c r="Y36" s="1"/>
      <c r="Z36" s="5">
        <f t="shared" ref="Z36:Z47" si="23">IF(T36=0,0,X36/T36)</f>
        <v>-1</v>
      </c>
    </row>
    <row r="37" spans="1:26" s="24" customFormat="1" hidden="1" outlineLevel="2" x14ac:dyDescent="0.25">
      <c r="A37" s="27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16"/>
        <v>0</v>
      </c>
      <c r="G37" s="2"/>
      <c r="H37" s="7"/>
      <c r="I37" s="2"/>
      <c r="J37" s="6">
        <f t="shared" si="17"/>
        <v>0</v>
      </c>
      <c r="K37" s="2"/>
      <c r="L37" s="7">
        <f t="shared" si="18"/>
        <v>0</v>
      </c>
      <c r="M37" s="2"/>
      <c r="N37" s="6">
        <f t="shared" si="19"/>
        <v>0</v>
      </c>
      <c r="O37" s="11"/>
      <c r="P37" s="7"/>
      <c r="Q37" s="2"/>
      <c r="R37" s="6">
        <f t="shared" si="20"/>
        <v>0</v>
      </c>
      <c r="S37" s="2"/>
      <c r="T37" s="7">
        <v>9.99</v>
      </c>
      <c r="U37" s="2"/>
      <c r="V37" s="6">
        <f t="shared" si="21"/>
        <v>0</v>
      </c>
      <c r="W37" s="2"/>
      <c r="X37" s="7">
        <f t="shared" si="22"/>
        <v>-9.99</v>
      </c>
      <c r="Y37" s="2"/>
      <c r="Z37" s="6">
        <f t="shared" si="23"/>
        <v>-1</v>
      </c>
    </row>
    <row r="38" spans="1:26" s="25" customFormat="1" outlineLevel="1" collapsed="1" x14ac:dyDescent="0.25">
      <c r="A38" s="26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4994.03</v>
      </c>
      <c r="E38" s="1"/>
      <c r="F38" s="5">
        <f t="shared" si="16"/>
        <v>0</v>
      </c>
      <c r="G38" s="1"/>
      <c r="H38" s="1">
        <f>SUM(OSRRefH22_3x_0)</f>
        <v>6175.97</v>
      </c>
      <c r="I38" s="1"/>
      <c r="J38" s="5">
        <f t="shared" si="17"/>
        <v>0</v>
      </c>
      <c r="K38" s="1"/>
      <c r="L38" s="1">
        <f t="shared" si="18"/>
        <v>-1181.9400000000005</v>
      </c>
      <c r="M38" s="1"/>
      <c r="N38" s="5">
        <f t="shared" si="19"/>
        <v>-0.19137722495413684</v>
      </c>
      <c r="O38" s="13"/>
      <c r="P38" s="1">
        <f>SUM(OSRRefP22_3x_0)</f>
        <v>31534.700000000004</v>
      </c>
      <c r="Q38" s="1"/>
      <c r="R38" s="5">
        <f t="shared" si="20"/>
        <v>0</v>
      </c>
      <c r="S38" s="1"/>
      <c r="T38" s="1">
        <f>SUM(OSRRefT22_3x_0)</f>
        <v>37055.82</v>
      </c>
      <c r="U38" s="1"/>
      <c r="V38" s="5">
        <f t="shared" si="21"/>
        <v>0</v>
      </c>
      <c r="W38" s="1"/>
      <c r="X38" s="1">
        <f t="shared" si="22"/>
        <v>-5521.1199999999953</v>
      </c>
      <c r="Y38" s="1"/>
      <c r="Z38" s="5">
        <f t="shared" si="23"/>
        <v>-0.14899467883857367</v>
      </c>
    </row>
    <row r="39" spans="1:26" s="24" customFormat="1" hidden="1" outlineLevel="2" x14ac:dyDescent="0.25">
      <c r="A39" s="27"/>
      <c r="B39" s="11" t="str">
        <f>CONCATENATE("          ", "6322", " - ", "EQUIPMENT DEPRECIATION EXPENSE")</f>
        <v xml:space="preserve">          6322 - EQUIPMENT DEPRECIATION EXPENSE</v>
      </c>
      <c r="C39" s="11"/>
      <c r="D39" s="7">
        <v>4994.03</v>
      </c>
      <c r="E39" s="2"/>
      <c r="F39" s="6">
        <f t="shared" si="16"/>
        <v>0</v>
      </c>
      <c r="G39" s="2"/>
      <c r="H39" s="7">
        <v>6175.97</v>
      </c>
      <c r="I39" s="2"/>
      <c r="J39" s="6">
        <f t="shared" si="17"/>
        <v>0</v>
      </c>
      <c r="K39" s="2"/>
      <c r="L39" s="7">
        <f t="shared" si="18"/>
        <v>-1181.9400000000005</v>
      </c>
      <c r="M39" s="2"/>
      <c r="N39" s="6">
        <f t="shared" si="19"/>
        <v>-0.19137722495413684</v>
      </c>
      <c r="O39" s="11"/>
      <c r="P39" s="7">
        <v>31534.700000000004</v>
      </c>
      <c r="Q39" s="2"/>
      <c r="R39" s="6">
        <f t="shared" si="20"/>
        <v>0</v>
      </c>
      <c r="S39" s="2"/>
      <c r="T39" s="7">
        <v>37055.82</v>
      </c>
      <c r="U39" s="2"/>
      <c r="V39" s="6">
        <f t="shared" si="21"/>
        <v>0</v>
      </c>
      <c r="W39" s="2"/>
      <c r="X39" s="7">
        <f t="shared" si="22"/>
        <v>-5521.1199999999953</v>
      </c>
      <c r="Y39" s="2"/>
      <c r="Z39" s="6">
        <f t="shared" si="23"/>
        <v>-0.14899467883857367</v>
      </c>
    </row>
    <row r="40" spans="1:26" s="25" customFormat="1" outlineLevel="1" collapsed="1" x14ac:dyDescent="0.25">
      <c r="A40" s="26"/>
      <c r="B40" s="13" t="str">
        <f>CONCATENATE("     ","Freight out/Postage                               ")</f>
        <v xml:space="preserve">     Freight out/Postage                               </v>
      </c>
      <c r="C40" s="13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0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3"/>
      <c r="P40" s="1">
        <f>SUM(OSRRefP22_4x_0)</f>
        <v>5.7</v>
      </c>
      <c r="Q40" s="1"/>
      <c r="R40" s="5">
        <f t="shared" si="20"/>
        <v>0</v>
      </c>
      <c r="S40" s="1"/>
      <c r="T40" s="1">
        <f>SUM(OSRRefT22_4x_0)</f>
        <v>0</v>
      </c>
      <c r="U40" s="1"/>
      <c r="V40" s="5">
        <f t="shared" si="21"/>
        <v>0</v>
      </c>
      <c r="W40" s="1"/>
      <c r="X40" s="1">
        <f t="shared" si="22"/>
        <v>5.7</v>
      </c>
      <c r="Y40" s="1"/>
      <c r="Z40" s="5">
        <f t="shared" si="23"/>
        <v>0</v>
      </c>
    </row>
    <row r="41" spans="1:26" s="24" customFormat="1" hidden="1" outlineLevel="2" x14ac:dyDescent="0.25">
      <c r="A41" s="27"/>
      <c r="B41" s="11" t="str">
        <f>CONCATENATE("          ", "6307", " - ", "POSTAGE")</f>
        <v xml:space="preserve">          6307 - POSTAGE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5.7</v>
      </c>
      <c r="Q41" s="2"/>
      <c r="R41" s="6">
        <f t="shared" si="20"/>
        <v>0</v>
      </c>
      <c r="S41" s="2"/>
      <c r="T41" s="7"/>
      <c r="U41" s="2"/>
      <c r="V41" s="6">
        <f t="shared" si="21"/>
        <v>0</v>
      </c>
      <c r="W41" s="2"/>
      <c r="X41" s="7">
        <f t="shared" si="22"/>
        <v>5.7</v>
      </c>
      <c r="Y41" s="2"/>
      <c r="Z41" s="6">
        <f t="shared" si="23"/>
        <v>0</v>
      </c>
    </row>
    <row r="42" spans="1:26" s="25" customFormat="1" outlineLevel="1" collapsed="1" x14ac:dyDescent="0.25">
      <c r="A42" s="26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SUM(OSRRefD22_5x_0)</f>
        <v>56.34</v>
      </c>
      <c r="E42" s="1"/>
      <c r="F42" s="5">
        <f t="shared" si="16"/>
        <v>0</v>
      </c>
      <c r="G42" s="1"/>
      <c r="H42" s="1">
        <f>SUM(OSRRefH22_5x_0)</f>
        <v>56.34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SUM(OSRRefP22_5x_0)</f>
        <v>338.04</v>
      </c>
      <c r="Q42" s="1"/>
      <c r="R42" s="5">
        <f t="shared" si="20"/>
        <v>0</v>
      </c>
      <c r="S42" s="1"/>
      <c r="T42" s="1">
        <f>SUM(OSRRefT22_5x_0)</f>
        <v>338.04</v>
      </c>
      <c r="U42" s="1"/>
      <c r="V42" s="5">
        <f t="shared" si="21"/>
        <v>0</v>
      </c>
      <c r="W42" s="1"/>
      <c r="X42" s="1">
        <f t="shared" si="22"/>
        <v>0</v>
      </c>
      <c r="Y42" s="1"/>
      <c r="Z42" s="5">
        <f t="shared" si="23"/>
        <v>0</v>
      </c>
    </row>
    <row r="43" spans="1:26" s="24" customFormat="1" hidden="1" outlineLevel="2" x14ac:dyDescent="0.25">
      <c r="A43" s="27"/>
      <c r="B43" s="11" t="str">
        <f>CONCATENATE("          ", "6314", " - ", "LIABILITY INSURANCE")</f>
        <v xml:space="preserve">          6314 - LIABILITY INSURANCE</v>
      </c>
      <c r="C43" s="11"/>
      <c r="D43" s="7">
        <v>56.34</v>
      </c>
      <c r="E43" s="2"/>
      <c r="F43" s="6">
        <f t="shared" si="16"/>
        <v>0</v>
      </c>
      <c r="G43" s="2"/>
      <c r="H43" s="7">
        <v>56.34</v>
      </c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>
        <v>338.04</v>
      </c>
      <c r="Q43" s="2"/>
      <c r="R43" s="6">
        <f t="shared" si="20"/>
        <v>0</v>
      </c>
      <c r="S43" s="2"/>
      <c r="T43" s="7">
        <v>338.04</v>
      </c>
      <c r="U43" s="2"/>
      <c r="V43" s="6">
        <f t="shared" si="21"/>
        <v>0</v>
      </c>
      <c r="W43" s="2"/>
      <c r="X43" s="7">
        <f t="shared" si="22"/>
        <v>0</v>
      </c>
      <c r="Y43" s="2"/>
      <c r="Z43" s="6">
        <f t="shared" si="23"/>
        <v>0</v>
      </c>
    </row>
    <row r="44" spans="1:26" s="25" customFormat="1" outlineLevel="1" collapsed="1" x14ac:dyDescent="0.25">
      <c r="A44" s="26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SUM(OSRRefD22_6x_0)</f>
        <v>10572</v>
      </c>
      <c r="E44" s="1"/>
      <c r="F44" s="5">
        <f t="shared" si="16"/>
        <v>0</v>
      </c>
      <c r="G44" s="1"/>
      <c r="H44" s="1">
        <f>SUM(OSRRefH22_6x_0)</f>
        <v>9691.9900000000016</v>
      </c>
      <c r="I44" s="1"/>
      <c r="J44" s="5">
        <f t="shared" si="17"/>
        <v>0</v>
      </c>
      <c r="K44" s="1"/>
      <c r="L44" s="1">
        <f t="shared" si="18"/>
        <v>880.0099999999984</v>
      </c>
      <c r="M44" s="1"/>
      <c r="N44" s="5">
        <f t="shared" si="19"/>
        <v>9.0797658685161486E-2</v>
      </c>
      <c r="O44" s="13"/>
      <c r="P44" s="1">
        <f>SUM(OSRRefP22_6x_0)</f>
        <v>71168.160000000003</v>
      </c>
      <c r="Q44" s="1"/>
      <c r="R44" s="5">
        <f t="shared" si="20"/>
        <v>0</v>
      </c>
      <c r="S44" s="1"/>
      <c r="T44" s="1">
        <f>SUM(OSRRefT22_6x_0)</f>
        <v>57354.25</v>
      </c>
      <c r="U44" s="1"/>
      <c r="V44" s="5">
        <f t="shared" si="21"/>
        <v>0</v>
      </c>
      <c r="W44" s="1"/>
      <c r="X44" s="1">
        <f t="shared" si="22"/>
        <v>13813.910000000003</v>
      </c>
      <c r="Y44" s="1"/>
      <c r="Z44" s="5">
        <f t="shared" si="23"/>
        <v>0.24085242157294365</v>
      </c>
    </row>
    <row r="45" spans="1:26" s="24" customFormat="1" hidden="1" outlineLevel="2" x14ac:dyDescent="0.25">
      <c r="A45" s="27"/>
      <c r="B45" s="11" t="str">
        <f>CONCATENATE("          ", "6371", " - ", "COMPUTER SOFTWARE MAINTENANCE")</f>
        <v xml:space="preserve">          6371 - COMPUTER SOFTWARE MAINTENANCE</v>
      </c>
      <c r="C45" s="11"/>
      <c r="D45" s="7">
        <v>-2020</v>
      </c>
      <c r="E45" s="2"/>
      <c r="F45" s="6">
        <f t="shared" si="16"/>
        <v>0</v>
      </c>
      <c r="G45" s="2"/>
      <c r="H45" s="7">
        <v>90.95</v>
      </c>
      <c r="I45" s="2"/>
      <c r="J45" s="6">
        <f t="shared" si="17"/>
        <v>0</v>
      </c>
      <c r="K45" s="2"/>
      <c r="L45" s="7">
        <f t="shared" si="18"/>
        <v>-2110.9499999999998</v>
      </c>
      <c r="M45" s="2"/>
      <c r="N45" s="6">
        <f t="shared" si="19"/>
        <v>-23.210005497526112</v>
      </c>
      <c r="O45" s="11"/>
      <c r="P45" s="7">
        <v>416.16</v>
      </c>
      <c r="Q45" s="2"/>
      <c r="R45" s="6">
        <f t="shared" si="20"/>
        <v>0</v>
      </c>
      <c r="S45" s="2"/>
      <c r="T45" s="7">
        <v>545.70000000000005</v>
      </c>
      <c r="U45" s="2"/>
      <c r="V45" s="6">
        <f t="shared" si="21"/>
        <v>0</v>
      </c>
      <c r="W45" s="2"/>
      <c r="X45" s="7">
        <f t="shared" si="22"/>
        <v>-129.54000000000002</v>
      </c>
      <c r="Y45" s="2"/>
      <c r="Z45" s="6">
        <f t="shared" si="23"/>
        <v>-0.23738317757009347</v>
      </c>
    </row>
    <row r="46" spans="1:26" s="24" customFormat="1" hidden="1" outlineLevel="2" x14ac:dyDescent="0.25">
      <c r="A46" s="27"/>
      <c r="B46" s="11" t="str">
        <f>CONCATENATE("          ", "6373", " - ", "MAINTENANCE CONTRACTS")</f>
        <v xml:space="preserve">          6373 - MAINTENANCE CONTRACTS</v>
      </c>
      <c r="C46" s="11"/>
      <c r="D46" s="7">
        <v>12592</v>
      </c>
      <c r="E46" s="2"/>
      <c r="F46" s="6">
        <f t="shared" si="16"/>
        <v>0</v>
      </c>
      <c r="G46" s="2"/>
      <c r="H46" s="7">
        <v>9506</v>
      </c>
      <c r="I46" s="2"/>
      <c r="J46" s="6">
        <f t="shared" si="17"/>
        <v>0</v>
      </c>
      <c r="K46" s="2"/>
      <c r="L46" s="7">
        <f t="shared" si="18"/>
        <v>3086</v>
      </c>
      <c r="M46" s="2"/>
      <c r="N46" s="6">
        <f t="shared" si="19"/>
        <v>0.32463707132337472</v>
      </c>
      <c r="O46" s="11"/>
      <c r="P46" s="7">
        <v>70752</v>
      </c>
      <c r="Q46" s="2"/>
      <c r="R46" s="6">
        <f t="shared" si="20"/>
        <v>0</v>
      </c>
      <c r="S46" s="2"/>
      <c r="T46" s="7">
        <v>56650.15</v>
      </c>
      <c r="U46" s="2"/>
      <c r="V46" s="6">
        <f t="shared" si="21"/>
        <v>0</v>
      </c>
      <c r="W46" s="2"/>
      <c r="X46" s="7">
        <f t="shared" si="22"/>
        <v>14101.849999999999</v>
      </c>
      <c r="Y46" s="2"/>
      <c r="Z46" s="6">
        <f t="shared" si="23"/>
        <v>0.24892873187449632</v>
      </c>
    </row>
    <row r="47" spans="1:26" s="24" customFormat="1" hidden="1" outlineLevel="2" x14ac:dyDescent="0.25">
      <c r="A47" s="27"/>
      <c r="B47" s="11" t="str">
        <f>CONCATENATE("          ", "6375", " - ", "OUTSIDE REPAIRS &amp; MAINTENANCE")</f>
        <v xml:space="preserve">          6375 - OUTSIDE REPAIRS &amp; MAINTENANCE</v>
      </c>
      <c r="C47" s="11"/>
      <c r="D47" s="7"/>
      <c r="E47" s="2"/>
      <c r="F47" s="6">
        <f t="shared" si="16"/>
        <v>0</v>
      </c>
      <c r="G47" s="2"/>
      <c r="H47" s="7">
        <v>95.04</v>
      </c>
      <c r="I47" s="2"/>
      <c r="J47" s="6">
        <f t="shared" si="17"/>
        <v>0</v>
      </c>
      <c r="K47" s="2"/>
      <c r="L47" s="7">
        <f t="shared" si="18"/>
        <v>-95.04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158.4</v>
      </c>
      <c r="U47" s="2"/>
      <c r="V47" s="6">
        <f t="shared" si="21"/>
        <v>0</v>
      </c>
      <c r="W47" s="2"/>
      <c r="X47" s="7">
        <f t="shared" si="22"/>
        <v>-158.4</v>
      </c>
      <c r="Y47" s="2"/>
      <c r="Z47" s="6">
        <f t="shared" si="23"/>
        <v>-1</v>
      </c>
    </row>
    <row r="48" spans="1:26" s="25" customFormat="1" outlineLevel="1" collapsed="1" x14ac:dyDescent="0.25">
      <c r="A48" s="26"/>
      <c r="B48" s="13" t="str">
        <f>CONCATENATE("     ","Supplies                                          ")</f>
        <v xml:space="preserve">     Supplies                                          </v>
      </c>
      <c r="C48" s="13"/>
      <c r="D48" s="1">
        <f>SUM(OSRRefD22_7x_0)</f>
        <v>0</v>
      </c>
      <c r="E48" s="1"/>
      <c r="F48" s="5">
        <f t="shared" ref="F48:F52" si="24">IF(D$12=0,0,D48/D$12)</f>
        <v>0</v>
      </c>
      <c r="G48" s="1"/>
      <c r="H48" s="1">
        <f>SUM(OSRRefH22_7x_0)</f>
        <v>2278.9699999999998</v>
      </c>
      <c r="I48" s="1"/>
      <c r="J48" s="5">
        <f t="shared" ref="J48:J52" si="25">IF(H$12=0,0,H48/H$12)</f>
        <v>0</v>
      </c>
      <c r="K48" s="1"/>
      <c r="L48" s="1">
        <f t="shared" ref="L48:L52" si="26">+D48-H48</f>
        <v>-2278.9699999999998</v>
      </c>
      <c r="M48" s="1"/>
      <c r="N48" s="5">
        <f t="shared" ref="N48:N52" si="27">IF(H48=0,0,L48/H48)</f>
        <v>-1</v>
      </c>
      <c r="O48" s="13"/>
      <c r="P48" s="1">
        <f>SUM(OSRRefP22_7x_0)</f>
        <v>-3004.18</v>
      </c>
      <c r="Q48" s="1"/>
      <c r="R48" s="5">
        <f t="shared" ref="R48:R52" si="28">IF(P$12=0,0,P48/P$12)</f>
        <v>0</v>
      </c>
      <c r="S48" s="1"/>
      <c r="T48" s="1">
        <f>SUM(OSRRefT22_7x_0)</f>
        <v>21031.64</v>
      </c>
      <c r="U48" s="1"/>
      <c r="V48" s="5">
        <f t="shared" ref="V48:V52" si="29">IF(T$12=0,0,T48/T$12)</f>
        <v>0</v>
      </c>
      <c r="W48" s="1"/>
      <c r="X48" s="1">
        <f t="shared" ref="X48:X52" si="30">+P48-T48</f>
        <v>-24035.82</v>
      </c>
      <c r="Y48" s="1"/>
      <c r="Z48" s="5">
        <f t="shared" ref="Z48:Z52" si="31">IF(T48=0,0,X48/T48)</f>
        <v>-1.1428409767379053</v>
      </c>
    </row>
    <row r="49" spans="1:26" s="24" customFormat="1" hidden="1" outlineLevel="2" x14ac:dyDescent="0.25">
      <c r="A49" s="27"/>
      <c r="B49" s="11" t="str">
        <f>CONCATENATE("          ", "6241", " - ", "OFFICE EXPENSE")</f>
        <v xml:space="preserve">          6241 - OFFICE EXPENSE</v>
      </c>
      <c r="C49" s="11"/>
      <c r="D49" s="7"/>
      <c r="E49" s="2"/>
      <c r="F49" s="6">
        <f t="shared" si="24"/>
        <v>0</v>
      </c>
      <c r="G49" s="2"/>
      <c r="H49" s="7">
        <v>2278.9699999999998</v>
      </c>
      <c r="I49" s="2"/>
      <c r="J49" s="6">
        <f t="shared" si="25"/>
        <v>0</v>
      </c>
      <c r="K49" s="2"/>
      <c r="L49" s="7">
        <f t="shared" si="26"/>
        <v>-2278.9699999999998</v>
      </c>
      <c r="M49" s="2"/>
      <c r="N49" s="6">
        <f t="shared" si="27"/>
        <v>-1</v>
      </c>
      <c r="O49" s="11"/>
      <c r="P49" s="7">
        <v>-3004.18</v>
      </c>
      <c r="Q49" s="2"/>
      <c r="R49" s="6">
        <f t="shared" si="28"/>
        <v>0</v>
      </c>
      <c r="S49" s="2"/>
      <c r="T49" s="7">
        <v>21031.64</v>
      </c>
      <c r="U49" s="2"/>
      <c r="V49" s="6">
        <f t="shared" si="29"/>
        <v>0</v>
      </c>
      <c r="W49" s="2"/>
      <c r="X49" s="7">
        <f t="shared" si="30"/>
        <v>-24035.82</v>
      </c>
      <c r="Y49" s="2"/>
      <c r="Z49" s="6">
        <f t="shared" si="31"/>
        <v>-1.1428409767379053</v>
      </c>
    </row>
    <row r="50" spans="1:26" s="25" customFormat="1" outlineLevel="1" collapsed="1" x14ac:dyDescent="0.25">
      <c r="A50" s="26"/>
      <c r="B50" s="13" t="str">
        <f>CONCATENATE("     ","Telephone/Data Lines                              ")</f>
        <v xml:space="preserve">     Telephone/Data Lines                              </v>
      </c>
      <c r="C50" s="13"/>
      <c r="D50" s="1">
        <f>SUM(OSRRefD22_8x_0)</f>
        <v>948.13</v>
      </c>
      <c r="E50" s="1"/>
      <c r="F50" s="5">
        <f t="shared" si="24"/>
        <v>0</v>
      </c>
      <c r="G50" s="1"/>
      <c r="H50" s="1">
        <f>SUM(OSRRefH22_8x_0)</f>
        <v>944.89</v>
      </c>
      <c r="I50" s="1"/>
      <c r="J50" s="5">
        <f t="shared" si="25"/>
        <v>0</v>
      </c>
      <c r="K50" s="1"/>
      <c r="L50" s="1">
        <f t="shared" si="26"/>
        <v>3.2400000000000091</v>
      </c>
      <c r="M50" s="1"/>
      <c r="N50" s="5">
        <f t="shared" si="27"/>
        <v>3.4289705680026344E-3</v>
      </c>
      <c r="O50" s="13"/>
      <c r="P50" s="1">
        <f>SUM(OSRRefP22_8x_0)</f>
        <v>5098.54</v>
      </c>
      <c r="Q50" s="1"/>
      <c r="R50" s="5">
        <f t="shared" si="28"/>
        <v>0</v>
      </c>
      <c r="S50" s="1"/>
      <c r="T50" s="1">
        <f>SUM(OSRRefT22_8x_0)</f>
        <v>8732.1200000000008</v>
      </c>
      <c r="U50" s="1"/>
      <c r="V50" s="5">
        <f t="shared" si="29"/>
        <v>0</v>
      </c>
      <c r="W50" s="1"/>
      <c r="X50" s="1">
        <f t="shared" si="30"/>
        <v>-3633.5800000000008</v>
      </c>
      <c r="Y50" s="1"/>
      <c r="Z50" s="5">
        <f t="shared" si="31"/>
        <v>-0.41611659024383546</v>
      </c>
    </row>
    <row r="51" spans="1:26" s="24" customFormat="1" hidden="1" outlineLevel="2" x14ac:dyDescent="0.25">
      <c r="A51" s="27"/>
      <c r="B51" s="11" t="str">
        <f>CONCATENATE("          ", "6303", " - ", "DATA PHONE LINES")</f>
        <v xml:space="preserve">          6303 - DATA PHONE LINES</v>
      </c>
      <c r="C51" s="11"/>
      <c r="D51" s="7">
        <v>238.97</v>
      </c>
      <c r="E51" s="2"/>
      <c r="F51" s="6">
        <f t="shared" si="24"/>
        <v>0</v>
      </c>
      <c r="G51" s="2"/>
      <c r="H51" s="7">
        <v>143.97999999999999</v>
      </c>
      <c r="I51" s="2"/>
      <c r="J51" s="6">
        <f t="shared" si="25"/>
        <v>0</v>
      </c>
      <c r="K51" s="2"/>
      <c r="L51" s="7">
        <f t="shared" si="26"/>
        <v>94.990000000000009</v>
      </c>
      <c r="M51" s="2"/>
      <c r="N51" s="6">
        <f t="shared" si="27"/>
        <v>0.65974440894568698</v>
      </c>
      <c r="O51" s="11"/>
      <c r="P51" s="7">
        <v>764.9</v>
      </c>
      <c r="Q51" s="2"/>
      <c r="R51" s="6">
        <f t="shared" si="28"/>
        <v>0</v>
      </c>
      <c r="S51" s="2"/>
      <c r="T51" s="7">
        <v>1026.07</v>
      </c>
      <c r="U51" s="2"/>
      <c r="V51" s="6">
        <f t="shared" si="29"/>
        <v>0</v>
      </c>
      <c r="W51" s="2"/>
      <c r="X51" s="7">
        <f t="shared" si="30"/>
        <v>-261.16999999999996</v>
      </c>
      <c r="Y51" s="2"/>
      <c r="Z51" s="6">
        <f t="shared" si="31"/>
        <v>-0.25453429103277553</v>
      </c>
    </row>
    <row r="52" spans="1:26" s="24" customFormat="1" hidden="1" outlineLevel="2" x14ac:dyDescent="0.25">
      <c r="A52" s="27"/>
      <c r="B52" s="11" t="str">
        <f>CONCATENATE("          ", "6309", " - ", "TELEPHONE")</f>
        <v xml:space="preserve">          6309 - TELEPHONE</v>
      </c>
      <c r="C52" s="11"/>
      <c r="D52" s="7">
        <v>709.16</v>
      </c>
      <c r="E52" s="2"/>
      <c r="F52" s="6">
        <f t="shared" si="24"/>
        <v>0</v>
      </c>
      <c r="G52" s="2"/>
      <c r="H52" s="7">
        <v>800.91</v>
      </c>
      <c r="I52" s="2"/>
      <c r="J52" s="6">
        <f t="shared" si="25"/>
        <v>0</v>
      </c>
      <c r="K52" s="2"/>
      <c r="L52" s="7">
        <f t="shared" si="26"/>
        <v>-91.75</v>
      </c>
      <c r="M52" s="2"/>
      <c r="N52" s="6">
        <f t="shared" si="27"/>
        <v>-0.11455719119501567</v>
      </c>
      <c r="O52" s="11"/>
      <c r="P52" s="7">
        <v>4333.6400000000003</v>
      </c>
      <c r="Q52" s="2"/>
      <c r="R52" s="6">
        <f t="shared" si="28"/>
        <v>0</v>
      </c>
      <c r="S52" s="2"/>
      <c r="T52" s="7">
        <v>7706.05</v>
      </c>
      <c r="U52" s="2"/>
      <c r="V52" s="6">
        <f t="shared" si="29"/>
        <v>0</v>
      </c>
      <c r="W52" s="2"/>
      <c r="X52" s="7">
        <f t="shared" si="30"/>
        <v>-3372.41</v>
      </c>
      <c r="Y52" s="2"/>
      <c r="Z52" s="6">
        <f t="shared" si="31"/>
        <v>-0.43763147137638608</v>
      </c>
    </row>
    <row r="53" spans="1:26" s="25" customFormat="1" outlineLevel="1" collapsed="1" x14ac:dyDescent="0.25">
      <c r="A53" s="26"/>
      <c r="B53" s="13" t="str">
        <f>CONCATENATE("     ","Training                                          ")</f>
        <v xml:space="preserve">     Training                                          </v>
      </c>
      <c r="C53" s="13"/>
      <c r="D53" s="1">
        <f>SUM(OSRRefD22_9x_0)</f>
        <v>99</v>
      </c>
      <c r="E53" s="1"/>
      <c r="F53" s="5">
        <f t="shared" ref="F53:F57" si="32">IF(D$12=0,0,D53/D$12)</f>
        <v>0</v>
      </c>
      <c r="G53" s="1"/>
      <c r="H53" s="1">
        <f>SUM(OSRRefH22_9x_0)</f>
        <v>49</v>
      </c>
      <c r="I53" s="1"/>
      <c r="J53" s="5">
        <f t="shared" ref="J53:J57" si="33">IF(H$12=0,0,H53/H$12)</f>
        <v>0</v>
      </c>
      <c r="K53" s="1"/>
      <c r="L53" s="1">
        <f t="shared" ref="L53:L57" si="34">+D53-H53</f>
        <v>50</v>
      </c>
      <c r="M53" s="1"/>
      <c r="N53" s="5">
        <f t="shared" ref="N53:N57" si="35">IF(H53=0,0,L53/H53)</f>
        <v>1.0204081632653061</v>
      </c>
      <c r="O53" s="13"/>
      <c r="P53" s="1">
        <f>SUM(OSRRefP22_9x_0)</f>
        <v>99</v>
      </c>
      <c r="Q53" s="1"/>
      <c r="R53" s="5">
        <f t="shared" ref="R53:R57" si="36">IF(P$12=0,0,P53/P$12)</f>
        <v>0</v>
      </c>
      <c r="S53" s="1"/>
      <c r="T53" s="1">
        <f>SUM(OSRRefT22_9x_0)</f>
        <v>483.06</v>
      </c>
      <c r="U53" s="1"/>
      <c r="V53" s="5">
        <f t="shared" ref="V53:V57" si="37">IF(T$12=0,0,T53/T$12)</f>
        <v>0</v>
      </c>
      <c r="W53" s="1"/>
      <c r="X53" s="1">
        <f t="shared" ref="X53:X57" si="38">+P53-T53</f>
        <v>-384.06</v>
      </c>
      <c r="Y53" s="1"/>
      <c r="Z53" s="5">
        <f t="shared" ref="Z53:Z57" si="39">IF(T53=0,0,X53/T53)</f>
        <v>-0.79505651471866845</v>
      </c>
    </row>
    <row r="54" spans="1:26" s="24" customFormat="1" hidden="1" outlineLevel="2" x14ac:dyDescent="0.25">
      <c r="A54" s="27"/>
      <c r="B54" s="11" t="str">
        <f>CONCATENATE("          ", "6376", " - ", "TRAINING")</f>
        <v xml:space="preserve">          6376 - TRAINING</v>
      </c>
      <c r="C54" s="11"/>
      <c r="D54" s="7">
        <v>99</v>
      </c>
      <c r="E54" s="2"/>
      <c r="F54" s="6">
        <f t="shared" si="32"/>
        <v>0</v>
      </c>
      <c r="G54" s="2"/>
      <c r="H54" s="7">
        <v>49</v>
      </c>
      <c r="I54" s="2"/>
      <c r="J54" s="6">
        <f t="shared" si="33"/>
        <v>0</v>
      </c>
      <c r="K54" s="2"/>
      <c r="L54" s="7">
        <f t="shared" si="34"/>
        <v>50</v>
      </c>
      <c r="M54" s="2"/>
      <c r="N54" s="6">
        <f t="shared" si="35"/>
        <v>1.0204081632653061</v>
      </c>
      <c r="O54" s="11"/>
      <c r="P54" s="7">
        <v>99</v>
      </c>
      <c r="Q54" s="2"/>
      <c r="R54" s="6">
        <f t="shared" si="36"/>
        <v>0</v>
      </c>
      <c r="S54" s="2"/>
      <c r="T54" s="7">
        <v>483.06</v>
      </c>
      <c r="U54" s="2"/>
      <c r="V54" s="6">
        <f t="shared" si="37"/>
        <v>0</v>
      </c>
      <c r="W54" s="2"/>
      <c r="X54" s="7">
        <f t="shared" si="38"/>
        <v>-384.06</v>
      </c>
      <c r="Y54" s="2"/>
      <c r="Z54" s="6">
        <f t="shared" si="39"/>
        <v>-0.79505651471866845</v>
      </c>
    </row>
    <row r="55" spans="1:26" s="25" customFormat="1" outlineLevel="1" collapsed="1" x14ac:dyDescent="0.25">
      <c r="A55" s="26"/>
      <c r="B55" s="13" t="str">
        <f>CONCATENATE("     ","Travel                                            ")</f>
        <v xml:space="preserve">     Travel                                            </v>
      </c>
      <c r="C55" s="13"/>
      <c r="D55" s="1">
        <f>SUM(OSRRefD22_10x_0)</f>
        <v>0</v>
      </c>
      <c r="E55" s="1"/>
      <c r="F55" s="5">
        <f t="shared" si="32"/>
        <v>0</v>
      </c>
      <c r="G55" s="1"/>
      <c r="H55" s="1">
        <f>SUM(OSRRefH22_10x_0)</f>
        <v>0</v>
      </c>
      <c r="I55" s="1"/>
      <c r="J55" s="5">
        <f t="shared" si="33"/>
        <v>0</v>
      </c>
      <c r="K55" s="1"/>
      <c r="L55" s="1">
        <f t="shared" si="34"/>
        <v>0</v>
      </c>
      <c r="M55" s="1"/>
      <c r="N55" s="5">
        <f t="shared" si="35"/>
        <v>0</v>
      </c>
      <c r="O55" s="13"/>
      <c r="P55" s="1">
        <f>SUM(OSRRefP22_10x_0)</f>
        <v>0</v>
      </c>
      <c r="Q55" s="1"/>
      <c r="R55" s="5">
        <f t="shared" si="36"/>
        <v>0</v>
      </c>
      <c r="S55" s="1"/>
      <c r="T55" s="1">
        <f>SUM(OSRRefT22_10x_0)</f>
        <v>1383.21</v>
      </c>
      <c r="U55" s="1"/>
      <c r="V55" s="5">
        <f t="shared" si="37"/>
        <v>0</v>
      </c>
      <c r="W55" s="1"/>
      <c r="X55" s="1">
        <f t="shared" si="38"/>
        <v>-1383.21</v>
      </c>
      <c r="Y55" s="1"/>
      <c r="Z55" s="5">
        <f t="shared" si="39"/>
        <v>-1</v>
      </c>
    </row>
    <row r="56" spans="1:26" s="24" customFormat="1" hidden="1" outlineLevel="2" x14ac:dyDescent="0.25">
      <c r="A56" s="27"/>
      <c r="B56" s="11" t="str">
        <f>CONCATENATE("          ", "6292", " - ", "TRAVEL/CONFERENCE")</f>
        <v xml:space="preserve">          6292 - TRAVEL/CONFERENCE</v>
      </c>
      <c r="C56" s="11"/>
      <c r="D56" s="7"/>
      <c r="E56" s="2"/>
      <c r="F56" s="6">
        <f t="shared" si="32"/>
        <v>0</v>
      </c>
      <c r="G56" s="2"/>
      <c r="H56" s="7"/>
      <c r="I56" s="2"/>
      <c r="J56" s="6">
        <f t="shared" si="33"/>
        <v>0</v>
      </c>
      <c r="K56" s="2"/>
      <c r="L56" s="7">
        <f t="shared" si="34"/>
        <v>0</v>
      </c>
      <c r="M56" s="2"/>
      <c r="N56" s="6">
        <f t="shared" si="35"/>
        <v>0</v>
      </c>
      <c r="O56" s="11"/>
      <c r="P56" s="7"/>
      <c r="Q56" s="2"/>
      <c r="R56" s="6">
        <f t="shared" si="36"/>
        <v>0</v>
      </c>
      <c r="S56" s="2"/>
      <c r="T56" s="7">
        <v>1359.31</v>
      </c>
      <c r="U56" s="2"/>
      <c r="V56" s="6">
        <f t="shared" si="37"/>
        <v>0</v>
      </c>
      <c r="W56" s="2"/>
      <c r="X56" s="7">
        <f t="shared" si="38"/>
        <v>-1359.31</v>
      </c>
      <c r="Y56" s="2"/>
      <c r="Z56" s="6">
        <f t="shared" si="39"/>
        <v>-1</v>
      </c>
    </row>
    <row r="57" spans="1:26" s="24" customFormat="1" hidden="1" outlineLevel="2" x14ac:dyDescent="0.25">
      <c r="A57" s="27"/>
      <c r="B57" s="11" t="str">
        <f>CONCATENATE("          ", "6294", " - ", "TRAVEL OPERATIONAL")</f>
        <v xml:space="preserve">          6294 - TRAVEL OPERATIONAL</v>
      </c>
      <c r="C57" s="11"/>
      <c r="D57" s="7"/>
      <c r="E57" s="2"/>
      <c r="F57" s="6">
        <f t="shared" si="32"/>
        <v>0</v>
      </c>
      <c r="G57" s="2"/>
      <c r="H57" s="7"/>
      <c r="I57" s="2"/>
      <c r="J57" s="6">
        <f t="shared" si="33"/>
        <v>0</v>
      </c>
      <c r="K57" s="2"/>
      <c r="L57" s="7">
        <f t="shared" si="34"/>
        <v>0</v>
      </c>
      <c r="M57" s="2"/>
      <c r="N57" s="6">
        <f t="shared" si="35"/>
        <v>0</v>
      </c>
      <c r="O57" s="11"/>
      <c r="P57" s="7"/>
      <c r="Q57" s="2"/>
      <c r="R57" s="6">
        <f t="shared" si="36"/>
        <v>0</v>
      </c>
      <c r="S57" s="2"/>
      <c r="T57" s="7">
        <v>23.9</v>
      </c>
      <c r="U57" s="2"/>
      <c r="V57" s="6">
        <f t="shared" si="37"/>
        <v>0</v>
      </c>
      <c r="W57" s="2"/>
      <c r="X57" s="7">
        <f t="shared" si="38"/>
        <v>-23.9</v>
      </c>
      <c r="Y57" s="2"/>
      <c r="Z57" s="6">
        <f t="shared" si="39"/>
        <v>-1</v>
      </c>
    </row>
    <row r="58" spans="1:26" s="55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9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3</v>
      </c>
      <c r="C61" s="28"/>
      <c r="D61" s="20">
        <f>+D16-D18+D59</f>
        <v>-44863.99</v>
      </c>
      <c r="E61" s="14"/>
      <c r="F61" s="21">
        <f>IF(D$12=0,0,D61/D$12)</f>
        <v>0</v>
      </c>
      <c r="G61" s="14"/>
      <c r="H61" s="20">
        <f>+H16-H18+H59</f>
        <v>-54493.08</v>
      </c>
      <c r="I61" s="14"/>
      <c r="J61" s="21">
        <f>IF(H$12=0,0,H61/H$12)</f>
        <v>0</v>
      </c>
      <c r="K61" s="15"/>
      <c r="L61" s="20">
        <f>+D61-H61</f>
        <v>9629.0900000000038</v>
      </c>
      <c r="M61" s="15"/>
      <c r="N61" s="21">
        <f>IF(H61=0,0,L61/H61)</f>
        <v>-0.17670298687466379</v>
      </c>
      <c r="O61" s="29"/>
      <c r="P61" s="20">
        <f>+P16-P18+P59</f>
        <v>-306555.24000000005</v>
      </c>
      <c r="Q61" s="14"/>
      <c r="R61" s="21">
        <f>IF(P$12=0,0,P61/P$12)</f>
        <v>0</v>
      </c>
      <c r="S61" s="14"/>
      <c r="T61" s="20">
        <f>+T16-T18+T59</f>
        <v>-360599.31000000006</v>
      </c>
      <c r="U61" s="14"/>
      <c r="V61" s="21">
        <f>IF(T$12=0,0,T61/T$12)</f>
        <v>0</v>
      </c>
      <c r="W61" s="15"/>
      <c r="X61" s="20">
        <f>+P61-T61</f>
        <v>54044.070000000007</v>
      </c>
      <c r="Y61" s="15"/>
      <c r="Z61" s="21">
        <f>IF(T61=0,0,X61/T61)</f>
        <v>-0.14987291573020481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1"/>
      <c r="B63" s="10" t="s">
        <v>13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/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4</v>
      </c>
      <c r="C65" s="28"/>
      <c r="D65" s="33">
        <f>+D61-D63</f>
        <v>-44863.99</v>
      </c>
      <c r="E65" s="14"/>
      <c r="F65" s="34">
        <f>IF(D$12=0,0,D65/D$12)</f>
        <v>0</v>
      </c>
      <c r="G65" s="14"/>
      <c r="H65" s="33">
        <f>+H61-H63</f>
        <v>-54493.08</v>
      </c>
      <c r="I65" s="14"/>
      <c r="J65" s="34">
        <f>IF(H$12=0,0,H65/H$12)</f>
        <v>0</v>
      </c>
      <c r="K65" s="15"/>
      <c r="L65" s="33">
        <f>D65-H65</f>
        <v>9629.0900000000038</v>
      </c>
      <c r="M65" s="15"/>
      <c r="N65" s="34">
        <f>IF(H65=0,0,L65/H65)</f>
        <v>-0.17670298687466379</v>
      </c>
      <c r="O65" s="29"/>
      <c r="P65" s="33">
        <f>+P61-P63</f>
        <v>-306555.24000000005</v>
      </c>
      <c r="Q65" s="14"/>
      <c r="R65" s="34">
        <f>IF(P$12=0,0,P65/P$12)</f>
        <v>0</v>
      </c>
      <c r="S65" s="14"/>
      <c r="T65" s="33">
        <f>+T61-T63</f>
        <v>-360599.31000000006</v>
      </c>
      <c r="U65" s="14"/>
      <c r="V65" s="34">
        <f>IF(T$12=0,0,T65/T$12)</f>
        <v>0</v>
      </c>
      <c r="W65" s="15"/>
      <c r="X65" s="33">
        <f>P65-T65</f>
        <v>54044.070000000007</v>
      </c>
      <c r="Y65" s="15"/>
      <c r="Z65" s="34">
        <f>IF(T65=0,0,X65/T65)</f>
        <v>-0.14987291573020481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8" t="s">
        <v>5</v>
      </c>
      <c r="C68" s="28"/>
      <c r="D68" s="30">
        <f>SUM(D65:D67)</f>
        <v>-44863.99</v>
      </c>
      <c r="E68" s="14"/>
      <c r="F68" s="32">
        <f>IF(D$12=0,0,D68/D$12)</f>
        <v>0</v>
      </c>
      <c r="G68" s="14"/>
      <c r="H68" s="30">
        <f>SUM(H65:H67)</f>
        <v>-54493.08</v>
      </c>
      <c r="I68" s="14"/>
      <c r="J68" s="32">
        <f>IF(H$12=0,0,H68/H$12)</f>
        <v>0</v>
      </c>
      <c r="K68" s="15"/>
      <c r="L68" s="30">
        <f>+D68-H68</f>
        <v>9629.0900000000038</v>
      </c>
      <c r="M68" s="15"/>
      <c r="N68" s="32">
        <f>IF(H68=0,0,L68/H68)</f>
        <v>-0.17670298687466379</v>
      </c>
      <c r="O68" s="29"/>
      <c r="P68" s="30">
        <f>SUM(P65:P67)</f>
        <v>-306555.24000000005</v>
      </c>
      <c r="Q68" s="14"/>
      <c r="R68" s="32">
        <f>IF(P$12=0,0,P68/P$12)</f>
        <v>0</v>
      </c>
      <c r="S68" s="14"/>
      <c r="T68" s="30">
        <f>SUM(T65:T67)</f>
        <v>-360599.31000000006</v>
      </c>
      <c r="U68" s="14"/>
      <c r="V68" s="32">
        <f>IF(T$12=0,0,T68/T$12)</f>
        <v>0</v>
      </c>
      <c r="W68" s="15"/>
      <c r="X68" s="30">
        <f>+P68-T68</f>
        <v>54044.070000000007</v>
      </c>
      <c r="Y68" s="15"/>
      <c r="Z68" s="32">
        <f>IF(T68=0,0,X68/T68)</f>
        <v>-0.14987291573020481</v>
      </c>
    </row>
    <row r="69" spans="1:26" ht="15.75" thickTop="1" x14ac:dyDescent="0.25">
      <c r="A69" s="9"/>
      <c r="C69" s="9"/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58">
        <v>44209.521617245373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61" t="s">
        <v>313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7"/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","205", " - ", "Maintenance")</f>
        <v>Department 205 - Maintenance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7720.61</v>
      </c>
      <c r="E18" s="22"/>
      <c r="F18" s="36">
        <f t="shared" ref="F18:F27" si="0">IF(D$12=0,0,D18/D$12)</f>
        <v>0</v>
      </c>
      <c r="G18" s="22"/>
      <c r="H18" s="22">
        <f>SUM(OSRRefH22x_0)</f>
        <v>7290.1100000000006</v>
      </c>
      <c r="I18" s="22"/>
      <c r="J18" s="36">
        <f t="shared" ref="J18:J27" si="1">IF(H$12=0,0,H18/H$12)</f>
        <v>0</v>
      </c>
      <c r="K18" s="4"/>
      <c r="L18" s="22">
        <f t="shared" ref="L18:L27" si="2">+D18-H18</f>
        <v>430.49999999999909</v>
      </c>
      <c r="M18" s="4"/>
      <c r="N18" s="36">
        <f t="shared" ref="N18:N27" si="3">IF(H18=0,0,L18/H18)</f>
        <v>5.9052606887961781E-2</v>
      </c>
      <c r="O18" s="10"/>
      <c r="P18" s="22">
        <f>SUM(OSRRefP22x_0)</f>
        <v>47588.160000000003</v>
      </c>
      <c r="Q18" s="22"/>
      <c r="R18" s="36">
        <f t="shared" ref="R18:R27" si="4">IF(P$12=0,0,P18/P$12)</f>
        <v>0</v>
      </c>
      <c r="S18" s="22"/>
      <c r="T18" s="22">
        <f>SUM(OSRRefT22x_0)</f>
        <v>49882.68</v>
      </c>
      <c r="U18" s="22"/>
      <c r="V18" s="36">
        <f t="shared" ref="V18:V27" si="5">IF(T$12=0,0,T18/T$12)</f>
        <v>0</v>
      </c>
      <c r="W18" s="4"/>
      <c r="X18" s="22">
        <f t="shared" ref="X18:X27" si="6">+P18-T18</f>
        <v>-2294.5199999999968</v>
      </c>
      <c r="Y18" s="4"/>
      <c r="Z18" s="36">
        <f t="shared" ref="Z18:Z27" si="7">IF(T18=0,0,X18/T18)</f>
        <v>-4.5998330482644414E-2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2617.2999999999997</v>
      </c>
      <c r="E19" s="1"/>
      <c r="F19" s="5">
        <f t="shared" si="0"/>
        <v>0</v>
      </c>
      <c r="G19" s="1"/>
      <c r="H19" s="1">
        <f>SUM(OSRRefH22_0x_0)</f>
        <v>2554.9299999999998</v>
      </c>
      <c r="I19" s="1"/>
      <c r="J19" s="5">
        <f t="shared" si="1"/>
        <v>0</v>
      </c>
      <c r="K19" s="1"/>
      <c r="L19" s="1">
        <f t="shared" si="2"/>
        <v>62.369999999999891</v>
      </c>
      <c r="M19" s="1"/>
      <c r="N19" s="5">
        <f t="shared" si="3"/>
        <v>2.4411627715827791E-2</v>
      </c>
      <c r="O19" s="13"/>
      <c r="P19" s="1">
        <f>SUM(OSRRefP22_0x_0)</f>
        <v>14883.059999999998</v>
      </c>
      <c r="Q19" s="1"/>
      <c r="R19" s="5">
        <f t="shared" si="4"/>
        <v>0</v>
      </c>
      <c r="S19" s="1"/>
      <c r="T19" s="1">
        <f>SUM(OSRRefT22_0x_0)</f>
        <v>16261.649999999998</v>
      </c>
      <c r="U19" s="1"/>
      <c r="V19" s="5">
        <f t="shared" si="5"/>
        <v>0</v>
      </c>
      <c r="W19" s="1"/>
      <c r="X19" s="1">
        <f t="shared" si="6"/>
        <v>-1378.5900000000001</v>
      </c>
      <c r="Y19" s="1"/>
      <c r="Z19" s="5">
        <f t="shared" si="7"/>
        <v>-8.4775530158378784E-2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318.56</v>
      </c>
      <c r="E20" s="2"/>
      <c r="F20" s="6">
        <f t="shared" si="0"/>
        <v>0</v>
      </c>
      <c r="G20" s="2"/>
      <c r="H20" s="7">
        <v>323.13</v>
      </c>
      <c r="I20" s="2"/>
      <c r="J20" s="6">
        <f t="shared" si="1"/>
        <v>0</v>
      </c>
      <c r="K20" s="2"/>
      <c r="L20" s="7">
        <f t="shared" si="2"/>
        <v>-4.5699999999999932</v>
      </c>
      <c r="M20" s="2"/>
      <c r="N20" s="6">
        <f t="shared" si="3"/>
        <v>-1.4142914616408236E-2</v>
      </c>
      <c r="O20" s="11"/>
      <c r="P20" s="7">
        <v>2059.46</v>
      </c>
      <c r="Q20" s="2"/>
      <c r="R20" s="6">
        <f t="shared" si="4"/>
        <v>0</v>
      </c>
      <c r="S20" s="2"/>
      <c r="T20" s="7">
        <v>2123.8000000000002</v>
      </c>
      <c r="U20" s="2"/>
      <c r="V20" s="6">
        <f t="shared" si="5"/>
        <v>0</v>
      </c>
      <c r="W20" s="2"/>
      <c r="X20" s="7">
        <f t="shared" si="6"/>
        <v>-64.340000000000146</v>
      </c>
      <c r="Y20" s="2"/>
      <c r="Z20" s="6">
        <f t="shared" si="7"/>
        <v>-3.0294754684998652E-2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429.19</v>
      </c>
      <c r="E21" s="2"/>
      <c r="F21" s="6">
        <f t="shared" si="0"/>
        <v>0</v>
      </c>
      <c r="G21" s="2"/>
      <c r="H21" s="7">
        <v>426.76</v>
      </c>
      <c r="I21" s="2"/>
      <c r="J21" s="6">
        <f t="shared" si="1"/>
        <v>0</v>
      </c>
      <c r="K21" s="2"/>
      <c r="L21" s="7">
        <f t="shared" si="2"/>
        <v>2.4300000000000068</v>
      </c>
      <c r="M21" s="2"/>
      <c r="N21" s="6">
        <f t="shared" si="3"/>
        <v>5.6940669228606406E-3</v>
      </c>
      <c r="O21" s="11"/>
      <c r="P21" s="7">
        <v>2005.36</v>
      </c>
      <c r="Q21" s="2"/>
      <c r="R21" s="6">
        <f t="shared" si="4"/>
        <v>0</v>
      </c>
      <c r="S21" s="2"/>
      <c r="T21" s="7">
        <v>1520.82</v>
      </c>
      <c r="U21" s="2"/>
      <c r="V21" s="6">
        <f t="shared" si="5"/>
        <v>0</v>
      </c>
      <c r="W21" s="2"/>
      <c r="X21" s="7">
        <f t="shared" si="6"/>
        <v>484.53999999999996</v>
      </c>
      <c r="Y21" s="2"/>
      <c r="Z21" s="6">
        <f t="shared" si="7"/>
        <v>0.31860443707999631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696.16</v>
      </c>
      <c r="E22" s="2"/>
      <c r="F22" s="6">
        <f t="shared" si="0"/>
        <v>0</v>
      </c>
      <c r="G22" s="2"/>
      <c r="H22" s="7">
        <v>695.14</v>
      </c>
      <c r="I22" s="2"/>
      <c r="J22" s="6">
        <f t="shared" si="1"/>
        <v>0</v>
      </c>
      <c r="K22" s="2"/>
      <c r="L22" s="7">
        <f t="shared" si="2"/>
        <v>1.0199999999999818</v>
      </c>
      <c r="M22" s="2"/>
      <c r="N22" s="6">
        <f t="shared" si="3"/>
        <v>1.4673303219495091E-3</v>
      </c>
      <c r="O22" s="11"/>
      <c r="P22" s="7">
        <v>4176.96</v>
      </c>
      <c r="Q22" s="2"/>
      <c r="R22" s="6">
        <f t="shared" si="4"/>
        <v>0</v>
      </c>
      <c r="S22" s="2"/>
      <c r="T22" s="7">
        <v>4170.84</v>
      </c>
      <c r="U22" s="2"/>
      <c r="V22" s="6">
        <f t="shared" si="5"/>
        <v>0</v>
      </c>
      <c r="W22" s="2"/>
      <c r="X22" s="7">
        <f t="shared" si="6"/>
        <v>6.1199999999998909</v>
      </c>
      <c r="Y22" s="2"/>
      <c r="Z22" s="6">
        <f t="shared" si="7"/>
        <v>1.4673303219495091E-3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16.39</v>
      </c>
      <c r="I23" s="2"/>
      <c r="J23" s="6">
        <f t="shared" si="1"/>
        <v>0</v>
      </c>
      <c r="K23" s="2"/>
      <c r="L23" s="7">
        <f t="shared" si="2"/>
        <v>-16.39</v>
      </c>
      <c r="M23" s="2"/>
      <c r="N23" s="6">
        <f t="shared" si="3"/>
        <v>-1</v>
      </c>
      <c r="O23" s="11"/>
      <c r="P23" s="7">
        <v>59.15</v>
      </c>
      <c r="Q23" s="2"/>
      <c r="R23" s="6">
        <f t="shared" si="4"/>
        <v>0</v>
      </c>
      <c r="S23" s="2"/>
      <c r="T23" s="7">
        <v>71.44</v>
      </c>
      <c r="U23" s="2"/>
      <c r="V23" s="6">
        <f t="shared" si="5"/>
        <v>0</v>
      </c>
      <c r="W23" s="2"/>
      <c r="X23" s="7">
        <f t="shared" si="6"/>
        <v>-12.29</v>
      </c>
      <c r="Y23" s="2"/>
      <c r="Z23" s="6">
        <f t="shared" si="7"/>
        <v>-0.17203247480403136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463.27</v>
      </c>
      <c r="E24" s="2"/>
      <c r="F24" s="6">
        <f t="shared" si="0"/>
        <v>0</v>
      </c>
      <c r="G24" s="2"/>
      <c r="H24" s="7">
        <v>429.26</v>
      </c>
      <c r="I24" s="2"/>
      <c r="J24" s="6">
        <f t="shared" si="1"/>
        <v>0</v>
      </c>
      <c r="K24" s="2"/>
      <c r="L24" s="7">
        <f t="shared" si="2"/>
        <v>34.009999999999991</v>
      </c>
      <c r="M24" s="2"/>
      <c r="N24" s="6">
        <f t="shared" si="3"/>
        <v>7.9229371476494406E-2</v>
      </c>
      <c r="O24" s="11"/>
      <c r="P24" s="7">
        <v>3011.26</v>
      </c>
      <c r="Q24" s="2"/>
      <c r="R24" s="6">
        <f t="shared" si="4"/>
        <v>0</v>
      </c>
      <c r="S24" s="2"/>
      <c r="T24" s="7">
        <v>2575.56</v>
      </c>
      <c r="U24" s="2"/>
      <c r="V24" s="6">
        <f t="shared" si="5"/>
        <v>0</v>
      </c>
      <c r="W24" s="2"/>
      <c r="X24" s="7">
        <f t="shared" si="6"/>
        <v>435.70000000000027</v>
      </c>
      <c r="Y24" s="2"/>
      <c r="Z24" s="6">
        <f t="shared" si="7"/>
        <v>0.16916709375825073</v>
      </c>
    </row>
    <row r="25" spans="1:26" s="24" customFormat="1" hidden="1" outlineLevel="2" x14ac:dyDescent="0.25">
      <c r="A25" s="27"/>
      <c r="B25" s="11" t="str">
        <f>CONCATENATE("          ", "6118", " - ", "VACATION")</f>
        <v xml:space="preserve">          6118 - VACATION</v>
      </c>
      <c r="C25" s="11"/>
      <c r="D25" s="7">
        <v>387.96</v>
      </c>
      <c r="E25" s="2"/>
      <c r="F25" s="6">
        <f t="shared" si="0"/>
        <v>0</v>
      </c>
      <c r="G25" s="2"/>
      <c r="H25" s="7">
        <v>387.96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1421.9</v>
      </c>
      <c r="Q25" s="2"/>
      <c r="R25" s="6">
        <f t="shared" si="4"/>
        <v>0</v>
      </c>
      <c r="S25" s="2"/>
      <c r="T25" s="7">
        <v>2836.97</v>
      </c>
      <c r="U25" s="2"/>
      <c r="V25" s="6">
        <f t="shared" si="5"/>
        <v>0</v>
      </c>
      <c r="W25" s="2"/>
      <c r="X25" s="7">
        <f t="shared" si="6"/>
        <v>-1415.0699999999997</v>
      </c>
      <c r="Y25" s="2"/>
      <c r="Z25" s="6">
        <f t="shared" si="7"/>
        <v>-0.49879625092968899</v>
      </c>
    </row>
    <row r="26" spans="1:26" s="24" customFormat="1" hidden="1" outlineLevel="2" x14ac:dyDescent="0.25">
      <c r="A26" s="27"/>
      <c r="B26" s="11" t="str">
        <f>CONCATENATE("          ", "6119", " - ", "SICK LEAVE")</f>
        <v xml:space="preserve">          6119 - SICK LEAVE</v>
      </c>
      <c r="C26" s="11"/>
      <c r="D26" s="7">
        <v>193.72</v>
      </c>
      <c r="E26" s="2"/>
      <c r="F26" s="6">
        <f t="shared" si="0"/>
        <v>0</v>
      </c>
      <c r="G26" s="2"/>
      <c r="H26" s="7">
        <v>193.72</v>
      </c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1259.18</v>
      </c>
      <c r="Q26" s="2"/>
      <c r="R26" s="6">
        <f t="shared" si="4"/>
        <v>0</v>
      </c>
      <c r="S26" s="2"/>
      <c r="T26" s="7">
        <v>2104.2199999999998</v>
      </c>
      <c r="U26" s="2"/>
      <c r="V26" s="6">
        <f t="shared" si="5"/>
        <v>0</v>
      </c>
      <c r="W26" s="2"/>
      <c r="X26" s="7">
        <f t="shared" si="6"/>
        <v>-845.03999999999974</v>
      </c>
      <c r="Y26" s="2"/>
      <c r="Z26" s="6">
        <f t="shared" si="7"/>
        <v>-0.40159298932621107</v>
      </c>
    </row>
    <row r="27" spans="1:26" s="24" customFormat="1" hidden="1" outlineLevel="2" x14ac:dyDescent="0.25">
      <c r="A27" s="27"/>
      <c r="B27" s="11" t="str">
        <f>CONCATENATE("          ", "6156", " - ", "EMPLOYEE MEALS")</f>
        <v xml:space="preserve">          6156 - EMPLOYEE MEALS</v>
      </c>
      <c r="C27" s="11"/>
      <c r="D27" s="7">
        <v>128.44</v>
      </c>
      <c r="E27" s="2"/>
      <c r="F27" s="6">
        <f t="shared" si="0"/>
        <v>0</v>
      </c>
      <c r="G27" s="2"/>
      <c r="H27" s="7">
        <v>82.57</v>
      </c>
      <c r="I27" s="2"/>
      <c r="J27" s="6">
        <f t="shared" si="1"/>
        <v>0</v>
      </c>
      <c r="K27" s="2"/>
      <c r="L27" s="7">
        <f t="shared" si="2"/>
        <v>45.870000000000005</v>
      </c>
      <c r="M27" s="2"/>
      <c r="N27" s="6">
        <f t="shared" si="3"/>
        <v>0.55552864236405486</v>
      </c>
      <c r="O27" s="11"/>
      <c r="P27" s="7">
        <v>889.79</v>
      </c>
      <c r="Q27" s="2"/>
      <c r="R27" s="6">
        <f t="shared" si="4"/>
        <v>0</v>
      </c>
      <c r="S27" s="2"/>
      <c r="T27" s="7">
        <v>858</v>
      </c>
      <c r="U27" s="2"/>
      <c r="V27" s="6">
        <f t="shared" si="5"/>
        <v>0</v>
      </c>
      <c r="W27" s="2"/>
      <c r="X27" s="7">
        <f t="shared" si="6"/>
        <v>31.789999999999964</v>
      </c>
      <c r="Y27" s="2"/>
      <c r="Z27" s="6">
        <f t="shared" si="7"/>
        <v>3.7051282051282011E-2</v>
      </c>
    </row>
    <row r="28" spans="1:26" s="25" customFormat="1" outlineLevel="1" collapsed="1" x14ac:dyDescent="0.25">
      <c r="A28" s="26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3989.75</v>
      </c>
      <c r="E28" s="1"/>
      <c r="F28" s="5">
        <f t="shared" ref="F28:F36" si="8">IF(D$12=0,0,D28/D$12)</f>
        <v>0</v>
      </c>
      <c r="G28" s="1"/>
      <c r="H28" s="1">
        <f>SUM(OSRRefH22_1x_0)</f>
        <v>3018.57</v>
      </c>
      <c r="I28" s="1"/>
      <c r="J28" s="5">
        <f t="shared" ref="J28:J36" si="9">IF(H$12=0,0,H28/H$12)</f>
        <v>0</v>
      </c>
      <c r="K28" s="1"/>
      <c r="L28" s="1">
        <f t="shared" ref="L28:L36" si="10">+D28-H28</f>
        <v>971.17999999999984</v>
      </c>
      <c r="M28" s="1"/>
      <c r="N28" s="5">
        <f t="shared" ref="N28:N36" si="11">IF(H28=0,0,L28/H28)</f>
        <v>0.32173512623527029</v>
      </c>
      <c r="O28" s="13"/>
      <c r="P28" s="1">
        <f>SUM(OSRRefP22_1x_0)</f>
        <v>25408.41</v>
      </c>
      <c r="Q28" s="1"/>
      <c r="R28" s="5">
        <f t="shared" ref="R28:R36" si="12">IF(P$12=0,0,P28/P$12)</f>
        <v>0</v>
      </c>
      <c r="S28" s="1"/>
      <c r="T28" s="1">
        <f>SUM(OSRRefT22_1x_0)</f>
        <v>24817.9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590.5099999999984</v>
      </c>
      <c r="Y28" s="1"/>
      <c r="Z28" s="5">
        <f t="shared" ref="Z28:Z36" si="15">IF(T28=0,0,X28/T28)</f>
        <v>2.3793713408467209E-2</v>
      </c>
    </row>
    <row r="29" spans="1:26" s="24" customFormat="1" hidden="1" outlineLevel="2" x14ac:dyDescent="0.25">
      <c r="A29" s="27"/>
      <c r="B29" s="11" t="str">
        <f>CONCATENATE("          ", "6002", " - ", "STAFF SALARIES")</f>
        <v xml:space="preserve">          6002 - STAFF SALARIES</v>
      </c>
      <c r="C29" s="11"/>
      <c r="D29" s="7">
        <v>3989.75</v>
      </c>
      <c r="E29" s="2"/>
      <c r="F29" s="6">
        <f t="shared" si="8"/>
        <v>0</v>
      </c>
      <c r="G29" s="2"/>
      <c r="H29" s="7">
        <v>3018.57</v>
      </c>
      <c r="I29" s="2"/>
      <c r="J29" s="6">
        <f t="shared" si="9"/>
        <v>0</v>
      </c>
      <c r="K29" s="2"/>
      <c r="L29" s="7">
        <f t="shared" si="10"/>
        <v>971.17999999999984</v>
      </c>
      <c r="M29" s="2"/>
      <c r="N29" s="6">
        <f t="shared" si="11"/>
        <v>0.32173512623527029</v>
      </c>
      <c r="O29" s="11"/>
      <c r="P29" s="7">
        <v>25408.41</v>
      </c>
      <c r="Q29" s="2"/>
      <c r="R29" s="6">
        <f t="shared" si="12"/>
        <v>0</v>
      </c>
      <c r="S29" s="2"/>
      <c r="T29" s="7">
        <v>24817.9</v>
      </c>
      <c r="U29" s="2"/>
      <c r="V29" s="6">
        <f t="shared" si="13"/>
        <v>0</v>
      </c>
      <c r="W29" s="2"/>
      <c r="X29" s="7">
        <f t="shared" si="14"/>
        <v>590.5099999999984</v>
      </c>
      <c r="Y29" s="2"/>
      <c r="Z29" s="6">
        <f t="shared" si="15"/>
        <v>2.3793713408467209E-2</v>
      </c>
    </row>
    <row r="30" spans="1:26" s="25" customFormat="1" outlineLevel="1" collapsed="1" x14ac:dyDescent="0.25">
      <c r="A30" s="26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-109.13</v>
      </c>
      <c r="I30" s="1"/>
      <c r="J30" s="5">
        <f t="shared" si="9"/>
        <v>0</v>
      </c>
      <c r="K30" s="1"/>
      <c r="L30" s="1">
        <f t="shared" si="10"/>
        <v>109.13</v>
      </c>
      <c r="M30" s="1"/>
      <c r="N30" s="5">
        <f t="shared" si="11"/>
        <v>-1</v>
      </c>
      <c r="O30" s="13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-618.78</v>
      </c>
      <c r="U30" s="1"/>
      <c r="V30" s="5">
        <f t="shared" si="13"/>
        <v>0</v>
      </c>
      <c r="W30" s="1"/>
      <c r="X30" s="1">
        <f t="shared" si="14"/>
        <v>618.78</v>
      </c>
      <c r="Y30" s="1"/>
      <c r="Z30" s="5">
        <f t="shared" si="15"/>
        <v>-1</v>
      </c>
    </row>
    <row r="31" spans="1:26" s="24" customFormat="1" hidden="1" outlineLevel="2" x14ac:dyDescent="0.25">
      <c r="A31" s="27"/>
      <c r="B31" s="11" t="str">
        <f>CONCATENATE("          ", "6279", " - ", "GENERAL EXPENSE")</f>
        <v xml:space="preserve">          6279 - GENERAL EXPENSE</v>
      </c>
      <c r="C31" s="11"/>
      <c r="D31" s="7"/>
      <c r="E31" s="2"/>
      <c r="F31" s="6">
        <f t="shared" si="8"/>
        <v>0</v>
      </c>
      <c r="G31" s="2"/>
      <c r="H31" s="7">
        <v>-109.13</v>
      </c>
      <c r="I31" s="2"/>
      <c r="J31" s="6">
        <f t="shared" si="9"/>
        <v>0</v>
      </c>
      <c r="K31" s="2"/>
      <c r="L31" s="7">
        <f t="shared" si="10"/>
        <v>109.13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-618.78</v>
      </c>
      <c r="U31" s="2"/>
      <c r="V31" s="6">
        <f t="shared" si="13"/>
        <v>0</v>
      </c>
      <c r="W31" s="2"/>
      <c r="X31" s="7">
        <f t="shared" si="14"/>
        <v>618.78</v>
      </c>
      <c r="Y31" s="2"/>
      <c r="Z31" s="6">
        <f t="shared" si="15"/>
        <v>-1</v>
      </c>
    </row>
    <row r="32" spans="1:26" s="25" customFormat="1" outlineLevel="1" collapsed="1" x14ac:dyDescent="0.25">
      <c r="A32" s="26"/>
      <c r="B32" s="13" t="str">
        <f>CONCATENATE("     ","Insurance                                         ")</f>
        <v xml:space="preserve">     Insurance                                         </v>
      </c>
      <c r="C32" s="13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24.56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3"/>
      <c r="P32" s="1">
        <f>SUM(OSRRefP22_3x_0)</f>
        <v>147.36000000000001</v>
      </c>
      <c r="Q32" s="1"/>
      <c r="R32" s="5">
        <f t="shared" si="12"/>
        <v>0</v>
      </c>
      <c r="S32" s="1"/>
      <c r="T32" s="1">
        <f>SUM(OSRRefT22_3x_0)</f>
        <v>147.36000000000001</v>
      </c>
      <c r="U32" s="1"/>
      <c r="V32" s="5">
        <f t="shared" si="13"/>
        <v>0</v>
      </c>
      <c r="W32" s="1"/>
      <c r="X32" s="1">
        <f t="shared" si="14"/>
        <v>0</v>
      </c>
      <c r="Y32" s="1"/>
      <c r="Z32" s="5">
        <f t="shared" si="15"/>
        <v>0</v>
      </c>
    </row>
    <row r="33" spans="1:26" s="24" customFormat="1" hidden="1" outlineLevel="2" x14ac:dyDescent="0.25">
      <c r="A33" s="27"/>
      <c r="B33" s="11" t="str">
        <f>CONCATENATE("          ", "6314", " - ", "LIABILITY INSURANCE")</f>
        <v xml:space="preserve">          6314 - LIABILITY INSURANCE</v>
      </c>
      <c r="C33" s="11"/>
      <c r="D33" s="7">
        <v>24.56</v>
      </c>
      <c r="E33" s="2"/>
      <c r="F33" s="6">
        <f t="shared" si="8"/>
        <v>0</v>
      </c>
      <c r="G33" s="2"/>
      <c r="H33" s="7">
        <v>24.56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>
        <v>147.36000000000001</v>
      </c>
      <c r="Q33" s="2"/>
      <c r="R33" s="6">
        <f t="shared" si="12"/>
        <v>0</v>
      </c>
      <c r="S33" s="2"/>
      <c r="T33" s="7">
        <v>147.36000000000001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5" customFormat="1" outlineLevel="1" collapsed="1" x14ac:dyDescent="0.25">
      <c r="A34" s="26"/>
      <c r="B34" s="13" t="str">
        <f>CONCATENATE("     ","Repair and Maintenance                            ")</f>
        <v xml:space="preserve">     Repair and Maintenance                            </v>
      </c>
      <c r="C34" s="13"/>
      <c r="D34" s="1">
        <f>SUM(OSRRefD22_4x_0)</f>
        <v>866</v>
      </c>
      <c r="E34" s="1"/>
      <c r="F34" s="5">
        <f t="shared" si="8"/>
        <v>0</v>
      </c>
      <c r="G34" s="1"/>
      <c r="H34" s="1">
        <f>SUM(OSRRefH22_4x_0)</f>
        <v>1405.95</v>
      </c>
      <c r="I34" s="1"/>
      <c r="J34" s="5">
        <f t="shared" si="9"/>
        <v>0</v>
      </c>
      <c r="K34" s="1"/>
      <c r="L34" s="1">
        <f t="shared" si="10"/>
        <v>-539.95000000000005</v>
      </c>
      <c r="M34" s="1"/>
      <c r="N34" s="5">
        <f t="shared" si="11"/>
        <v>-0.3840463743376365</v>
      </c>
      <c r="O34" s="13"/>
      <c r="P34" s="1">
        <f>SUM(OSRRefP22_4x_0)</f>
        <v>6500.29</v>
      </c>
      <c r="Q34" s="1"/>
      <c r="R34" s="5">
        <f t="shared" si="12"/>
        <v>0</v>
      </c>
      <c r="S34" s="1"/>
      <c r="T34" s="1">
        <f>SUM(OSRRefT22_4x_0)</f>
        <v>7524.86</v>
      </c>
      <c r="U34" s="1"/>
      <c r="V34" s="5">
        <f t="shared" si="13"/>
        <v>0</v>
      </c>
      <c r="W34" s="1"/>
      <c r="X34" s="1">
        <f t="shared" si="14"/>
        <v>-1024.5699999999997</v>
      </c>
      <c r="Y34" s="1"/>
      <c r="Z34" s="5">
        <f t="shared" si="15"/>
        <v>-0.13615801489994495</v>
      </c>
    </row>
    <row r="35" spans="1:26" s="24" customFormat="1" hidden="1" outlineLevel="2" x14ac:dyDescent="0.25">
      <c r="A35" s="27"/>
      <c r="B35" s="11" t="str">
        <f>CONCATENATE("          ", "6373", " - ", "MAINTENANCE CONTRACTS")</f>
        <v xml:space="preserve">          6373 - MAINTENANCE CONTRACTS</v>
      </c>
      <c r="C35" s="11"/>
      <c r="D35" s="7">
        <v>866</v>
      </c>
      <c r="E35" s="2"/>
      <c r="F35" s="6">
        <f t="shared" si="8"/>
        <v>0</v>
      </c>
      <c r="G35" s="2"/>
      <c r="H35" s="7">
        <v>1405.95</v>
      </c>
      <c r="I35" s="2"/>
      <c r="J35" s="6">
        <f t="shared" si="9"/>
        <v>0</v>
      </c>
      <c r="K35" s="2"/>
      <c r="L35" s="7">
        <f t="shared" si="10"/>
        <v>-539.95000000000005</v>
      </c>
      <c r="M35" s="2"/>
      <c r="N35" s="6">
        <f t="shared" si="11"/>
        <v>-0.3840463743376365</v>
      </c>
      <c r="O35" s="11"/>
      <c r="P35" s="7">
        <v>4330</v>
      </c>
      <c r="Q35" s="2"/>
      <c r="R35" s="6">
        <f t="shared" si="12"/>
        <v>0</v>
      </c>
      <c r="S35" s="2"/>
      <c r="T35" s="7">
        <v>7029.75</v>
      </c>
      <c r="U35" s="2"/>
      <c r="V35" s="6">
        <f t="shared" si="13"/>
        <v>0</v>
      </c>
      <c r="W35" s="2"/>
      <c r="X35" s="7">
        <f t="shared" si="14"/>
        <v>-2699.75</v>
      </c>
      <c r="Y35" s="2"/>
      <c r="Z35" s="6">
        <f t="shared" si="15"/>
        <v>-0.3840463743376365</v>
      </c>
    </row>
    <row r="36" spans="1:26" s="24" customFormat="1" hidden="1" outlineLevel="2" x14ac:dyDescent="0.25">
      <c r="A36" s="27"/>
      <c r="B36" s="11" t="str">
        <f>CONCATENATE("          ", "6375", " - ", "OUTSIDE REPAIRS &amp; MAINTENANCE")</f>
        <v xml:space="preserve">          6375 - OUTSIDE REPAIRS &amp; MAINTENANCE</v>
      </c>
      <c r="C36" s="11"/>
      <c r="D36" s="7"/>
      <c r="E36" s="2"/>
      <c r="F36" s="6">
        <f t="shared" si="8"/>
        <v>0</v>
      </c>
      <c r="G36" s="2"/>
      <c r="H36" s="7"/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2170.29</v>
      </c>
      <c r="Q36" s="2"/>
      <c r="R36" s="6">
        <f t="shared" si="12"/>
        <v>0</v>
      </c>
      <c r="S36" s="2"/>
      <c r="T36" s="7">
        <v>495.11</v>
      </c>
      <c r="U36" s="2"/>
      <c r="V36" s="6">
        <f t="shared" si="13"/>
        <v>0</v>
      </c>
      <c r="W36" s="2"/>
      <c r="X36" s="7">
        <f t="shared" si="14"/>
        <v>1675.1799999999998</v>
      </c>
      <c r="Y36" s="2"/>
      <c r="Z36" s="6">
        <f t="shared" si="15"/>
        <v>3.3834501423925993</v>
      </c>
    </row>
    <row r="37" spans="1:26" s="25" customFormat="1" outlineLevel="1" collapsed="1" x14ac:dyDescent="0.25">
      <c r="A37" s="26"/>
      <c r="B37" s="13" t="str">
        <f>CONCATENATE("     ","Services                                          ")</f>
        <v xml:space="preserve">     Services                                          </v>
      </c>
      <c r="C37" s="13"/>
      <c r="D37" s="1">
        <f>SUM(OSRRefD22_5x_0)</f>
        <v>0</v>
      </c>
      <c r="E37" s="1"/>
      <c r="F37" s="5">
        <f t="shared" ref="F37:F42" si="16">IF(D$12=0,0,D37/D$12)</f>
        <v>0</v>
      </c>
      <c r="G37" s="1"/>
      <c r="H37" s="1">
        <f>SUM(OSRRefH22_5x_0)</f>
        <v>8.84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-8.84</v>
      </c>
      <c r="M37" s="1"/>
      <c r="N37" s="5">
        <f t="shared" ref="N37:N42" si="19">IF(H37=0,0,L37/H37)</f>
        <v>-1</v>
      </c>
      <c r="O37" s="13"/>
      <c r="P37" s="1">
        <f>SUM(OSRRefP22_5x_0)</f>
        <v>0</v>
      </c>
      <c r="Q37" s="1"/>
      <c r="R37" s="5">
        <f t="shared" ref="R37:R42" si="20">IF(P$12=0,0,P37/P$12)</f>
        <v>0</v>
      </c>
      <c r="S37" s="1"/>
      <c r="T37" s="1">
        <f>SUM(OSRRefT22_5x_0)</f>
        <v>48.62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-48.62</v>
      </c>
      <c r="Y37" s="1"/>
      <c r="Z37" s="5">
        <f t="shared" ref="Z37:Z42" si="23">IF(T37=0,0,X37/T37)</f>
        <v>-1</v>
      </c>
    </row>
    <row r="38" spans="1:26" s="24" customFormat="1" hidden="1" outlineLevel="2" x14ac:dyDescent="0.25">
      <c r="A38" s="27"/>
      <c r="B38" s="11" t="str">
        <f>CONCATENATE("          ", "6286", " - ", "LAUNDRY EXPENSE")</f>
        <v xml:space="preserve">          6286 - LAUNDRY EXPENSE</v>
      </c>
      <c r="C38" s="11"/>
      <c r="D38" s="7"/>
      <c r="E38" s="2"/>
      <c r="F38" s="6">
        <f t="shared" si="16"/>
        <v>0</v>
      </c>
      <c r="G38" s="2"/>
      <c r="H38" s="7">
        <v>8.84</v>
      </c>
      <c r="I38" s="2"/>
      <c r="J38" s="6">
        <f t="shared" si="17"/>
        <v>0</v>
      </c>
      <c r="K38" s="2"/>
      <c r="L38" s="7">
        <f t="shared" si="18"/>
        <v>-8.84</v>
      </c>
      <c r="M38" s="2"/>
      <c r="N38" s="6">
        <f t="shared" si="19"/>
        <v>-1</v>
      </c>
      <c r="O38" s="11"/>
      <c r="P38" s="7"/>
      <c r="Q38" s="2"/>
      <c r="R38" s="6">
        <f t="shared" si="20"/>
        <v>0</v>
      </c>
      <c r="S38" s="2"/>
      <c r="T38" s="7">
        <v>48.62</v>
      </c>
      <c r="U38" s="2"/>
      <c r="V38" s="6">
        <f t="shared" si="21"/>
        <v>0</v>
      </c>
      <c r="W38" s="2"/>
      <c r="X38" s="7">
        <f t="shared" si="22"/>
        <v>-48.62</v>
      </c>
      <c r="Y38" s="2"/>
      <c r="Z38" s="6">
        <f t="shared" si="23"/>
        <v>-1</v>
      </c>
    </row>
    <row r="39" spans="1:26" s="25" customFormat="1" outlineLevel="1" collapsed="1" x14ac:dyDescent="0.25">
      <c r="A39" s="26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313.08999999999997</v>
      </c>
      <c r="I39" s="1"/>
      <c r="J39" s="5">
        <f t="shared" si="17"/>
        <v>0</v>
      </c>
      <c r="K39" s="1"/>
      <c r="L39" s="1">
        <f t="shared" si="18"/>
        <v>-313.08999999999997</v>
      </c>
      <c r="M39" s="1"/>
      <c r="N39" s="5">
        <f t="shared" si="19"/>
        <v>-1</v>
      </c>
      <c r="O39" s="13"/>
      <c r="P39" s="1">
        <f>SUM(OSRRefP22_6x_0)</f>
        <v>82.04</v>
      </c>
      <c r="Q39" s="1"/>
      <c r="R39" s="5">
        <f t="shared" si="20"/>
        <v>0</v>
      </c>
      <c r="S39" s="1"/>
      <c r="T39" s="1">
        <f>SUM(OSRRefT22_6x_0)</f>
        <v>1058.01</v>
      </c>
      <c r="U39" s="1"/>
      <c r="V39" s="5">
        <f t="shared" si="21"/>
        <v>0</v>
      </c>
      <c r="W39" s="1"/>
      <c r="X39" s="1">
        <f t="shared" si="22"/>
        <v>-975.97</v>
      </c>
      <c r="Y39" s="1"/>
      <c r="Z39" s="5">
        <f t="shared" si="23"/>
        <v>-0.92245819982797894</v>
      </c>
    </row>
    <row r="40" spans="1:26" s="24" customFormat="1" hidden="1" outlineLevel="2" x14ac:dyDescent="0.25">
      <c r="A40" s="27"/>
      <c r="B40" s="11" t="str">
        <f>CONCATENATE("          ", "6234", " - ", "EXPENDABLE SUPPLIES &amp; EQUIPMEN")</f>
        <v xml:space="preserve">          6234 - EXPENDABLE SUPPLIES &amp; EQUIPMEN</v>
      </c>
      <c r="C40" s="11"/>
      <c r="D40" s="7"/>
      <c r="E40" s="2"/>
      <c r="F40" s="6">
        <f t="shared" si="16"/>
        <v>0</v>
      </c>
      <c r="G40" s="2"/>
      <c r="H40" s="7">
        <v>313.08999999999997</v>
      </c>
      <c r="I40" s="2"/>
      <c r="J40" s="6">
        <f t="shared" si="17"/>
        <v>0</v>
      </c>
      <c r="K40" s="2"/>
      <c r="L40" s="7">
        <f t="shared" si="18"/>
        <v>-313.08999999999997</v>
      </c>
      <c r="M40" s="2"/>
      <c r="N40" s="6">
        <f t="shared" si="19"/>
        <v>-1</v>
      </c>
      <c r="O40" s="11"/>
      <c r="P40" s="7"/>
      <c r="Q40" s="2"/>
      <c r="R40" s="6">
        <f t="shared" si="20"/>
        <v>0</v>
      </c>
      <c r="S40" s="2"/>
      <c r="T40" s="7">
        <v>1006.59</v>
      </c>
      <c r="U40" s="2"/>
      <c r="V40" s="6">
        <f t="shared" si="21"/>
        <v>0</v>
      </c>
      <c r="W40" s="2"/>
      <c r="X40" s="7">
        <f t="shared" si="22"/>
        <v>-1006.59</v>
      </c>
      <c r="Y40" s="2"/>
      <c r="Z40" s="6">
        <f t="shared" si="23"/>
        <v>-1</v>
      </c>
    </row>
    <row r="41" spans="1:26" s="24" customFormat="1" hidden="1" outlineLevel="2" x14ac:dyDescent="0.25">
      <c r="A41" s="27"/>
      <c r="B41" s="11" t="str">
        <f>CONCATENATE("          ", "6235", " - ", "COVID-19 EXPENSES")</f>
        <v xml:space="preserve">          6235 - COVID-19 EXPENSES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66.12</v>
      </c>
      <c r="Q41" s="2"/>
      <c r="R41" s="6">
        <f t="shared" si="20"/>
        <v>0</v>
      </c>
      <c r="S41" s="2"/>
      <c r="T41" s="7"/>
      <c r="U41" s="2"/>
      <c r="V41" s="6">
        <f t="shared" si="21"/>
        <v>0</v>
      </c>
      <c r="W41" s="2"/>
      <c r="X41" s="7">
        <f t="shared" si="22"/>
        <v>66.12</v>
      </c>
      <c r="Y41" s="2"/>
      <c r="Z41" s="6">
        <f t="shared" si="23"/>
        <v>0</v>
      </c>
    </row>
    <row r="42" spans="1:26" s="24" customFormat="1" hidden="1" outlineLevel="2" x14ac:dyDescent="0.25">
      <c r="A42" s="27"/>
      <c r="B42" s="11" t="str">
        <f>CONCATENATE("          ", "6241", " - ", "OFFICE EXPENSE")</f>
        <v xml:space="preserve">          6241 - OFFICE EXPENSE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>
        <v>15.92</v>
      </c>
      <c r="Q42" s="2"/>
      <c r="R42" s="6">
        <f t="shared" si="20"/>
        <v>0</v>
      </c>
      <c r="S42" s="2"/>
      <c r="T42" s="7">
        <v>51.42</v>
      </c>
      <c r="U42" s="2"/>
      <c r="V42" s="6">
        <f t="shared" si="21"/>
        <v>0</v>
      </c>
      <c r="W42" s="2"/>
      <c r="X42" s="7">
        <f t="shared" si="22"/>
        <v>-35.5</v>
      </c>
      <c r="Y42" s="2"/>
      <c r="Z42" s="6">
        <f t="shared" si="23"/>
        <v>-0.69039284325165307</v>
      </c>
    </row>
    <row r="43" spans="1:26" s="25" customFormat="1" outlineLevel="1" collapsed="1" x14ac:dyDescent="0.25">
      <c r="A43" s="26"/>
      <c r="B43" s="13" t="str">
        <f>CONCATENATE("     ","Telephone/Data Lines                              ")</f>
        <v xml:space="preserve">     Telephone/Data Lines                              </v>
      </c>
      <c r="C43" s="13"/>
      <c r="D43" s="1">
        <f>SUM(OSRRefD22_7x_0)</f>
        <v>223</v>
      </c>
      <c r="E43" s="1"/>
      <c r="F43" s="5">
        <f t="shared" ref="F43:F46" si="24">IF(D$12=0,0,D43/D$12)</f>
        <v>0</v>
      </c>
      <c r="G43" s="1"/>
      <c r="H43" s="1">
        <f>SUM(OSRRefH22_7x_0)</f>
        <v>73.3</v>
      </c>
      <c r="I43" s="1"/>
      <c r="J43" s="5">
        <f t="shared" ref="J43:J46" si="25">IF(H$12=0,0,H43/H$12)</f>
        <v>0</v>
      </c>
      <c r="K43" s="1"/>
      <c r="L43" s="1">
        <f t="shared" ref="L43:L46" si="26">+D43-H43</f>
        <v>149.69999999999999</v>
      </c>
      <c r="M43" s="1"/>
      <c r="N43" s="5">
        <f t="shared" ref="N43:N46" si="27">IF(H43=0,0,L43/H43)</f>
        <v>2.0422919508867667</v>
      </c>
      <c r="O43" s="13"/>
      <c r="P43" s="1">
        <f>SUM(OSRRefP22_7x_0)</f>
        <v>567</v>
      </c>
      <c r="Q43" s="1"/>
      <c r="R43" s="5">
        <f t="shared" ref="R43:R46" si="28">IF(P$12=0,0,P43/P$12)</f>
        <v>0</v>
      </c>
      <c r="S43" s="1"/>
      <c r="T43" s="1">
        <f>SUM(OSRRefT22_7x_0)</f>
        <v>386.2</v>
      </c>
      <c r="U43" s="1"/>
      <c r="V43" s="5">
        <f t="shared" ref="V43:V46" si="29">IF(T$12=0,0,T43/T$12)</f>
        <v>0</v>
      </c>
      <c r="W43" s="1"/>
      <c r="X43" s="1">
        <f t="shared" ref="X43:X46" si="30">+P43-T43</f>
        <v>180.8</v>
      </c>
      <c r="Y43" s="1"/>
      <c r="Z43" s="5">
        <f t="shared" ref="Z43:Z46" si="31">IF(T43=0,0,X43/T43)</f>
        <v>0.46815121698601764</v>
      </c>
    </row>
    <row r="44" spans="1:26" s="24" customFormat="1" hidden="1" outlineLevel="2" x14ac:dyDescent="0.25">
      <c r="A44" s="27"/>
      <c r="B44" s="11" t="str">
        <f>CONCATENATE("          ", "6309", " - ", "TELEPHONE")</f>
        <v xml:space="preserve">          6309 - TELEPHONE</v>
      </c>
      <c r="C44" s="11"/>
      <c r="D44" s="7">
        <v>223</v>
      </c>
      <c r="E44" s="2"/>
      <c r="F44" s="6">
        <f t="shared" si="24"/>
        <v>0</v>
      </c>
      <c r="G44" s="2"/>
      <c r="H44" s="7">
        <v>73.3</v>
      </c>
      <c r="I44" s="2"/>
      <c r="J44" s="6">
        <f t="shared" si="25"/>
        <v>0</v>
      </c>
      <c r="K44" s="2"/>
      <c r="L44" s="7">
        <f t="shared" si="26"/>
        <v>149.69999999999999</v>
      </c>
      <c r="M44" s="2"/>
      <c r="N44" s="6">
        <f t="shared" si="27"/>
        <v>2.0422919508867667</v>
      </c>
      <c r="O44" s="11"/>
      <c r="P44" s="7">
        <v>567</v>
      </c>
      <c r="Q44" s="2"/>
      <c r="R44" s="6">
        <f t="shared" si="28"/>
        <v>0</v>
      </c>
      <c r="S44" s="2"/>
      <c r="T44" s="7">
        <v>386.2</v>
      </c>
      <c r="U44" s="2"/>
      <c r="V44" s="6">
        <f t="shared" si="29"/>
        <v>0</v>
      </c>
      <c r="W44" s="2"/>
      <c r="X44" s="7">
        <f t="shared" si="30"/>
        <v>180.8</v>
      </c>
      <c r="Y44" s="2"/>
      <c r="Z44" s="6">
        <f t="shared" si="31"/>
        <v>0.46815121698601764</v>
      </c>
    </row>
    <row r="45" spans="1:26" s="25" customFormat="1" outlineLevel="1" collapsed="1" x14ac:dyDescent="0.25">
      <c r="A45" s="26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SUM(OSRRefD22_8x_0)</f>
        <v>0</v>
      </c>
      <c r="E45" s="1"/>
      <c r="F45" s="5">
        <f t="shared" si="24"/>
        <v>0</v>
      </c>
      <c r="G45" s="1"/>
      <c r="H45" s="1">
        <f>SUM(OSRRefH22_8x_0)</f>
        <v>0</v>
      </c>
      <c r="I45" s="1"/>
      <c r="J45" s="5">
        <f t="shared" si="25"/>
        <v>0</v>
      </c>
      <c r="K45" s="1"/>
      <c r="L45" s="1">
        <f t="shared" si="26"/>
        <v>0</v>
      </c>
      <c r="M45" s="1"/>
      <c r="N45" s="5">
        <f t="shared" si="27"/>
        <v>0</v>
      </c>
      <c r="O45" s="13"/>
      <c r="P45" s="1">
        <f>SUM(OSRRefP22_8x_0)</f>
        <v>0</v>
      </c>
      <c r="Q45" s="1"/>
      <c r="R45" s="5">
        <f t="shared" si="28"/>
        <v>0</v>
      </c>
      <c r="S45" s="1"/>
      <c r="T45" s="1">
        <f>SUM(OSRRefT22_8x_0)</f>
        <v>256.86</v>
      </c>
      <c r="U45" s="1"/>
      <c r="V45" s="5">
        <f t="shared" si="29"/>
        <v>0</v>
      </c>
      <c r="W45" s="1"/>
      <c r="X45" s="1">
        <f t="shared" si="30"/>
        <v>-256.86</v>
      </c>
      <c r="Y45" s="1"/>
      <c r="Z45" s="5">
        <f t="shared" si="31"/>
        <v>-1</v>
      </c>
    </row>
    <row r="46" spans="1:26" s="24" customFormat="1" hidden="1" outlineLevel="2" x14ac:dyDescent="0.25">
      <c r="A46" s="27"/>
      <c r="B46" s="11" t="str">
        <f>CONCATENATE("          ", "6292", " - ", "TRAVEL/CONFERENCE")</f>
        <v xml:space="preserve">          6292 - TRAVEL/CONFERENCE</v>
      </c>
      <c r="C46" s="11"/>
      <c r="D46" s="7"/>
      <c r="E46" s="2"/>
      <c r="F46" s="6">
        <f t="shared" si="24"/>
        <v>0</v>
      </c>
      <c r="G46" s="2"/>
      <c r="H46" s="7"/>
      <c r="I46" s="2"/>
      <c r="J46" s="6">
        <f t="shared" si="25"/>
        <v>0</v>
      </c>
      <c r="K46" s="2"/>
      <c r="L46" s="7">
        <f t="shared" si="26"/>
        <v>0</v>
      </c>
      <c r="M46" s="2"/>
      <c r="N46" s="6">
        <f t="shared" si="27"/>
        <v>0</v>
      </c>
      <c r="O46" s="11"/>
      <c r="P46" s="7"/>
      <c r="Q46" s="2"/>
      <c r="R46" s="6">
        <f t="shared" si="28"/>
        <v>0</v>
      </c>
      <c r="S46" s="2"/>
      <c r="T46" s="7">
        <v>256.86</v>
      </c>
      <c r="U46" s="2"/>
      <c r="V46" s="6">
        <f t="shared" si="29"/>
        <v>0</v>
      </c>
      <c r="W46" s="2"/>
      <c r="X46" s="7">
        <f t="shared" si="30"/>
        <v>-256.86</v>
      </c>
      <c r="Y46" s="2"/>
      <c r="Z46" s="6">
        <f t="shared" si="31"/>
        <v>-1</v>
      </c>
    </row>
    <row r="47" spans="1:26" s="55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9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8" t="s">
        <v>3</v>
      </c>
      <c r="C50" s="28"/>
      <c r="D50" s="20">
        <f>+D16-D18+D48</f>
        <v>-7720.61</v>
      </c>
      <c r="E50" s="14"/>
      <c r="F50" s="21">
        <f>IF(D$12=0,0,D50/D$12)</f>
        <v>0</v>
      </c>
      <c r="G50" s="14"/>
      <c r="H50" s="20">
        <f>+H16-H18+H48</f>
        <v>-7290.1100000000006</v>
      </c>
      <c r="I50" s="14"/>
      <c r="J50" s="21">
        <f>IF(H$12=0,0,H50/H$12)</f>
        <v>0</v>
      </c>
      <c r="K50" s="15"/>
      <c r="L50" s="20">
        <f>+D50-H50</f>
        <v>-430.49999999999909</v>
      </c>
      <c r="M50" s="15"/>
      <c r="N50" s="21">
        <f>IF(H50=0,0,L50/H50)</f>
        <v>5.9052606887961781E-2</v>
      </c>
      <c r="O50" s="29"/>
      <c r="P50" s="20">
        <f>+P16-P18+P48</f>
        <v>-47588.160000000003</v>
      </c>
      <c r="Q50" s="14"/>
      <c r="R50" s="21">
        <f>IF(P$12=0,0,P50/P$12)</f>
        <v>0</v>
      </c>
      <c r="S50" s="14"/>
      <c r="T50" s="20">
        <f>+T16-T18+T48</f>
        <v>-49882.68</v>
      </c>
      <c r="U50" s="14"/>
      <c r="V50" s="21">
        <f>IF(T$12=0,0,T50/T$12)</f>
        <v>0</v>
      </c>
      <c r="W50" s="15"/>
      <c r="X50" s="20">
        <f>+P50-T50</f>
        <v>2294.5199999999968</v>
      </c>
      <c r="Y50" s="15"/>
      <c r="Z50" s="21">
        <f>IF(T50=0,0,X50/T50)</f>
        <v>-4.5998330482644414E-2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8" t="s">
        <v>4</v>
      </c>
      <c r="C54" s="28"/>
      <c r="D54" s="33">
        <f>+D50-D52</f>
        <v>-7720.61</v>
      </c>
      <c r="E54" s="14"/>
      <c r="F54" s="34">
        <f>IF(D$12=0,0,D54/D$12)</f>
        <v>0</v>
      </c>
      <c r="G54" s="14"/>
      <c r="H54" s="33">
        <f>+H50-H52</f>
        <v>-7290.1100000000006</v>
      </c>
      <c r="I54" s="14"/>
      <c r="J54" s="34">
        <f>IF(H$12=0,0,H54/H$12)</f>
        <v>0</v>
      </c>
      <c r="K54" s="15"/>
      <c r="L54" s="33">
        <f>D54-H54</f>
        <v>-430.49999999999909</v>
      </c>
      <c r="M54" s="15"/>
      <c r="N54" s="34">
        <f>IF(H54=0,0,L54/H54)</f>
        <v>5.9052606887961781E-2</v>
      </c>
      <c r="O54" s="29"/>
      <c r="P54" s="33">
        <f>+P50-P52</f>
        <v>-47588.160000000003</v>
      </c>
      <c r="Q54" s="14"/>
      <c r="R54" s="34">
        <f>IF(P$12=0,0,P54/P$12)</f>
        <v>0</v>
      </c>
      <c r="S54" s="14"/>
      <c r="T54" s="33">
        <f>+T50-T52</f>
        <v>-49882.68</v>
      </c>
      <c r="U54" s="14"/>
      <c r="V54" s="34">
        <f>IF(T$12=0,0,T54/T$12)</f>
        <v>0</v>
      </c>
      <c r="W54" s="15"/>
      <c r="X54" s="33">
        <f>P54-T54</f>
        <v>2294.5199999999968</v>
      </c>
      <c r="Y54" s="15"/>
      <c r="Z54" s="34">
        <f>IF(T54=0,0,X54/T54)</f>
        <v>-4.5998330482644414E-2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5</v>
      </c>
      <c r="C57" s="28"/>
      <c r="D57" s="30">
        <f>SUM(D54:D56)</f>
        <v>-7720.61</v>
      </c>
      <c r="E57" s="14"/>
      <c r="F57" s="32">
        <f>IF(D$12=0,0,D57/D$12)</f>
        <v>0</v>
      </c>
      <c r="G57" s="14"/>
      <c r="H57" s="30">
        <f>SUM(H54:H56)</f>
        <v>-7290.1100000000006</v>
      </c>
      <c r="I57" s="14"/>
      <c r="J57" s="32">
        <f>IF(H$12=0,0,H57/H$12)</f>
        <v>0</v>
      </c>
      <c r="K57" s="15"/>
      <c r="L57" s="30">
        <f>+D57-H57</f>
        <v>-430.49999999999909</v>
      </c>
      <c r="M57" s="15"/>
      <c r="N57" s="32">
        <f>IF(H57=0,0,L57/H57)</f>
        <v>5.9052606887961781E-2</v>
      </c>
      <c r="O57" s="29"/>
      <c r="P57" s="30">
        <f>SUM(P54:P56)</f>
        <v>-47588.160000000003</v>
      </c>
      <c r="Q57" s="14"/>
      <c r="R57" s="32">
        <f>IF(P$12=0,0,P57/P$12)</f>
        <v>0</v>
      </c>
      <c r="S57" s="14"/>
      <c r="T57" s="30">
        <f>SUM(T54:T56)</f>
        <v>-49882.68</v>
      </c>
      <c r="U57" s="14"/>
      <c r="V57" s="32">
        <f>IF(T$12=0,0,T57/T$12)</f>
        <v>0</v>
      </c>
      <c r="W57" s="15"/>
      <c r="X57" s="30">
        <f>+P57-T57</f>
        <v>2294.5199999999968</v>
      </c>
      <c r="Y57" s="15"/>
      <c r="Z57" s="32">
        <f>IF(T57=0,0,X57/T57)</f>
        <v>-4.5998330482644414E-2</v>
      </c>
    </row>
    <row r="58" spans="1:26" ht="15.75" thickTop="1" x14ac:dyDescent="0.25">
      <c r="A58" s="9"/>
      <c r="C58" s="9"/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25">
      <c r="A59" s="9"/>
      <c r="B59" s="58">
        <v>44209.521630555559</v>
      </c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25">
      <c r="A60" s="9"/>
      <c r="B60" s="61" t="s">
        <v>313</v>
      </c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  <row r="61" spans="1:26" x14ac:dyDescent="0.25">
      <c r="A61" s="9"/>
      <c r="B61" s="57"/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","206", " - ", "Graphics")</f>
        <v>Department 206 - Graphics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8483.08</v>
      </c>
      <c r="E18" s="22"/>
      <c r="F18" s="36">
        <f t="shared" ref="F18:F26" si="0">IF(D$12=0,0,D18/D$12)</f>
        <v>0</v>
      </c>
      <c r="G18" s="22"/>
      <c r="H18" s="22">
        <f>SUM(OSRRefH22x_0)</f>
        <v>7117.0700000000006</v>
      </c>
      <c r="I18" s="22"/>
      <c r="J18" s="36">
        <f t="shared" ref="J18:J26" si="1">IF(H$12=0,0,H18/H$12)</f>
        <v>0</v>
      </c>
      <c r="K18" s="4"/>
      <c r="L18" s="22">
        <f t="shared" ref="L18:L26" si="2">+D18-H18</f>
        <v>1366.0099999999993</v>
      </c>
      <c r="M18" s="4"/>
      <c r="N18" s="36">
        <f t="shared" ref="N18:N26" si="3">IF(H18=0,0,L18/H18)</f>
        <v>0.19193432128670918</v>
      </c>
      <c r="O18" s="10"/>
      <c r="P18" s="22">
        <f>SUM(OSRRefP22x_0)</f>
        <v>52242.79</v>
      </c>
      <c r="Q18" s="22"/>
      <c r="R18" s="36">
        <f t="shared" ref="R18:R26" si="4">IF(P$12=0,0,P18/P$12)</f>
        <v>0</v>
      </c>
      <c r="S18" s="22"/>
      <c r="T18" s="22">
        <f>SUM(OSRRefT22x_0)</f>
        <v>43721.52</v>
      </c>
      <c r="U18" s="22"/>
      <c r="V18" s="36">
        <f t="shared" ref="V18:V26" si="5">IF(T$12=0,0,T18/T$12)</f>
        <v>0</v>
      </c>
      <c r="W18" s="4"/>
      <c r="X18" s="22">
        <f t="shared" ref="X18:X26" si="6">+P18-T18</f>
        <v>8521.2700000000041</v>
      </c>
      <c r="Y18" s="4"/>
      <c r="Z18" s="36">
        <f t="shared" ref="Z18:Z26" si="7">IF(T18=0,0,X18/T18)</f>
        <v>0.19489875923801378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1535.0600000000002</v>
      </c>
      <c r="E19" s="1"/>
      <c r="F19" s="5">
        <f t="shared" si="0"/>
        <v>0</v>
      </c>
      <c r="G19" s="1"/>
      <c r="H19" s="1">
        <f>SUM(OSRRefH22_0x_0)</f>
        <v>1680.1399999999999</v>
      </c>
      <c r="I19" s="1"/>
      <c r="J19" s="5">
        <f t="shared" si="1"/>
        <v>0</v>
      </c>
      <c r="K19" s="1"/>
      <c r="L19" s="1">
        <f t="shared" si="2"/>
        <v>-145.0799999999997</v>
      </c>
      <c r="M19" s="1"/>
      <c r="N19" s="5">
        <f t="shared" si="3"/>
        <v>-8.634994702822367E-2</v>
      </c>
      <c r="O19" s="13"/>
      <c r="P19" s="1">
        <f>SUM(OSRRefP22_0x_0)</f>
        <v>9490.4</v>
      </c>
      <c r="Q19" s="1"/>
      <c r="R19" s="5">
        <f t="shared" si="4"/>
        <v>0</v>
      </c>
      <c r="S19" s="1"/>
      <c r="T19" s="1">
        <f>SUM(OSRRefT22_0x_0)</f>
        <v>11213.02</v>
      </c>
      <c r="U19" s="1"/>
      <c r="V19" s="5">
        <f t="shared" si="5"/>
        <v>0</v>
      </c>
      <c r="W19" s="1"/>
      <c r="X19" s="1">
        <f t="shared" si="6"/>
        <v>-1722.6200000000008</v>
      </c>
      <c r="Y19" s="1"/>
      <c r="Z19" s="5">
        <f t="shared" si="7"/>
        <v>-0.15362676602735043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399.76</v>
      </c>
      <c r="E20" s="2"/>
      <c r="F20" s="6">
        <f t="shared" si="0"/>
        <v>0</v>
      </c>
      <c r="G20" s="2"/>
      <c r="H20" s="7">
        <v>344.33</v>
      </c>
      <c r="I20" s="2"/>
      <c r="J20" s="6">
        <f t="shared" si="1"/>
        <v>0</v>
      </c>
      <c r="K20" s="2"/>
      <c r="L20" s="7">
        <f t="shared" si="2"/>
        <v>55.430000000000007</v>
      </c>
      <c r="M20" s="2"/>
      <c r="N20" s="6">
        <f t="shared" si="3"/>
        <v>0.16097929311997214</v>
      </c>
      <c r="O20" s="11"/>
      <c r="P20" s="7">
        <v>2423.41</v>
      </c>
      <c r="Q20" s="2"/>
      <c r="R20" s="6">
        <f t="shared" si="4"/>
        <v>0</v>
      </c>
      <c r="S20" s="2"/>
      <c r="T20" s="7">
        <v>3142.54</v>
      </c>
      <c r="U20" s="2"/>
      <c r="V20" s="6">
        <f t="shared" si="5"/>
        <v>0</v>
      </c>
      <c r="W20" s="2"/>
      <c r="X20" s="7">
        <f t="shared" si="6"/>
        <v>-719.13000000000011</v>
      </c>
      <c r="Y20" s="2"/>
      <c r="Z20" s="6">
        <f t="shared" si="7"/>
        <v>-0.22883718266115949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28.23</v>
      </c>
      <c r="E21" s="2"/>
      <c r="F21" s="6">
        <f t="shared" si="0"/>
        <v>0</v>
      </c>
      <c r="G21" s="2"/>
      <c r="H21" s="7">
        <v>48.37</v>
      </c>
      <c r="I21" s="2"/>
      <c r="J21" s="6">
        <f t="shared" si="1"/>
        <v>0</v>
      </c>
      <c r="K21" s="2"/>
      <c r="L21" s="7">
        <f t="shared" si="2"/>
        <v>-20.139999999999997</v>
      </c>
      <c r="M21" s="2"/>
      <c r="N21" s="6">
        <f t="shared" si="3"/>
        <v>-0.41637378540417608</v>
      </c>
      <c r="O21" s="11"/>
      <c r="P21" s="7">
        <v>136.31</v>
      </c>
      <c r="Q21" s="2"/>
      <c r="R21" s="6">
        <f t="shared" si="4"/>
        <v>0</v>
      </c>
      <c r="S21" s="2"/>
      <c r="T21" s="7">
        <v>111.24</v>
      </c>
      <c r="U21" s="2"/>
      <c r="V21" s="6">
        <f t="shared" si="5"/>
        <v>0</v>
      </c>
      <c r="W21" s="2"/>
      <c r="X21" s="7">
        <f t="shared" si="6"/>
        <v>25.070000000000007</v>
      </c>
      <c r="Y21" s="2"/>
      <c r="Z21" s="6">
        <f t="shared" si="7"/>
        <v>0.22536857245595118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700.87</v>
      </c>
      <c r="E22" s="2"/>
      <c r="F22" s="6">
        <f t="shared" si="0"/>
        <v>0</v>
      </c>
      <c r="G22" s="2"/>
      <c r="H22" s="7">
        <v>700.91</v>
      </c>
      <c r="I22" s="2"/>
      <c r="J22" s="6">
        <f t="shared" si="1"/>
        <v>0</v>
      </c>
      <c r="K22" s="2"/>
      <c r="L22" s="7">
        <f t="shared" si="2"/>
        <v>-3.999999999996362E-2</v>
      </c>
      <c r="M22" s="2"/>
      <c r="N22" s="6">
        <f t="shared" si="3"/>
        <v>-5.7068667874568234E-5</v>
      </c>
      <c r="O22" s="11"/>
      <c r="P22" s="7">
        <v>4205.22</v>
      </c>
      <c r="Q22" s="2"/>
      <c r="R22" s="6">
        <f t="shared" si="4"/>
        <v>0</v>
      </c>
      <c r="S22" s="2"/>
      <c r="T22" s="7">
        <v>4205.46</v>
      </c>
      <c r="U22" s="2"/>
      <c r="V22" s="6">
        <f t="shared" si="5"/>
        <v>0</v>
      </c>
      <c r="W22" s="2"/>
      <c r="X22" s="7">
        <f t="shared" si="6"/>
        <v>-0.23999999999978172</v>
      </c>
      <c r="Y22" s="2"/>
      <c r="Z22" s="6">
        <f t="shared" si="7"/>
        <v>-5.7068667874568234E-5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36.99</v>
      </c>
      <c r="I23" s="2"/>
      <c r="J23" s="6">
        <f t="shared" si="1"/>
        <v>0</v>
      </c>
      <c r="K23" s="2"/>
      <c r="L23" s="7">
        <f t="shared" si="2"/>
        <v>-36.99</v>
      </c>
      <c r="M23" s="2"/>
      <c r="N23" s="6">
        <f t="shared" si="3"/>
        <v>-1</v>
      </c>
      <c r="O23" s="11"/>
      <c r="P23" s="7">
        <v>85.16</v>
      </c>
      <c r="Q23" s="2"/>
      <c r="R23" s="6">
        <f t="shared" si="4"/>
        <v>0</v>
      </c>
      <c r="S23" s="2"/>
      <c r="T23" s="7">
        <v>161.22999999999999</v>
      </c>
      <c r="U23" s="2"/>
      <c r="V23" s="6">
        <f t="shared" si="5"/>
        <v>0</v>
      </c>
      <c r="W23" s="2"/>
      <c r="X23" s="7">
        <f t="shared" si="6"/>
        <v>-76.069999999999993</v>
      </c>
      <c r="Y23" s="2"/>
      <c r="Z23" s="6">
        <f t="shared" si="7"/>
        <v>-0.47181045711095948</v>
      </c>
    </row>
    <row r="24" spans="1:26" s="24" customFormat="1" hidden="1" outlineLevel="2" x14ac:dyDescent="0.25">
      <c r="A24" s="27"/>
      <c r="B24" s="11" t="str">
        <f>CONCATENATE("          ", "6118", " - ", "VACATION")</f>
        <v xml:space="preserve">          6118 - VACATION</v>
      </c>
      <c r="C24" s="11"/>
      <c r="D24" s="7">
        <v>184.8</v>
      </c>
      <c r="E24" s="2"/>
      <c r="F24" s="6">
        <f t="shared" si="0"/>
        <v>0</v>
      </c>
      <c r="G24" s="2"/>
      <c r="H24" s="7">
        <v>184.8</v>
      </c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1201.2</v>
      </c>
      <c r="Q24" s="2"/>
      <c r="R24" s="6">
        <f t="shared" si="4"/>
        <v>0</v>
      </c>
      <c r="S24" s="2"/>
      <c r="T24" s="7">
        <v>1201.2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24" customFormat="1" hidden="1" outlineLevel="2" x14ac:dyDescent="0.25">
      <c r="A25" s="27"/>
      <c r="B25" s="11" t="str">
        <f>CONCATENATE("          ", "6119", " - ", "SICK LEAVE")</f>
        <v xml:space="preserve">          6119 - SICK LEAVE</v>
      </c>
      <c r="C25" s="11"/>
      <c r="D25" s="7">
        <v>221.4</v>
      </c>
      <c r="E25" s="2"/>
      <c r="F25" s="6">
        <f t="shared" si="0"/>
        <v>0</v>
      </c>
      <c r="G25" s="2"/>
      <c r="H25" s="7">
        <v>221.4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1439.1</v>
      </c>
      <c r="Q25" s="2"/>
      <c r="R25" s="6">
        <f t="shared" si="4"/>
        <v>0</v>
      </c>
      <c r="S25" s="2"/>
      <c r="T25" s="7">
        <v>1439.1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"6156", " - ", "EMPLOYEE MEALS")</f>
        <v xml:space="preserve">          6156 - EMPLOYEE MEALS</v>
      </c>
      <c r="C26" s="11"/>
      <c r="D26" s="7"/>
      <c r="E26" s="2"/>
      <c r="F26" s="6">
        <f t="shared" si="0"/>
        <v>0</v>
      </c>
      <c r="G26" s="2"/>
      <c r="H26" s="7">
        <v>143.34</v>
      </c>
      <c r="I26" s="2"/>
      <c r="J26" s="6">
        <f t="shared" si="1"/>
        <v>0</v>
      </c>
      <c r="K26" s="2"/>
      <c r="L26" s="7">
        <f t="shared" si="2"/>
        <v>-143.34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952.25</v>
      </c>
      <c r="U26" s="2"/>
      <c r="V26" s="6">
        <f t="shared" si="5"/>
        <v>0</v>
      </c>
      <c r="W26" s="2"/>
      <c r="X26" s="7">
        <f t="shared" si="6"/>
        <v>-952.25</v>
      </c>
      <c r="Y26" s="2"/>
      <c r="Z26" s="6">
        <f t="shared" si="7"/>
        <v>-1</v>
      </c>
    </row>
    <row r="27" spans="1:26" s="25" customFormat="1" outlineLevel="1" collapsed="1" x14ac:dyDescent="0.25">
      <c r="A27" s="26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6467.54</v>
      </c>
      <c r="E27" s="1"/>
      <c r="F27" s="5">
        <f t="shared" ref="F27:F31" si="8">IF(D$12=0,0,D27/D$12)</f>
        <v>0</v>
      </c>
      <c r="G27" s="1"/>
      <c r="H27" s="1">
        <f>SUM(OSRRefH22_1x_0)</f>
        <v>9662.1400000000012</v>
      </c>
      <c r="I27" s="1"/>
      <c r="J27" s="5">
        <f t="shared" ref="J27:J31" si="9">IF(H$12=0,0,H27/H$12)</f>
        <v>0</v>
      </c>
      <c r="K27" s="1"/>
      <c r="L27" s="1">
        <f t="shared" ref="L27:L31" si="10">+D27-H27</f>
        <v>-3194.6000000000013</v>
      </c>
      <c r="M27" s="1"/>
      <c r="N27" s="5">
        <f t="shared" ref="N27:N31" si="11">IF(H27=0,0,L27/H27)</f>
        <v>-0.33063068843962112</v>
      </c>
      <c r="O27" s="13"/>
      <c r="P27" s="1">
        <f>SUM(OSRRefP22_1x_0)</f>
        <v>40078.719999999994</v>
      </c>
      <c r="Q27" s="1"/>
      <c r="R27" s="5">
        <f t="shared" ref="R27:R31" si="12">IF(P$12=0,0,P27/P$12)</f>
        <v>0</v>
      </c>
      <c r="S27" s="1"/>
      <c r="T27" s="1">
        <f>SUM(OSRRefT22_1x_0)</f>
        <v>63883</v>
      </c>
      <c r="U27" s="1"/>
      <c r="V27" s="5">
        <f t="shared" ref="V27:V31" si="13">IF(T$12=0,0,T27/T$12)</f>
        <v>0</v>
      </c>
      <c r="W27" s="1"/>
      <c r="X27" s="1">
        <f t="shared" ref="X27:X31" si="14">+P27-T27</f>
        <v>-23804.280000000006</v>
      </c>
      <c r="Y27" s="1"/>
      <c r="Z27" s="5">
        <f t="shared" ref="Z27:Z31" si="15">IF(T27=0,0,X27/T27)</f>
        <v>-0.37262307656183968</v>
      </c>
    </row>
    <row r="28" spans="1:26" s="24" customFormat="1" hidden="1" outlineLevel="2" x14ac:dyDescent="0.25">
      <c r="A28" s="27"/>
      <c r="B28" s="11" t="str">
        <f>CONCATENATE("          ", "6004", " - ", "STAFF HOURLY")</f>
        <v xml:space="preserve">          6004 - STAFF HOURLY</v>
      </c>
      <c r="C28" s="11"/>
      <c r="D28" s="7">
        <v>5362.5</v>
      </c>
      <c r="E28" s="2"/>
      <c r="F28" s="6">
        <f t="shared" si="8"/>
        <v>0</v>
      </c>
      <c r="G28" s="2"/>
      <c r="H28" s="7">
        <v>4706.25</v>
      </c>
      <c r="I28" s="2"/>
      <c r="J28" s="6">
        <f t="shared" si="9"/>
        <v>0</v>
      </c>
      <c r="K28" s="2"/>
      <c r="L28" s="7">
        <f t="shared" si="10"/>
        <v>656.25</v>
      </c>
      <c r="M28" s="2"/>
      <c r="N28" s="6">
        <f t="shared" si="11"/>
        <v>0.1394422310756972</v>
      </c>
      <c r="O28" s="11"/>
      <c r="P28" s="7">
        <v>31850.099999999995</v>
      </c>
      <c r="Q28" s="2"/>
      <c r="R28" s="6">
        <f t="shared" si="12"/>
        <v>0</v>
      </c>
      <c r="S28" s="2"/>
      <c r="T28" s="7">
        <v>31837.500000000004</v>
      </c>
      <c r="U28" s="2"/>
      <c r="V28" s="6">
        <f t="shared" si="13"/>
        <v>0</v>
      </c>
      <c r="W28" s="2"/>
      <c r="X28" s="7">
        <f t="shared" si="14"/>
        <v>12.599999999991269</v>
      </c>
      <c r="Y28" s="2"/>
      <c r="Z28" s="6">
        <f t="shared" si="15"/>
        <v>3.9575971731421332E-4</v>
      </c>
    </row>
    <row r="29" spans="1:26" s="24" customFormat="1" hidden="1" outlineLevel="2" x14ac:dyDescent="0.25">
      <c r="A29" s="27"/>
      <c r="B29" s="11" t="str">
        <f>CONCATENATE("          ", "6006", " - ", "TEMPORARY PART TIME")</f>
        <v xml:space="preserve">          6006 - TEMPORARY PART TIME</v>
      </c>
      <c r="C29" s="11"/>
      <c r="D29" s="7"/>
      <c r="E29" s="2"/>
      <c r="F29" s="6">
        <f t="shared" si="8"/>
        <v>0</v>
      </c>
      <c r="G29" s="2"/>
      <c r="H29" s="7"/>
      <c r="I29" s="2"/>
      <c r="J29" s="6">
        <f t="shared" si="9"/>
        <v>0</v>
      </c>
      <c r="K29" s="2"/>
      <c r="L29" s="7">
        <f t="shared" si="10"/>
        <v>0</v>
      </c>
      <c r="M29" s="2"/>
      <c r="N29" s="6">
        <f t="shared" si="11"/>
        <v>0</v>
      </c>
      <c r="O29" s="11"/>
      <c r="P29" s="7"/>
      <c r="Q29" s="2"/>
      <c r="R29" s="6">
        <f t="shared" si="12"/>
        <v>0</v>
      </c>
      <c r="S29" s="2"/>
      <c r="T29" s="7">
        <v>2361.4299999999998</v>
      </c>
      <c r="U29" s="2"/>
      <c r="V29" s="6">
        <f t="shared" si="13"/>
        <v>0</v>
      </c>
      <c r="W29" s="2"/>
      <c r="X29" s="7">
        <f t="shared" si="14"/>
        <v>-2361.4299999999998</v>
      </c>
      <c r="Y29" s="2"/>
      <c r="Z29" s="6">
        <f t="shared" si="15"/>
        <v>-1</v>
      </c>
    </row>
    <row r="30" spans="1:26" s="24" customFormat="1" hidden="1" outlineLevel="2" x14ac:dyDescent="0.25">
      <c r="A30" s="27"/>
      <c r="B30" s="11" t="str">
        <f>CONCATENATE("          ", "6007", " - ", "STUDENT HOURLY")</f>
        <v xml:space="preserve">          6007 - STUDENT HOURLY</v>
      </c>
      <c r="C30" s="11"/>
      <c r="D30" s="7"/>
      <c r="E30" s="2"/>
      <c r="F30" s="6">
        <f t="shared" si="8"/>
        <v>0</v>
      </c>
      <c r="G30" s="2"/>
      <c r="H30" s="7">
        <v>4096.95</v>
      </c>
      <c r="I30" s="2"/>
      <c r="J30" s="6">
        <f t="shared" si="9"/>
        <v>0</v>
      </c>
      <c r="K30" s="2"/>
      <c r="L30" s="7">
        <f t="shared" si="10"/>
        <v>-4096.95</v>
      </c>
      <c r="M30" s="2"/>
      <c r="N30" s="6">
        <f t="shared" si="11"/>
        <v>-1</v>
      </c>
      <c r="O30" s="11"/>
      <c r="P30" s="7">
        <v>0</v>
      </c>
      <c r="Q30" s="2"/>
      <c r="R30" s="6">
        <f t="shared" si="12"/>
        <v>0</v>
      </c>
      <c r="S30" s="2"/>
      <c r="T30" s="7">
        <v>24965.43</v>
      </c>
      <c r="U30" s="2"/>
      <c r="V30" s="6">
        <f t="shared" si="13"/>
        <v>0</v>
      </c>
      <c r="W30" s="2"/>
      <c r="X30" s="7">
        <f t="shared" si="14"/>
        <v>-24965.43</v>
      </c>
      <c r="Y30" s="2"/>
      <c r="Z30" s="6">
        <f t="shared" si="15"/>
        <v>-1</v>
      </c>
    </row>
    <row r="31" spans="1:26" s="24" customFormat="1" hidden="1" outlineLevel="2" x14ac:dyDescent="0.25">
      <c r="A31" s="27"/>
      <c r="B31" s="11" t="str">
        <f>CONCATENATE("          ", "6008", " - ", "STUDENT HOURLY-FICA EXEMPT")</f>
        <v xml:space="preserve">          6008 - STUDENT HOURLY-FICA EXEMPT</v>
      </c>
      <c r="C31" s="11"/>
      <c r="D31" s="7">
        <v>1105.04</v>
      </c>
      <c r="E31" s="2"/>
      <c r="F31" s="6">
        <f t="shared" si="8"/>
        <v>0</v>
      </c>
      <c r="G31" s="2"/>
      <c r="H31" s="7">
        <v>858.94</v>
      </c>
      <c r="I31" s="2"/>
      <c r="J31" s="6">
        <f t="shared" si="9"/>
        <v>0</v>
      </c>
      <c r="K31" s="2"/>
      <c r="L31" s="7">
        <f t="shared" si="10"/>
        <v>246.09999999999991</v>
      </c>
      <c r="M31" s="2"/>
      <c r="N31" s="6">
        <f t="shared" si="11"/>
        <v>0.28651593824947014</v>
      </c>
      <c r="O31" s="11"/>
      <c r="P31" s="7">
        <v>8228.6200000000008</v>
      </c>
      <c r="Q31" s="2"/>
      <c r="R31" s="6">
        <f t="shared" si="12"/>
        <v>0</v>
      </c>
      <c r="S31" s="2"/>
      <c r="T31" s="7">
        <v>4718.6400000000003</v>
      </c>
      <c r="U31" s="2"/>
      <c r="V31" s="6">
        <f t="shared" si="13"/>
        <v>0</v>
      </c>
      <c r="W31" s="2"/>
      <c r="X31" s="7">
        <f t="shared" si="14"/>
        <v>3509.9800000000005</v>
      </c>
      <c r="Y31" s="2"/>
      <c r="Z31" s="6">
        <f t="shared" si="15"/>
        <v>0.74385416136853</v>
      </c>
    </row>
    <row r="32" spans="1:26" s="25" customFormat="1" outlineLevel="1" collapsed="1" x14ac:dyDescent="0.25">
      <c r="A32" s="26"/>
      <c r="B32" s="13" t="str">
        <f>CONCATENATE("     ","Advertising/Promo                                 ")</f>
        <v xml:space="preserve">     Advertising/Promo                                 </v>
      </c>
      <c r="C32" s="13"/>
      <c r="D32" s="1">
        <f>SUM(OSRRefD22_2x_0)</f>
        <v>173.21</v>
      </c>
      <c r="E32" s="1"/>
      <c r="F32" s="5">
        <f t="shared" ref="F32:F40" si="16">IF(D$12=0,0,D32/D$12)</f>
        <v>0</v>
      </c>
      <c r="G32" s="1"/>
      <c r="H32" s="1">
        <f>SUM(OSRRefH22_2x_0)</f>
        <v>-4952.43</v>
      </c>
      <c r="I32" s="1"/>
      <c r="J32" s="5">
        <f t="shared" ref="J32:J40" si="17">IF(H$12=0,0,H32/H$12)</f>
        <v>0</v>
      </c>
      <c r="K32" s="1"/>
      <c r="L32" s="1">
        <f t="shared" ref="L32:L40" si="18">+D32-H32</f>
        <v>5125.6400000000003</v>
      </c>
      <c r="M32" s="1"/>
      <c r="N32" s="5">
        <f t="shared" ref="N32:N40" si="19">IF(H32=0,0,L32/H32)</f>
        <v>-1.0349747497693051</v>
      </c>
      <c r="O32" s="13"/>
      <c r="P32" s="1">
        <f>SUM(OSRRefP22_2x_0)</f>
        <v>866.05</v>
      </c>
      <c r="Q32" s="1"/>
      <c r="R32" s="5">
        <f t="shared" ref="R32:R40" si="20">IF(P$12=0,0,P32/P$12)</f>
        <v>0</v>
      </c>
      <c r="S32" s="1"/>
      <c r="T32" s="1">
        <f>SUM(OSRRefT22_2x_0)</f>
        <v>-35574.36</v>
      </c>
      <c r="U32" s="1"/>
      <c r="V32" s="5">
        <f t="shared" ref="V32:V40" si="21">IF(T$12=0,0,T32/T$12)</f>
        <v>0</v>
      </c>
      <c r="W32" s="1"/>
      <c r="X32" s="1">
        <f t="shared" ref="X32:X40" si="22">+P32-T32</f>
        <v>36440.410000000003</v>
      </c>
      <c r="Y32" s="1"/>
      <c r="Z32" s="5">
        <f t="shared" ref="Z32:Z40" si="23">IF(T32=0,0,X32/T32)</f>
        <v>-1.0243447809039994</v>
      </c>
    </row>
    <row r="33" spans="1:26" s="24" customFormat="1" hidden="1" outlineLevel="2" x14ac:dyDescent="0.25">
      <c r="A33" s="27"/>
      <c r="B33" s="11" t="str">
        <f>CONCATENATE("          ", "6362", " - ", "ADVERTISING EXPENSE")</f>
        <v xml:space="preserve">          6362 - ADVERTISING EXPENSE</v>
      </c>
      <c r="C33" s="11"/>
      <c r="D33" s="7">
        <v>173.21</v>
      </c>
      <c r="E33" s="2"/>
      <c r="F33" s="6">
        <f t="shared" si="16"/>
        <v>0</v>
      </c>
      <c r="G33" s="2"/>
      <c r="H33" s="7">
        <v>-4952.43</v>
      </c>
      <c r="I33" s="2"/>
      <c r="J33" s="6">
        <f t="shared" si="17"/>
        <v>0</v>
      </c>
      <c r="K33" s="2"/>
      <c r="L33" s="7">
        <f t="shared" si="18"/>
        <v>5125.6400000000003</v>
      </c>
      <c r="M33" s="2"/>
      <c r="N33" s="6">
        <f t="shared" si="19"/>
        <v>-1.0349747497693051</v>
      </c>
      <c r="O33" s="11"/>
      <c r="P33" s="7">
        <v>866.05</v>
      </c>
      <c r="Q33" s="2"/>
      <c r="R33" s="6">
        <f t="shared" si="20"/>
        <v>0</v>
      </c>
      <c r="S33" s="2"/>
      <c r="T33" s="7">
        <v>-35574.36</v>
      </c>
      <c r="U33" s="2"/>
      <c r="V33" s="6">
        <f t="shared" si="21"/>
        <v>0</v>
      </c>
      <c r="W33" s="2"/>
      <c r="X33" s="7">
        <f t="shared" si="22"/>
        <v>36440.410000000003</v>
      </c>
      <c r="Y33" s="2"/>
      <c r="Z33" s="6">
        <f t="shared" si="23"/>
        <v>-1.0243447809039994</v>
      </c>
    </row>
    <row r="34" spans="1:26" s="25" customFormat="1" outlineLevel="1" collapsed="1" x14ac:dyDescent="0.25">
      <c r="A34" s="26"/>
      <c r="B34" s="13" t="str">
        <f>CONCATENATE("     ","Depreciation                                      ")</f>
        <v xml:space="preserve">     Depreciation                                      </v>
      </c>
      <c r="C34" s="13"/>
      <c r="D34" s="1">
        <f>SUM(OSRRefD22_3x_0)</f>
        <v>271.27</v>
      </c>
      <c r="E34" s="1"/>
      <c r="F34" s="5">
        <f t="shared" si="16"/>
        <v>0</v>
      </c>
      <c r="G34" s="1"/>
      <c r="H34" s="1">
        <f>SUM(OSRRefH22_3x_0)</f>
        <v>295.67</v>
      </c>
      <c r="I34" s="1"/>
      <c r="J34" s="5">
        <f t="shared" si="17"/>
        <v>0</v>
      </c>
      <c r="K34" s="1"/>
      <c r="L34" s="1">
        <f t="shared" si="18"/>
        <v>-24.400000000000034</v>
      </c>
      <c r="M34" s="1"/>
      <c r="N34" s="5">
        <f t="shared" si="19"/>
        <v>-8.2524436026651452E-2</v>
      </c>
      <c r="O34" s="13"/>
      <c r="P34" s="1">
        <f>SUM(OSRRefP22_3x_0)</f>
        <v>1627.62</v>
      </c>
      <c r="Q34" s="1"/>
      <c r="R34" s="5">
        <f t="shared" si="20"/>
        <v>0</v>
      </c>
      <c r="S34" s="1"/>
      <c r="T34" s="1">
        <f>SUM(OSRRefT22_3x_0)</f>
        <v>1774.02</v>
      </c>
      <c r="U34" s="1"/>
      <c r="V34" s="5">
        <f t="shared" si="21"/>
        <v>0</v>
      </c>
      <c r="W34" s="1"/>
      <c r="X34" s="1">
        <f t="shared" si="22"/>
        <v>-146.40000000000009</v>
      </c>
      <c r="Y34" s="1"/>
      <c r="Z34" s="5">
        <f t="shared" si="23"/>
        <v>-8.2524436026651382E-2</v>
      </c>
    </row>
    <row r="35" spans="1:26" s="24" customFormat="1" hidden="1" outlineLevel="2" x14ac:dyDescent="0.25">
      <c r="A35" s="27"/>
      <c r="B35" s="11" t="str">
        <f>CONCATENATE("          ", "6322", " - ", "EQUIPMENT DEPRECIATION EXPENSE")</f>
        <v xml:space="preserve">          6322 - EQUIPMENT DEPRECIATION EXPENSE</v>
      </c>
      <c r="C35" s="11"/>
      <c r="D35" s="7">
        <v>271.27</v>
      </c>
      <c r="E35" s="2"/>
      <c r="F35" s="6">
        <f t="shared" si="16"/>
        <v>0</v>
      </c>
      <c r="G35" s="2"/>
      <c r="H35" s="7">
        <v>295.67</v>
      </c>
      <c r="I35" s="2"/>
      <c r="J35" s="6">
        <f t="shared" si="17"/>
        <v>0</v>
      </c>
      <c r="K35" s="2"/>
      <c r="L35" s="7">
        <f t="shared" si="18"/>
        <v>-24.400000000000034</v>
      </c>
      <c r="M35" s="2"/>
      <c r="N35" s="6">
        <f t="shared" si="19"/>
        <v>-8.2524436026651452E-2</v>
      </c>
      <c r="O35" s="11"/>
      <c r="P35" s="7">
        <v>1627.62</v>
      </c>
      <c r="Q35" s="2"/>
      <c r="R35" s="6">
        <f t="shared" si="20"/>
        <v>0</v>
      </c>
      <c r="S35" s="2"/>
      <c r="T35" s="7">
        <v>1774.02</v>
      </c>
      <c r="U35" s="2"/>
      <c r="V35" s="6">
        <f t="shared" si="21"/>
        <v>0</v>
      </c>
      <c r="W35" s="2"/>
      <c r="X35" s="7">
        <f t="shared" si="22"/>
        <v>-146.40000000000009</v>
      </c>
      <c r="Y35" s="2"/>
      <c r="Z35" s="6">
        <f t="shared" si="23"/>
        <v>-8.2524436026651382E-2</v>
      </c>
    </row>
    <row r="36" spans="1:26" s="25" customFormat="1" outlineLevel="1" collapsed="1" x14ac:dyDescent="0.25">
      <c r="A36" s="26"/>
      <c r="B36" s="13" t="str">
        <f>CONCATENATE("     ","General                                           ")</f>
        <v xml:space="preserve">     General                                           </v>
      </c>
      <c r="C36" s="13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173.21</v>
      </c>
      <c r="I36" s="1"/>
      <c r="J36" s="5">
        <f t="shared" si="17"/>
        <v>0</v>
      </c>
      <c r="K36" s="1"/>
      <c r="L36" s="1">
        <f t="shared" si="18"/>
        <v>-173.21</v>
      </c>
      <c r="M36" s="1"/>
      <c r="N36" s="5">
        <f t="shared" si="19"/>
        <v>-1</v>
      </c>
      <c r="O36" s="13"/>
      <c r="P36" s="1">
        <f>SUM(OSRRefP22_4x_0)</f>
        <v>0</v>
      </c>
      <c r="Q36" s="1"/>
      <c r="R36" s="5">
        <f t="shared" si="20"/>
        <v>0</v>
      </c>
      <c r="S36" s="1"/>
      <c r="T36" s="1">
        <f>SUM(OSRRefT22_4x_0)</f>
        <v>853.59</v>
      </c>
      <c r="U36" s="1"/>
      <c r="V36" s="5">
        <f t="shared" si="21"/>
        <v>0</v>
      </c>
      <c r="W36" s="1"/>
      <c r="X36" s="1">
        <f t="shared" si="22"/>
        <v>-853.59</v>
      </c>
      <c r="Y36" s="1"/>
      <c r="Z36" s="5">
        <f t="shared" si="23"/>
        <v>-1</v>
      </c>
    </row>
    <row r="37" spans="1:26" s="24" customFormat="1" hidden="1" outlineLevel="2" x14ac:dyDescent="0.25">
      <c r="A37" s="27"/>
      <c r="B37" s="11" t="str">
        <f>CONCATENATE("          ", "6279", " - ", "GENERAL EXPENSE")</f>
        <v xml:space="preserve">          6279 - GENERAL EXPENSE</v>
      </c>
      <c r="C37" s="11"/>
      <c r="D37" s="7"/>
      <c r="E37" s="2"/>
      <c r="F37" s="6">
        <f t="shared" si="16"/>
        <v>0</v>
      </c>
      <c r="G37" s="2"/>
      <c r="H37" s="7">
        <v>173.21</v>
      </c>
      <c r="I37" s="2"/>
      <c r="J37" s="6">
        <f t="shared" si="17"/>
        <v>0</v>
      </c>
      <c r="K37" s="2"/>
      <c r="L37" s="7">
        <f t="shared" si="18"/>
        <v>-173.21</v>
      </c>
      <c r="M37" s="2"/>
      <c r="N37" s="6">
        <f t="shared" si="19"/>
        <v>-1</v>
      </c>
      <c r="O37" s="11"/>
      <c r="P37" s="7"/>
      <c r="Q37" s="2"/>
      <c r="R37" s="6">
        <f t="shared" si="20"/>
        <v>0</v>
      </c>
      <c r="S37" s="2"/>
      <c r="T37" s="7">
        <v>853.59</v>
      </c>
      <c r="U37" s="2"/>
      <c r="V37" s="6">
        <f t="shared" si="21"/>
        <v>0</v>
      </c>
      <c r="W37" s="2"/>
      <c r="X37" s="7">
        <f t="shared" si="22"/>
        <v>-853.59</v>
      </c>
      <c r="Y37" s="2"/>
      <c r="Z37" s="6">
        <f t="shared" si="23"/>
        <v>-1</v>
      </c>
    </row>
    <row r="38" spans="1:26" s="25" customFormat="1" outlineLevel="1" collapsed="1" x14ac:dyDescent="0.25">
      <c r="A38" s="26"/>
      <c r="B38" s="13" t="str">
        <f>CONCATENATE("     ","Supplies                                          ")</f>
        <v xml:space="preserve">     Supplies                                          </v>
      </c>
      <c r="C38" s="13"/>
      <c r="D38" s="1">
        <f>SUM(OSRRefD22_5x_0)</f>
        <v>0</v>
      </c>
      <c r="E38" s="1"/>
      <c r="F38" s="5">
        <f t="shared" si="16"/>
        <v>0</v>
      </c>
      <c r="G38" s="1"/>
      <c r="H38" s="1">
        <f>SUM(OSRRefH22_5x_0)</f>
        <v>185.99</v>
      </c>
      <c r="I38" s="1"/>
      <c r="J38" s="5">
        <f t="shared" si="17"/>
        <v>0</v>
      </c>
      <c r="K38" s="1"/>
      <c r="L38" s="1">
        <f t="shared" si="18"/>
        <v>-185.99</v>
      </c>
      <c r="M38" s="1"/>
      <c r="N38" s="5">
        <f t="shared" si="19"/>
        <v>-1</v>
      </c>
      <c r="O38" s="13"/>
      <c r="P38" s="1">
        <f>SUM(OSRRefP22_5x_0)</f>
        <v>0</v>
      </c>
      <c r="Q38" s="1"/>
      <c r="R38" s="5">
        <f t="shared" si="20"/>
        <v>0</v>
      </c>
      <c r="S38" s="1"/>
      <c r="T38" s="1">
        <f>SUM(OSRRefT22_5x_0)</f>
        <v>1012.1300000000001</v>
      </c>
      <c r="U38" s="1"/>
      <c r="V38" s="5">
        <f t="shared" si="21"/>
        <v>0</v>
      </c>
      <c r="W38" s="1"/>
      <c r="X38" s="1">
        <f t="shared" si="22"/>
        <v>-1012.1300000000001</v>
      </c>
      <c r="Y38" s="1"/>
      <c r="Z38" s="5">
        <f t="shared" si="23"/>
        <v>-1</v>
      </c>
    </row>
    <row r="39" spans="1:26" s="24" customFormat="1" hidden="1" outlineLevel="2" x14ac:dyDescent="0.25">
      <c r="A39" s="27"/>
      <c r="B39" s="11" t="str">
        <f>CONCATENATE("          ", "6241", " - ", "OFFICE EXPENSE")</f>
        <v xml:space="preserve">          6241 - OFFICE EXPENSE</v>
      </c>
      <c r="C39" s="11"/>
      <c r="D39" s="7"/>
      <c r="E39" s="2"/>
      <c r="F39" s="6">
        <f t="shared" si="16"/>
        <v>0</v>
      </c>
      <c r="G39" s="2"/>
      <c r="H39" s="7">
        <v>185.99</v>
      </c>
      <c r="I39" s="2"/>
      <c r="J39" s="6">
        <f t="shared" si="17"/>
        <v>0</v>
      </c>
      <c r="K39" s="2"/>
      <c r="L39" s="7">
        <f t="shared" si="18"/>
        <v>-185.99</v>
      </c>
      <c r="M39" s="2"/>
      <c r="N39" s="6">
        <f t="shared" si="19"/>
        <v>-1</v>
      </c>
      <c r="O39" s="11"/>
      <c r="P39" s="7"/>
      <c r="Q39" s="2"/>
      <c r="R39" s="6">
        <f t="shared" si="20"/>
        <v>0</v>
      </c>
      <c r="S39" s="2"/>
      <c r="T39" s="7">
        <v>665.71</v>
      </c>
      <c r="U39" s="2"/>
      <c r="V39" s="6">
        <f t="shared" si="21"/>
        <v>0</v>
      </c>
      <c r="W39" s="2"/>
      <c r="X39" s="7">
        <f t="shared" si="22"/>
        <v>-665.71</v>
      </c>
      <c r="Y39" s="2"/>
      <c r="Z39" s="6">
        <f t="shared" si="23"/>
        <v>-1</v>
      </c>
    </row>
    <row r="40" spans="1:26" s="24" customFormat="1" hidden="1" outlineLevel="2" x14ac:dyDescent="0.25">
      <c r="A40" s="27"/>
      <c r="B40" s="11" t="str">
        <f>CONCATENATE("          ", "6245", " - ", "PRINTING")</f>
        <v xml:space="preserve">          6245 - PRINTING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346.42</v>
      </c>
      <c r="U40" s="2"/>
      <c r="V40" s="6">
        <f t="shared" si="21"/>
        <v>0</v>
      </c>
      <c r="W40" s="2"/>
      <c r="X40" s="7">
        <f t="shared" si="22"/>
        <v>-346.42</v>
      </c>
      <c r="Y40" s="2"/>
      <c r="Z40" s="6">
        <f t="shared" si="23"/>
        <v>-1</v>
      </c>
    </row>
    <row r="41" spans="1:26" s="25" customFormat="1" outlineLevel="1" collapsed="1" x14ac:dyDescent="0.25">
      <c r="A41" s="26"/>
      <c r="B41" s="13" t="str">
        <f>CONCATENATE("     ","Telephone/Data Lines                              ")</f>
        <v xml:space="preserve">     Telephone/Data Lines                              </v>
      </c>
      <c r="C41" s="13"/>
      <c r="D41" s="1">
        <f>SUM(OSRRefD22_6x_0)</f>
        <v>36</v>
      </c>
      <c r="E41" s="1"/>
      <c r="F41" s="5">
        <f t="shared" ref="F41:F44" si="24">IF(D$12=0,0,D41/D$12)</f>
        <v>0</v>
      </c>
      <c r="G41" s="1"/>
      <c r="H41" s="1">
        <f>SUM(OSRRefH22_6x_0)</f>
        <v>72.349999999999994</v>
      </c>
      <c r="I41" s="1"/>
      <c r="J41" s="5">
        <f t="shared" ref="J41:J44" si="25">IF(H$12=0,0,H41/H$12)</f>
        <v>0</v>
      </c>
      <c r="K41" s="1"/>
      <c r="L41" s="1">
        <f t="shared" ref="L41:L44" si="26">+D41-H41</f>
        <v>-36.349999999999994</v>
      </c>
      <c r="M41" s="1"/>
      <c r="N41" s="5">
        <f t="shared" ref="N41:N44" si="27">IF(H41=0,0,L41/H41)</f>
        <v>-0.50241879751209395</v>
      </c>
      <c r="O41" s="13"/>
      <c r="P41" s="1">
        <f>SUM(OSRRefP22_6x_0)</f>
        <v>180</v>
      </c>
      <c r="Q41" s="1"/>
      <c r="R41" s="5">
        <f t="shared" ref="R41:R44" si="28">IF(P$12=0,0,P41/P$12)</f>
        <v>0</v>
      </c>
      <c r="S41" s="1"/>
      <c r="T41" s="1">
        <f>SUM(OSRRefT22_6x_0)</f>
        <v>441.8</v>
      </c>
      <c r="U41" s="1"/>
      <c r="V41" s="5">
        <f t="shared" ref="V41:V44" si="29">IF(T$12=0,0,T41/T$12)</f>
        <v>0</v>
      </c>
      <c r="W41" s="1"/>
      <c r="X41" s="1">
        <f t="shared" ref="X41:X44" si="30">+P41-T41</f>
        <v>-261.8</v>
      </c>
      <c r="Y41" s="1"/>
      <c r="Z41" s="5">
        <f t="shared" ref="Z41:Z44" si="31">IF(T41=0,0,X41/T41)</f>
        <v>-0.59257582616568583</v>
      </c>
    </row>
    <row r="42" spans="1:26" s="24" customFormat="1" hidden="1" outlineLevel="2" x14ac:dyDescent="0.25">
      <c r="A42" s="27"/>
      <c r="B42" s="11" t="str">
        <f>CONCATENATE("          ", "6309", " - ", "TELEPHONE")</f>
        <v xml:space="preserve">          6309 - TELEPHONE</v>
      </c>
      <c r="C42" s="11"/>
      <c r="D42" s="7">
        <v>36</v>
      </c>
      <c r="E42" s="2"/>
      <c r="F42" s="6">
        <f t="shared" si="24"/>
        <v>0</v>
      </c>
      <c r="G42" s="2"/>
      <c r="H42" s="7">
        <v>72.349999999999994</v>
      </c>
      <c r="I42" s="2"/>
      <c r="J42" s="6">
        <f t="shared" si="25"/>
        <v>0</v>
      </c>
      <c r="K42" s="2"/>
      <c r="L42" s="7">
        <f t="shared" si="26"/>
        <v>-36.349999999999994</v>
      </c>
      <c r="M42" s="2"/>
      <c r="N42" s="6">
        <f t="shared" si="27"/>
        <v>-0.50241879751209395</v>
      </c>
      <c r="O42" s="11"/>
      <c r="P42" s="7">
        <v>180</v>
      </c>
      <c r="Q42" s="2"/>
      <c r="R42" s="6">
        <f t="shared" si="28"/>
        <v>0</v>
      </c>
      <c r="S42" s="2"/>
      <c r="T42" s="7">
        <v>441.8</v>
      </c>
      <c r="U42" s="2"/>
      <c r="V42" s="6">
        <f t="shared" si="29"/>
        <v>0</v>
      </c>
      <c r="W42" s="2"/>
      <c r="X42" s="7">
        <f t="shared" si="30"/>
        <v>-261.8</v>
      </c>
      <c r="Y42" s="2"/>
      <c r="Z42" s="6">
        <f t="shared" si="31"/>
        <v>-0.59257582616568583</v>
      </c>
    </row>
    <row r="43" spans="1:26" s="25" customFormat="1" outlineLevel="1" collapsed="1" x14ac:dyDescent="0.25">
      <c r="A43" s="26"/>
      <c r="B43" s="13" t="str">
        <f>CONCATENATE("     ","Travel                                            ")</f>
        <v xml:space="preserve">     Travel                                            </v>
      </c>
      <c r="C43" s="13"/>
      <c r="D43" s="1">
        <f>SUM(OSRRefD22_7x_0)</f>
        <v>0</v>
      </c>
      <c r="E43" s="1"/>
      <c r="F43" s="5">
        <f t="shared" si="24"/>
        <v>0</v>
      </c>
      <c r="G43" s="1"/>
      <c r="H43" s="1">
        <f>SUM(OSRRefH22_7x_0)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3"/>
      <c r="P43" s="1">
        <f>SUM(OSRRefP22_7x_0)</f>
        <v>0</v>
      </c>
      <c r="Q43" s="1"/>
      <c r="R43" s="5">
        <f t="shared" si="28"/>
        <v>0</v>
      </c>
      <c r="S43" s="1"/>
      <c r="T43" s="1">
        <f>SUM(OSRRefT22_7x_0)</f>
        <v>118.32</v>
      </c>
      <c r="U43" s="1"/>
      <c r="V43" s="5">
        <f t="shared" si="29"/>
        <v>0</v>
      </c>
      <c r="W43" s="1"/>
      <c r="X43" s="1">
        <f t="shared" si="30"/>
        <v>-118.32</v>
      </c>
      <c r="Y43" s="1"/>
      <c r="Z43" s="5">
        <f t="shared" si="31"/>
        <v>-1</v>
      </c>
    </row>
    <row r="44" spans="1:26" s="24" customFormat="1" hidden="1" outlineLevel="2" x14ac:dyDescent="0.25">
      <c r="A44" s="27"/>
      <c r="B44" s="11" t="str">
        <f>CONCATENATE("          ", "6292", " - ", "TRAVEL/CONFERENCE")</f>
        <v xml:space="preserve">          6292 - TRAVEL/CONFERENCE</v>
      </c>
      <c r="C44" s="11"/>
      <c r="D44" s="7"/>
      <c r="E44" s="2"/>
      <c r="F44" s="6">
        <f t="shared" si="24"/>
        <v>0</v>
      </c>
      <c r="G44" s="2"/>
      <c r="H44" s="7"/>
      <c r="I44" s="2"/>
      <c r="J44" s="6">
        <f t="shared" si="25"/>
        <v>0</v>
      </c>
      <c r="K44" s="2"/>
      <c r="L44" s="7">
        <f t="shared" si="26"/>
        <v>0</v>
      </c>
      <c r="M44" s="2"/>
      <c r="N44" s="6">
        <f t="shared" si="27"/>
        <v>0</v>
      </c>
      <c r="O44" s="11"/>
      <c r="P44" s="7"/>
      <c r="Q44" s="2"/>
      <c r="R44" s="6">
        <f t="shared" si="28"/>
        <v>0</v>
      </c>
      <c r="S44" s="2"/>
      <c r="T44" s="7">
        <v>118.32</v>
      </c>
      <c r="U44" s="2"/>
      <c r="V44" s="6">
        <f t="shared" si="29"/>
        <v>0</v>
      </c>
      <c r="W44" s="2"/>
      <c r="X44" s="7">
        <f t="shared" si="30"/>
        <v>-118.32</v>
      </c>
      <c r="Y44" s="2"/>
      <c r="Z44" s="6">
        <f t="shared" si="31"/>
        <v>-1</v>
      </c>
    </row>
    <row r="45" spans="1:26" s="55" customFormat="1" x14ac:dyDescent="0.25">
      <c r="A45" s="37"/>
      <c r="B45" s="37"/>
      <c r="C45" s="37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25">
      <c r="A46" s="10"/>
      <c r="B46" s="29" t="s">
        <v>0</v>
      </c>
      <c r="C46" s="10"/>
      <c r="D46" s="4">
        <f>SUM(0)</f>
        <v>0</v>
      </c>
      <c r="E46" s="4"/>
      <c r="F46" s="12">
        <f>IF(D$12=0,0,D46/D$12)</f>
        <v>0</v>
      </c>
      <c r="G46" s="4"/>
      <c r="H46" s="4">
        <f>SUM(0)</f>
        <v>0</v>
      </c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>
        <f>SUM(0)</f>
        <v>0</v>
      </c>
      <c r="Q46" s="4"/>
      <c r="R46" s="12">
        <f>IF(P$12=0,0,P46/P$12)</f>
        <v>0</v>
      </c>
      <c r="S46" s="4"/>
      <c r="T46" s="4">
        <f>SUM(0)</f>
        <v>0</v>
      </c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8" t="s">
        <v>3</v>
      </c>
      <c r="C48" s="28"/>
      <c r="D48" s="20">
        <f>+D16-D18+D46</f>
        <v>-8483.08</v>
      </c>
      <c r="E48" s="14"/>
      <c r="F48" s="21">
        <f>IF(D$12=0,0,D48/D$12)</f>
        <v>0</v>
      </c>
      <c r="G48" s="14"/>
      <c r="H48" s="20">
        <f>+H16-H18+H46</f>
        <v>-7117.0700000000006</v>
      </c>
      <c r="I48" s="14"/>
      <c r="J48" s="21">
        <f>IF(H$12=0,0,H48/H$12)</f>
        <v>0</v>
      </c>
      <c r="K48" s="15"/>
      <c r="L48" s="20">
        <f>+D48-H48</f>
        <v>-1366.0099999999993</v>
      </c>
      <c r="M48" s="15"/>
      <c r="N48" s="21">
        <f>IF(H48=0,0,L48/H48)</f>
        <v>0.19193432128670918</v>
      </c>
      <c r="O48" s="29"/>
      <c r="P48" s="20">
        <f>+P16-P18+P46</f>
        <v>-52242.79</v>
      </c>
      <c r="Q48" s="14"/>
      <c r="R48" s="21">
        <f>IF(P$12=0,0,P48/P$12)</f>
        <v>0</v>
      </c>
      <c r="S48" s="14"/>
      <c r="T48" s="20">
        <f>+T16-T18+T46</f>
        <v>-43721.52</v>
      </c>
      <c r="U48" s="14"/>
      <c r="V48" s="21">
        <f>IF(T$12=0,0,T48/T$12)</f>
        <v>0</v>
      </c>
      <c r="W48" s="15"/>
      <c r="X48" s="20">
        <f>+P48-T48</f>
        <v>-8521.2700000000041</v>
      </c>
      <c r="Y48" s="15"/>
      <c r="Z48" s="21">
        <f>IF(T48=0,0,X48/T48)</f>
        <v>0.19489875923801378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51"/>
      <c r="B50" s="10" t="s">
        <v>13</v>
      </c>
      <c r="C50" s="10"/>
      <c r="D50" s="4"/>
      <c r="E50" s="4"/>
      <c r="F50" s="12">
        <f>IF(D$12=0,0,D50/D$12)</f>
        <v>0</v>
      </c>
      <c r="G50" s="4"/>
      <c r="H50" s="4"/>
      <c r="I50" s="4"/>
      <c r="J50" s="12">
        <f>IF(H$12=0,0,H50/H$12)</f>
        <v>0</v>
      </c>
      <c r="K50" s="4"/>
      <c r="L50" s="4">
        <f>+D50-H50</f>
        <v>0</v>
      </c>
      <c r="M50" s="4"/>
      <c r="N50" s="12">
        <f>IF(H50=0,0,L50/H50)</f>
        <v>0</v>
      </c>
      <c r="O50" s="10"/>
      <c r="P50" s="4"/>
      <c r="Q50" s="4"/>
      <c r="R50" s="12">
        <f>IF(P$12=0,0,P50/P$12)</f>
        <v>0</v>
      </c>
      <c r="S50" s="4"/>
      <c r="T50" s="4"/>
      <c r="U50" s="4"/>
      <c r="V50" s="12">
        <f>IF(T$12=0,0,T50/T$12)</f>
        <v>0</v>
      </c>
      <c r="W50" s="4"/>
      <c r="X50" s="4">
        <f>+P50-T50</f>
        <v>0</v>
      </c>
      <c r="Y50" s="4"/>
      <c r="Z50" s="12">
        <f>IF(T50=0,0,X50/T50)</f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.75" thickBot="1" x14ac:dyDescent="0.3">
      <c r="A52" s="10"/>
      <c r="B52" s="28" t="s">
        <v>4</v>
      </c>
      <c r="C52" s="28"/>
      <c r="D52" s="33">
        <f>+D48-D50</f>
        <v>-8483.08</v>
      </c>
      <c r="E52" s="14"/>
      <c r="F52" s="34">
        <f>IF(D$12=0,0,D52/D$12)</f>
        <v>0</v>
      </c>
      <c r="G52" s="14"/>
      <c r="H52" s="33">
        <f>+H48-H50</f>
        <v>-7117.0700000000006</v>
      </c>
      <c r="I52" s="14"/>
      <c r="J52" s="34">
        <f>IF(H$12=0,0,H52/H$12)</f>
        <v>0</v>
      </c>
      <c r="K52" s="15"/>
      <c r="L52" s="33">
        <f>D52-H52</f>
        <v>-1366.0099999999993</v>
      </c>
      <c r="M52" s="15"/>
      <c r="N52" s="34">
        <f>IF(H52=0,0,L52/H52)</f>
        <v>0.19193432128670918</v>
      </c>
      <c r="O52" s="29"/>
      <c r="P52" s="33">
        <f>+P48-P50</f>
        <v>-52242.79</v>
      </c>
      <c r="Q52" s="14"/>
      <c r="R52" s="34">
        <f>IF(P$12=0,0,P52/P$12)</f>
        <v>0</v>
      </c>
      <c r="S52" s="14"/>
      <c r="T52" s="33">
        <f>+T48-T50</f>
        <v>-43721.52</v>
      </c>
      <c r="U52" s="14"/>
      <c r="V52" s="34">
        <f>IF(T$12=0,0,T52/T$12)</f>
        <v>0</v>
      </c>
      <c r="W52" s="15"/>
      <c r="X52" s="33">
        <f>P52-T52</f>
        <v>-8521.2700000000041</v>
      </c>
      <c r="Y52" s="15"/>
      <c r="Z52" s="34">
        <f>IF(T52=0,0,X52/T52)</f>
        <v>0.19489875923801378</v>
      </c>
    </row>
    <row r="53" spans="1:26" ht="15.75" thickTop="1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8" t="s">
        <v>5</v>
      </c>
      <c r="C55" s="28"/>
      <c r="D55" s="30">
        <f>SUM(D52:D54)</f>
        <v>-8483.08</v>
      </c>
      <c r="E55" s="14"/>
      <c r="F55" s="32">
        <f>IF(D$12=0,0,D55/D$12)</f>
        <v>0</v>
      </c>
      <c r="G55" s="14"/>
      <c r="H55" s="30">
        <f>SUM(H52:H54)</f>
        <v>-7117.0700000000006</v>
      </c>
      <c r="I55" s="14"/>
      <c r="J55" s="32">
        <f>IF(H$12=0,0,H55/H$12)</f>
        <v>0</v>
      </c>
      <c r="K55" s="15"/>
      <c r="L55" s="30">
        <f>+D55-H55</f>
        <v>-1366.0099999999993</v>
      </c>
      <c r="M55" s="15"/>
      <c r="N55" s="32">
        <f>IF(H55=0,0,L55/H55)</f>
        <v>0.19193432128670918</v>
      </c>
      <c r="O55" s="29"/>
      <c r="P55" s="30">
        <f>SUM(P52:P54)</f>
        <v>-52242.79</v>
      </c>
      <c r="Q55" s="14"/>
      <c r="R55" s="32">
        <f>IF(P$12=0,0,P55/P$12)</f>
        <v>0</v>
      </c>
      <c r="S55" s="14"/>
      <c r="T55" s="30">
        <f>SUM(T52:T54)</f>
        <v>-43721.52</v>
      </c>
      <c r="U55" s="14"/>
      <c r="V55" s="32">
        <f>IF(T$12=0,0,T55/T$12)</f>
        <v>0</v>
      </c>
      <c r="W55" s="15"/>
      <c r="X55" s="30">
        <f>+P55-T55</f>
        <v>-8521.2700000000041</v>
      </c>
      <c r="Y55" s="15"/>
      <c r="Z55" s="32">
        <f>IF(T55=0,0,X55/T55)</f>
        <v>0.19489875923801378</v>
      </c>
    </row>
    <row r="56" spans="1:26" ht="15.75" thickTop="1" x14ac:dyDescent="0.25">
      <c r="A56" s="9"/>
      <c r="C56" s="9"/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25">
      <c r="A57" s="9"/>
      <c r="B57" s="58">
        <v>44209.521645289351</v>
      </c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A58" s="9"/>
      <c r="B58" s="61" t="s">
        <v>313</v>
      </c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25">
      <c r="A59" s="9"/>
      <c r="B59" s="57"/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25"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8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307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233631.73999999996</v>
      </c>
      <c r="E12" s="4"/>
      <c r="F12" s="12"/>
      <c r="G12" s="4"/>
      <c r="H12" s="4">
        <f>SUM(OSRRefH13x_0)</f>
        <v>651972.68000000017</v>
      </c>
      <c r="I12" s="4"/>
      <c r="J12" s="12"/>
      <c r="K12" s="4"/>
      <c r="L12" s="4">
        <f t="shared" ref="L12:L108" si="0">+D12-H12</f>
        <v>-418340.94000000018</v>
      </c>
      <c r="M12" s="4"/>
      <c r="N12" s="12">
        <f t="shared" ref="N12:N108" si="1">IF(H12=0,0,L12/H12)</f>
        <v>-0.64165409507649929</v>
      </c>
      <c r="O12" s="10"/>
      <c r="P12" s="4">
        <f>SUM(OSRRefP13x_0)</f>
        <v>2701201.1299999994</v>
      </c>
      <c r="Q12" s="4"/>
      <c r="R12" s="12"/>
      <c r="S12" s="4"/>
      <c r="T12" s="4">
        <f>SUM(OSRRefT13x_0)</f>
        <v>7141977.129999999</v>
      </c>
      <c r="U12" s="4"/>
      <c r="V12" s="12"/>
      <c r="W12" s="4"/>
      <c r="X12" s="4">
        <f t="shared" ref="X12:X108" si="2">+P12-T12</f>
        <v>-4440776</v>
      </c>
      <c r="Y12" s="4"/>
      <c r="Z12" s="12">
        <f t="shared" ref="Z12:Z108" si="3">IF(T12=0,0,X12/T12)</f>
        <v>-0.62178524506140509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-31830.44</f>
        <v>-31830.44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-31830.44</v>
      </c>
      <c r="M13" s="2"/>
      <c r="N13" s="19">
        <f t="shared" si="1"/>
        <v>0</v>
      </c>
      <c r="O13" s="11"/>
      <c r="P13" s="2">
        <f>-88829.09</f>
        <v>-88829.09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-88829.09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--11522</f>
        <v>11522</v>
      </c>
      <c r="E14" s="2"/>
      <c r="F14" s="19"/>
      <c r="G14" s="2"/>
      <c r="H14" s="2">
        <f>--36689.95</f>
        <v>36689.949999999997</v>
      </c>
      <c r="I14" s="2"/>
      <c r="J14" s="19"/>
      <c r="K14" s="2"/>
      <c r="L14" s="2">
        <f t="shared" si="0"/>
        <v>-25167.949999999997</v>
      </c>
      <c r="M14" s="2"/>
      <c r="N14" s="19">
        <f t="shared" si="1"/>
        <v>-0.68596304982699619</v>
      </c>
      <c r="O14" s="11"/>
      <c r="P14" s="2">
        <f>--730666.02</f>
        <v>730666.02</v>
      </c>
      <c r="Q14" s="2"/>
      <c r="R14" s="19"/>
      <c r="S14" s="2"/>
      <c r="T14" s="2">
        <f>--1540034.38</f>
        <v>1540034.38</v>
      </c>
      <c r="U14" s="2"/>
      <c r="V14" s="19"/>
      <c r="W14" s="2"/>
      <c r="X14" s="2">
        <f t="shared" si="2"/>
        <v>-809368.35999999987</v>
      </c>
      <c r="Y14" s="2"/>
      <c r="Z14" s="19">
        <f t="shared" si="3"/>
        <v>-0.52555213734903761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--2822.44</f>
        <v>2822.44</v>
      </c>
      <c r="E15" s="2"/>
      <c r="F15" s="19"/>
      <c r="G15" s="2"/>
      <c r="H15" s="2">
        <f>--10615.68</f>
        <v>10615.68</v>
      </c>
      <c r="I15" s="2"/>
      <c r="J15" s="19"/>
      <c r="K15" s="2"/>
      <c r="L15" s="2">
        <f t="shared" si="0"/>
        <v>-7793.24</v>
      </c>
      <c r="M15" s="2"/>
      <c r="N15" s="19">
        <f t="shared" si="1"/>
        <v>-0.73412536926508709</v>
      </c>
      <c r="O15" s="11"/>
      <c r="P15" s="2">
        <f>--323454.06</f>
        <v>323454.06</v>
      </c>
      <c r="Q15" s="2"/>
      <c r="R15" s="19"/>
      <c r="S15" s="2"/>
      <c r="T15" s="2">
        <f>--681094.97</f>
        <v>681094.97</v>
      </c>
      <c r="U15" s="2"/>
      <c r="V15" s="19"/>
      <c r="W15" s="2"/>
      <c r="X15" s="2">
        <f t="shared" si="2"/>
        <v>-357640.91</v>
      </c>
      <c r="Y15" s="2"/>
      <c r="Z15" s="19">
        <f t="shared" si="3"/>
        <v>-0.52509697729818794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>
        <f>--586.01</f>
        <v>586.01</v>
      </c>
      <c r="I16" s="2"/>
      <c r="J16" s="19"/>
      <c r="K16" s="2"/>
      <c r="L16" s="2">
        <f t="shared" si="0"/>
        <v>-586.01</v>
      </c>
      <c r="M16" s="2"/>
      <c r="N16" s="19">
        <f t="shared" si="1"/>
        <v>-1</v>
      </c>
      <c r="O16" s="11"/>
      <c r="P16" s="2">
        <f>--10665.63</f>
        <v>10665.63</v>
      </c>
      <c r="Q16" s="2"/>
      <c r="R16" s="19"/>
      <c r="S16" s="2"/>
      <c r="T16" s="2">
        <f>--16430.67</f>
        <v>16430.669999999998</v>
      </c>
      <c r="U16" s="2"/>
      <c r="V16" s="19"/>
      <c r="W16" s="2"/>
      <c r="X16" s="2">
        <f t="shared" si="2"/>
        <v>-5765.0399999999991</v>
      </c>
      <c r="Y16" s="2"/>
      <c r="Z16" s="19">
        <f t="shared" si="3"/>
        <v>-0.35087065834807707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--2459.56</f>
        <v>2459.56</v>
      </c>
      <c r="Q17" s="2"/>
      <c r="R17" s="19"/>
      <c r="S17" s="2"/>
      <c r="T17" s="2">
        <f>--30279.88</f>
        <v>30279.88</v>
      </c>
      <c r="U17" s="2"/>
      <c r="V17" s="19"/>
      <c r="W17" s="2"/>
      <c r="X17" s="2">
        <f t="shared" si="2"/>
        <v>-27820.32</v>
      </c>
      <c r="Y17" s="2"/>
      <c r="Z17" s="19">
        <f t="shared" si="3"/>
        <v>-0.91877246541267665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--3.62</f>
        <v>3.62</v>
      </c>
      <c r="I18" s="2"/>
      <c r="J18" s="19"/>
      <c r="K18" s="2"/>
      <c r="L18" s="2">
        <f t="shared" si="0"/>
        <v>-3.62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--13.22</f>
        <v>13.22</v>
      </c>
      <c r="U18" s="2"/>
      <c r="V18" s="19"/>
      <c r="W18" s="2"/>
      <c r="X18" s="2">
        <f t="shared" si="2"/>
        <v>-13.22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--78.85</f>
        <v>78.849999999999994</v>
      </c>
      <c r="E19" s="2"/>
      <c r="F19" s="19"/>
      <c r="G19" s="2"/>
      <c r="H19" s="2">
        <f>--167.6</f>
        <v>167.6</v>
      </c>
      <c r="I19" s="2"/>
      <c r="J19" s="19"/>
      <c r="K19" s="2"/>
      <c r="L19" s="2">
        <f t="shared" si="0"/>
        <v>-88.75</v>
      </c>
      <c r="M19" s="2"/>
      <c r="N19" s="19">
        <f t="shared" si="1"/>
        <v>-0.52953460620525061</v>
      </c>
      <c r="O19" s="11"/>
      <c r="P19" s="2">
        <f>--583.97</f>
        <v>583.97</v>
      </c>
      <c r="Q19" s="2"/>
      <c r="R19" s="19"/>
      <c r="S19" s="2"/>
      <c r="T19" s="2">
        <f>--1280.32</f>
        <v>1280.32</v>
      </c>
      <c r="U19" s="2"/>
      <c r="V19" s="19"/>
      <c r="W19" s="2"/>
      <c r="X19" s="2">
        <f t="shared" si="2"/>
        <v>-696.34999999999991</v>
      </c>
      <c r="Y19" s="2"/>
      <c r="Z19" s="19">
        <f t="shared" si="3"/>
        <v>-0.54388746563359158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--35.82</f>
        <v>35.82</v>
      </c>
      <c r="E20" s="2"/>
      <c r="F20" s="19"/>
      <c r="G20" s="2"/>
      <c r="H20" s="2">
        <f>--109.34</f>
        <v>109.34</v>
      </c>
      <c r="I20" s="2"/>
      <c r="J20" s="19"/>
      <c r="K20" s="2"/>
      <c r="L20" s="2">
        <f t="shared" si="0"/>
        <v>-73.52000000000001</v>
      </c>
      <c r="M20" s="2"/>
      <c r="N20" s="19">
        <f t="shared" si="1"/>
        <v>-0.67239802451070063</v>
      </c>
      <c r="O20" s="11"/>
      <c r="P20" s="2">
        <f>--376.06</f>
        <v>376.06</v>
      </c>
      <c r="Q20" s="2"/>
      <c r="R20" s="19"/>
      <c r="S20" s="2"/>
      <c r="T20" s="2">
        <f>--992.69</f>
        <v>992.69</v>
      </c>
      <c r="U20" s="2"/>
      <c r="V20" s="19"/>
      <c r="W20" s="2"/>
      <c r="X20" s="2">
        <f t="shared" si="2"/>
        <v>-616.63000000000011</v>
      </c>
      <c r="Y20" s="2"/>
      <c r="Z20" s="19">
        <f t="shared" si="3"/>
        <v>-0.62117075824275458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--10.98</f>
        <v>10.98</v>
      </c>
      <c r="I21" s="2"/>
      <c r="J21" s="19"/>
      <c r="K21" s="2"/>
      <c r="L21" s="2">
        <f t="shared" si="0"/>
        <v>-10.98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--242.14</f>
        <v>242.14</v>
      </c>
      <c r="U21" s="2"/>
      <c r="V21" s="19"/>
      <c r="W21" s="2"/>
      <c r="X21" s="2">
        <f t="shared" si="2"/>
        <v>-242.14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--6.95</f>
        <v>6.95</v>
      </c>
      <c r="E22" s="2"/>
      <c r="F22" s="19"/>
      <c r="G22" s="2"/>
      <c r="H22" s="2">
        <f>--157.74</f>
        <v>157.74</v>
      </c>
      <c r="I22" s="2"/>
      <c r="J22" s="19"/>
      <c r="K22" s="2"/>
      <c r="L22" s="2">
        <f t="shared" si="0"/>
        <v>-150.79000000000002</v>
      </c>
      <c r="M22" s="2"/>
      <c r="N22" s="19">
        <f t="shared" si="1"/>
        <v>-0.95594015468492466</v>
      </c>
      <c r="O22" s="11"/>
      <c r="P22" s="2">
        <f>--190.84</f>
        <v>190.84</v>
      </c>
      <c r="Q22" s="2"/>
      <c r="R22" s="19"/>
      <c r="S22" s="2"/>
      <c r="T22" s="2">
        <f>--2890.39</f>
        <v>2890.39</v>
      </c>
      <c r="U22" s="2"/>
      <c r="V22" s="19"/>
      <c r="W22" s="2"/>
      <c r="X22" s="2">
        <f t="shared" si="2"/>
        <v>-2699.5499999999997</v>
      </c>
      <c r="Y22" s="2"/>
      <c r="Z22" s="19">
        <f t="shared" si="3"/>
        <v>-0.93397430796536107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ref="D23:D24" si="5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6">0</f>
        <v>0</v>
      </c>
      <c r="Q23" s="2"/>
      <c r="R23" s="19"/>
      <c r="S23" s="2"/>
      <c r="T23" s="2">
        <f>--33.88</f>
        <v>33.880000000000003</v>
      </c>
      <c r="U23" s="2"/>
      <c r="V23" s="19"/>
      <c r="W23" s="2"/>
      <c r="X23" s="2">
        <f t="shared" si="2"/>
        <v>-33.880000000000003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>
        <f>--5588.38</f>
        <v>5588.38</v>
      </c>
      <c r="I24" s="2"/>
      <c r="J24" s="19"/>
      <c r="K24" s="2"/>
      <c r="L24" s="2">
        <f t="shared" si="0"/>
        <v>-5588.38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--35133.1</f>
        <v>35133.1</v>
      </c>
      <c r="U24" s="2"/>
      <c r="V24" s="19"/>
      <c r="W24" s="2"/>
      <c r="X24" s="2">
        <f t="shared" si="2"/>
        <v>-35133.1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--75.18</f>
        <v>75.180000000000007</v>
      </c>
      <c r="E25" s="2"/>
      <c r="F25" s="19"/>
      <c r="G25" s="2"/>
      <c r="H25" s="2">
        <f>--6254.22</f>
        <v>6254.22</v>
      </c>
      <c r="I25" s="2"/>
      <c r="J25" s="19"/>
      <c r="K25" s="2"/>
      <c r="L25" s="2">
        <f t="shared" si="0"/>
        <v>-6179.04</v>
      </c>
      <c r="M25" s="2"/>
      <c r="N25" s="19">
        <f t="shared" si="1"/>
        <v>-0.98797931636558989</v>
      </c>
      <c r="O25" s="11"/>
      <c r="P25" s="2">
        <f>--372.38</f>
        <v>372.38</v>
      </c>
      <c r="Q25" s="2"/>
      <c r="R25" s="19"/>
      <c r="S25" s="2"/>
      <c r="T25" s="2">
        <f>--49928.17</f>
        <v>49928.17</v>
      </c>
      <c r="U25" s="2"/>
      <c r="V25" s="19"/>
      <c r="W25" s="2"/>
      <c r="X25" s="2">
        <f t="shared" si="2"/>
        <v>-49555.79</v>
      </c>
      <c r="Y25" s="2"/>
      <c r="Z25" s="19">
        <f t="shared" si="3"/>
        <v>-0.99254168538522447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--3253.96</f>
        <v>3253.96</v>
      </c>
      <c r="E26" s="2"/>
      <c r="F26" s="19"/>
      <c r="G26" s="2"/>
      <c r="H26" s="2">
        <f>--10568.39</f>
        <v>10568.39</v>
      </c>
      <c r="I26" s="2"/>
      <c r="J26" s="19"/>
      <c r="K26" s="2"/>
      <c r="L26" s="2">
        <f t="shared" si="0"/>
        <v>-7314.4299999999994</v>
      </c>
      <c r="M26" s="2"/>
      <c r="N26" s="19">
        <f t="shared" si="1"/>
        <v>-0.69210447381294593</v>
      </c>
      <c r="O26" s="11"/>
      <c r="P26" s="2">
        <f>--39974.43</f>
        <v>39974.43</v>
      </c>
      <c r="Q26" s="2"/>
      <c r="R26" s="19"/>
      <c r="S26" s="2"/>
      <c r="T26" s="2">
        <f>--165357.47</f>
        <v>165357.47</v>
      </c>
      <c r="U26" s="2"/>
      <c r="V26" s="19"/>
      <c r="W26" s="2"/>
      <c r="X26" s="2">
        <f t="shared" si="2"/>
        <v>-125383.04000000001</v>
      </c>
      <c r="Y26" s="2"/>
      <c r="Z26" s="19">
        <f t="shared" si="3"/>
        <v>-0.7582544653108203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--1179.23</f>
        <v>1179.23</v>
      </c>
      <c r="E27" s="2"/>
      <c r="F27" s="19"/>
      <c r="G27" s="2"/>
      <c r="H27" s="2">
        <f>--13684.86</f>
        <v>13684.86</v>
      </c>
      <c r="I27" s="2"/>
      <c r="J27" s="19"/>
      <c r="K27" s="2"/>
      <c r="L27" s="2">
        <f t="shared" si="0"/>
        <v>-12505.630000000001</v>
      </c>
      <c r="M27" s="2"/>
      <c r="N27" s="19">
        <f t="shared" si="1"/>
        <v>-0.91382958978023898</v>
      </c>
      <c r="O27" s="11"/>
      <c r="P27" s="2">
        <f>--17178.81</f>
        <v>17178.810000000001</v>
      </c>
      <c r="Q27" s="2"/>
      <c r="R27" s="19"/>
      <c r="S27" s="2"/>
      <c r="T27" s="2">
        <f>--189637.57</f>
        <v>189637.57</v>
      </c>
      <c r="U27" s="2"/>
      <c r="V27" s="19"/>
      <c r="W27" s="2"/>
      <c r="X27" s="2">
        <f t="shared" si="2"/>
        <v>-172458.76</v>
      </c>
      <c r="Y27" s="2"/>
      <c r="Z27" s="19">
        <f t="shared" si="3"/>
        <v>-0.90941241231893033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--247.04</f>
        <v>247.04</v>
      </c>
      <c r="E28" s="2"/>
      <c r="F28" s="19"/>
      <c r="G28" s="2"/>
      <c r="H28" s="2">
        <f>--26.89</f>
        <v>26.89</v>
      </c>
      <c r="I28" s="2"/>
      <c r="J28" s="19"/>
      <c r="K28" s="2"/>
      <c r="L28" s="2">
        <f t="shared" si="0"/>
        <v>220.14999999999998</v>
      </c>
      <c r="M28" s="2"/>
      <c r="N28" s="19">
        <f t="shared" si="1"/>
        <v>8.1870583860171049</v>
      </c>
      <c r="O28" s="11"/>
      <c r="P28" s="2">
        <f>--2109.65</f>
        <v>2109.65</v>
      </c>
      <c r="Q28" s="2"/>
      <c r="R28" s="19"/>
      <c r="S28" s="2"/>
      <c r="T28" s="2">
        <f>--306.94</f>
        <v>306.94</v>
      </c>
      <c r="U28" s="2"/>
      <c r="V28" s="19"/>
      <c r="W28" s="2"/>
      <c r="X28" s="2">
        <f t="shared" si="2"/>
        <v>1802.71</v>
      </c>
      <c r="Y28" s="2"/>
      <c r="Z28" s="19">
        <f t="shared" si="3"/>
        <v>5.8731673942790126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7">0</f>
        <v>0</v>
      </c>
      <c r="E29" s="2"/>
      <c r="F29" s="19"/>
      <c r="G29" s="2"/>
      <c r="H29" s="2">
        <f>--28638.41</f>
        <v>28638.41</v>
      </c>
      <c r="I29" s="2"/>
      <c r="J29" s="19"/>
      <c r="K29" s="2"/>
      <c r="L29" s="2">
        <f t="shared" si="0"/>
        <v>-28638.41</v>
      </c>
      <c r="M29" s="2"/>
      <c r="N29" s="19">
        <f t="shared" si="1"/>
        <v>-1</v>
      </c>
      <c r="O29" s="11"/>
      <c r="P29" s="2">
        <f>--444.59</f>
        <v>444.59</v>
      </c>
      <c r="Q29" s="2"/>
      <c r="R29" s="19"/>
      <c r="S29" s="2"/>
      <c r="T29" s="2">
        <f>--190815.22</f>
        <v>190815.22</v>
      </c>
      <c r="U29" s="2"/>
      <c r="V29" s="19"/>
      <c r="W29" s="2"/>
      <c r="X29" s="2">
        <f t="shared" si="2"/>
        <v>-190370.63</v>
      </c>
      <c r="Y29" s="2"/>
      <c r="Z29" s="19">
        <f t="shared" si="3"/>
        <v>-0.99767004959038386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7"/>
        <v>0</v>
      </c>
      <c r="E30" s="2"/>
      <c r="F30" s="19"/>
      <c r="G30" s="2"/>
      <c r="H30" s="2">
        <f>--22.41</f>
        <v>22.41</v>
      </c>
      <c r="I30" s="2"/>
      <c r="J30" s="19"/>
      <c r="K30" s="2"/>
      <c r="L30" s="2">
        <f t="shared" si="0"/>
        <v>-22.41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f>--131.02</f>
        <v>131.02000000000001</v>
      </c>
      <c r="U30" s="2"/>
      <c r="V30" s="19"/>
      <c r="W30" s="2"/>
      <c r="X30" s="2">
        <f t="shared" si="2"/>
        <v>-131.02000000000001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--830.01</f>
        <v>830.01</v>
      </c>
      <c r="I31" s="2"/>
      <c r="J31" s="19"/>
      <c r="K31" s="2"/>
      <c r="L31" s="2">
        <f t="shared" si="0"/>
        <v>-830.01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--7473.43</f>
        <v>7473.43</v>
      </c>
      <c r="U31" s="2"/>
      <c r="V31" s="19"/>
      <c r="W31" s="2"/>
      <c r="X31" s="2">
        <f t="shared" si="2"/>
        <v>-7466.6500000000005</v>
      </c>
      <c r="Y31" s="2"/>
      <c r="Z31" s="19">
        <f t="shared" si="3"/>
        <v>-0.99909278604335627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--133.49</f>
        <v>133.49</v>
      </c>
      <c r="I32" s="2"/>
      <c r="J32" s="19"/>
      <c r="K32" s="2"/>
      <c r="L32" s="2">
        <f t="shared" si="0"/>
        <v>-133.49</v>
      </c>
      <c r="M32" s="2"/>
      <c r="N32" s="19">
        <f t="shared" si="1"/>
        <v>-1</v>
      </c>
      <c r="O32" s="11"/>
      <c r="P32" s="2">
        <f t="shared" ref="P32:P33" si="8">0</f>
        <v>0</v>
      </c>
      <c r="Q32" s="2"/>
      <c r="R32" s="19"/>
      <c r="S32" s="2"/>
      <c r="T32" s="2">
        <f>--1267.09</f>
        <v>1267.0899999999999</v>
      </c>
      <c r="U32" s="2"/>
      <c r="V32" s="19"/>
      <c r="W32" s="2"/>
      <c r="X32" s="2">
        <f t="shared" si="2"/>
        <v>-1267.0899999999999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--19.09</f>
        <v>19.09</v>
      </c>
      <c r="I33" s="2"/>
      <c r="J33" s="19"/>
      <c r="K33" s="2"/>
      <c r="L33" s="2">
        <f t="shared" si="0"/>
        <v>-19.09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--396.26</f>
        <v>396.26</v>
      </c>
      <c r="U33" s="2"/>
      <c r="V33" s="19"/>
      <c r="W33" s="2"/>
      <c r="X33" s="2">
        <f t="shared" si="2"/>
        <v>-396.26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--84378.29</f>
        <v>84378.29</v>
      </c>
      <c r="E34" s="2"/>
      <c r="F34" s="19"/>
      <c r="G34" s="2"/>
      <c r="H34" s="2">
        <f>--193654.24</f>
        <v>193654.24</v>
      </c>
      <c r="I34" s="2"/>
      <c r="J34" s="19"/>
      <c r="K34" s="2"/>
      <c r="L34" s="2">
        <f t="shared" si="0"/>
        <v>-109275.95</v>
      </c>
      <c r="M34" s="2"/>
      <c r="N34" s="19">
        <f t="shared" si="1"/>
        <v>-0.56428379776244508</v>
      </c>
      <c r="O34" s="11"/>
      <c r="P34" s="2">
        <f>--508110.99</f>
        <v>508110.99</v>
      </c>
      <c r="Q34" s="2"/>
      <c r="R34" s="19"/>
      <c r="S34" s="2"/>
      <c r="T34" s="2">
        <f>--1291791.18</f>
        <v>1291791.18</v>
      </c>
      <c r="U34" s="2"/>
      <c r="V34" s="19"/>
      <c r="W34" s="2"/>
      <c r="X34" s="2">
        <f t="shared" si="2"/>
        <v>-783680.19</v>
      </c>
      <c r="Y34" s="2"/>
      <c r="Z34" s="19">
        <f t="shared" si="3"/>
        <v>-0.60666166647770425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--32217.83</f>
        <v>32217.83</v>
      </c>
      <c r="E35" s="2"/>
      <c r="F35" s="19"/>
      <c r="G35" s="2"/>
      <c r="H35" s="2">
        <f>--37979.16</f>
        <v>37979.160000000003</v>
      </c>
      <c r="I35" s="2"/>
      <c r="J35" s="19"/>
      <c r="K35" s="2"/>
      <c r="L35" s="2">
        <f t="shared" si="0"/>
        <v>-5761.3300000000017</v>
      </c>
      <c r="M35" s="2"/>
      <c r="N35" s="19">
        <f t="shared" si="1"/>
        <v>-0.15169714127431994</v>
      </c>
      <c r="O35" s="11"/>
      <c r="P35" s="2">
        <f>--197618.32</f>
        <v>197618.32</v>
      </c>
      <c r="Q35" s="2"/>
      <c r="R35" s="19"/>
      <c r="S35" s="2"/>
      <c r="T35" s="2">
        <f>--296126.81</f>
        <v>296126.81</v>
      </c>
      <c r="U35" s="2"/>
      <c r="V35" s="19"/>
      <c r="W35" s="2"/>
      <c r="X35" s="2">
        <f t="shared" si="2"/>
        <v>-98508.489999999991</v>
      </c>
      <c r="Y35" s="2"/>
      <c r="Z35" s="19">
        <f t="shared" si="3"/>
        <v>-0.33265643863856836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--8018.58</f>
        <v>8018.58</v>
      </c>
      <c r="E36" s="2"/>
      <c r="F36" s="19"/>
      <c r="G36" s="2"/>
      <c r="H36" s="2">
        <f>--44973.91</f>
        <v>44973.91</v>
      </c>
      <c r="I36" s="2"/>
      <c r="J36" s="19"/>
      <c r="K36" s="2"/>
      <c r="L36" s="2">
        <f t="shared" si="0"/>
        <v>-36955.33</v>
      </c>
      <c r="M36" s="2"/>
      <c r="N36" s="19">
        <f t="shared" si="1"/>
        <v>-0.82170596241242977</v>
      </c>
      <c r="O36" s="11"/>
      <c r="P36" s="2">
        <f>--64897.7</f>
        <v>64897.7</v>
      </c>
      <c r="Q36" s="2"/>
      <c r="R36" s="19"/>
      <c r="S36" s="2"/>
      <c r="T36" s="2">
        <f>--199952.1</f>
        <v>199952.1</v>
      </c>
      <c r="U36" s="2"/>
      <c r="V36" s="19"/>
      <c r="W36" s="2"/>
      <c r="X36" s="2">
        <f t="shared" si="2"/>
        <v>-135054.40000000002</v>
      </c>
      <c r="Y36" s="2"/>
      <c r="Z36" s="19">
        <f t="shared" si="3"/>
        <v>-0.67543376638704977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--35930.93</f>
        <v>35930.93</v>
      </c>
      <c r="E37" s="2"/>
      <c r="F37" s="19"/>
      <c r="G37" s="2"/>
      <c r="H37" s="2">
        <f>--9497.44</f>
        <v>9497.44</v>
      </c>
      <c r="I37" s="2"/>
      <c r="J37" s="19"/>
      <c r="K37" s="2"/>
      <c r="L37" s="2">
        <f t="shared" si="0"/>
        <v>26433.489999999998</v>
      </c>
      <c r="M37" s="2"/>
      <c r="N37" s="19">
        <f t="shared" si="1"/>
        <v>2.7832226368368738</v>
      </c>
      <c r="O37" s="11"/>
      <c r="P37" s="2">
        <f>--93109.15</f>
        <v>93109.15</v>
      </c>
      <c r="Q37" s="2"/>
      <c r="R37" s="19"/>
      <c r="S37" s="2"/>
      <c r="T37" s="2">
        <f>--14320.46</f>
        <v>14320.46</v>
      </c>
      <c r="U37" s="2"/>
      <c r="V37" s="19"/>
      <c r="W37" s="2"/>
      <c r="X37" s="2">
        <f t="shared" si="2"/>
        <v>78788.69</v>
      </c>
      <c r="Y37" s="2"/>
      <c r="Z37" s="19">
        <f t="shared" si="3"/>
        <v>5.5018267569617185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--11267.16</f>
        <v>11267.16</v>
      </c>
      <c r="E38" s="2"/>
      <c r="F38" s="19"/>
      <c r="G38" s="2"/>
      <c r="H38" s="2">
        <f>--5438.42</f>
        <v>5438.42</v>
      </c>
      <c r="I38" s="2"/>
      <c r="J38" s="19"/>
      <c r="K38" s="2"/>
      <c r="L38" s="2">
        <f t="shared" si="0"/>
        <v>5828.74</v>
      </c>
      <c r="M38" s="2"/>
      <c r="N38" s="19">
        <f t="shared" si="1"/>
        <v>1.0717708452087187</v>
      </c>
      <c r="O38" s="11"/>
      <c r="P38" s="2">
        <f>--26273.67</f>
        <v>26273.67</v>
      </c>
      <c r="Q38" s="2"/>
      <c r="R38" s="19"/>
      <c r="S38" s="2"/>
      <c r="T38" s="2">
        <f>--46736.2</f>
        <v>46736.2</v>
      </c>
      <c r="U38" s="2"/>
      <c r="V38" s="19"/>
      <c r="W38" s="2"/>
      <c r="X38" s="2">
        <f t="shared" si="2"/>
        <v>-20462.53</v>
      </c>
      <c r="Y38" s="2"/>
      <c r="Z38" s="19">
        <f t="shared" si="3"/>
        <v>-0.43783041839088332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--13848.98</f>
        <v>13848.98</v>
      </c>
      <c r="E39" s="2"/>
      <c r="F39" s="19"/>
      <c r="G39" s="2"/>
      <c r="H39" s="2">
        <f>--6487.38</f>
        <v>6487.38</v>
      </c>
      <c r="I39" s="2"/>
      <c r="J39" s="19"/>
      <c r="K39" s="2"/>
      <c r="L39" s="2">
        <f t="shared" si="0"/>
        <v>7361.5999999999995</v>
      </c>
      <c r="M39" s="2"/>
      <c r="N39" s="19">
        <f t="shared" si="1"/>
        <v>1.134757020553752</v>
      </c>
      <c r="O39" s="11"/>
      <c r="P39" s="2">
        <f>--122061.15</f>
        <v>122061.15</v>
      </c>
      <c r="Q39" s="2"/>
      <c r="R39" s="19"/>
      <c r="S39" s="2"/>
      <c r="T39" s="2">
        <f>--61005.82</f>
        <v>61005.82</v>
      </c>
      <c r="U39" s="2"/>
      <c r="V39" s="19"/>
      <c r="W39" s="2"/>
      <c r="X39" s="2">
        <f t="shared" si="2"/>
        <v>61055.329999999994</v>
      </c>
      <c r="Y39" s="2"/>
      <c r="Z39" s="19">
        <f t="shared" si="3"/>
        <v>1.0008115619132731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7" si="9">0</f>
        <v>0</v>
      </c>
      <c r="E40" s="2"/>
      <c r="F40" s="19"/>
      <c r="G40" s="2"/>
      <c r="H40" s="2">
        <f>--115.39</f>
        <v>115.39</v>
      </c>
      <c r="I40" s="2"/>
      <c r="J40" s="19"/>
      <c r="K40" s="2"/>
      <c r="L40" s="2">
        <f t="shared" si="0"/>
        <v>-115.39</v>
      </c>
      <c r="M40" s="2"/>
      <c r="N40" s="19">
        <f t="shared" si="1"/>
        <v>-1</v>
      </c>
      <c r="O40" s="11"/>
      <c r="P40" s="2">
        <f t="shared" ref="P40:P41" si="10">0</f>
        <v>0</v>
      </c>
      <c r="Q40" s="2"/>
      <c r="R40" s="19"/>
      <c r="S40" s="2"/>
      <c r="T40" s="2">
        <f>--1793.94</f>
        <v>1793.94</v>
      </c>
      <c r="U40" s="2"/>
      <c r="V40" s="19"/>
      <c r="W40" s="2"/>
      <c r="X40" s="2">
        <f t="shared" si="2"/>
        <v>-1793.94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9"/>
        <v>0</v>
      </c>
      <c r="E41" s="2"/>
      <c r="F41" s="19"/>
      <c r="G41" s="2"/>
      <c r="H41" s="2">
        <f>--16373.97</f>
        <v>16373.97</v>
      </c>
      <c r="I41" s="2"/>
      <c r="J41" s="19"/>
      <c r="K41" s="2"/>
      <c r="L41" s="2">
        <f t="shared" si="0"/>
        <v>-16373.97</v>
      </c>
      <c r="M41" s="2"/>
      <c r="N41" s="19">
        <f t="shared" si="1"/>
        <v>-1</v>
      </c>
      <c r="O41" s="11"/>
      <c r="P41" s="2">
        <f t="shared" si="10"/>
        <v>0</v>
      </c>
      <c r="Q41" s="2"/>
      <c r="R41" s="19"/>
      <c r="S41" s="2"/>
      <c r="T41" s="2">
        <f>--108371.16</f>
        <v>108371.16</v>
      </c>
      <c r="U41" s="2"/>
      <c r="V41" s="19"/>
      <c r="W41" s="2"/>
      <c r="X41" s="2">
        <f t="shared" si="2"/>
        <v>-108371.16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 t="shared" si="9"/>
        <v>0</v>
      </c>
      <c r="E42" s="2"/>
      <c r="F42" s="19"/>
      <c r="G42" s="2"/>
      <c r="H42" s="2">
        <f>--310.76</f>
        <v>310.76</v>
      </c>
      <c r="I42" s="2"/>
      <c r="J42" s="19"/>
      <c r="K42" s="2"/>
      <c r="L42" s="2">
        <f t="shared" si="0"/>
        <v>-310.76</v>
      </c>
      <c r="M42" s="2"/>
      <c r="N42" s="19">
        <f t="shared" si="1"/>
        <v>-1</v>
      </c>
      <c r="O42" s="11"/>
      <c r="P42" s="2">
        <f>--71.95</f>
        <v>71.95</v>
      </c>
      <c r="Q42" s="2"/>
      <c r="R42" s="19"/>
      <c r="S42" s="2"/>
      <c r="T42" s="2">
        <f>--2534.43</f>
        <v>2534.4299999999998</v>
      </c>
      <c r="U42" s="2"/>
      <c r="V42" s="19"/>
      <c r="W42" s="2"/>
      <c r="X42" s="2">
        <f t="shared" si="2"/>
        <v>-2462.48</v>
      </c>
      <c r="Y42" s="2"/>
      <c r="Z42" s="19">
        <f t="shared" si="3"/>
        <v>-0.97161097367060845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 t="shared" si="9"/>
        <v>0</v>
      </c>
      <c r="E43" s="2"/>
      <c r="F43" s="19"/>
      <c r="G43" s="2"/>
      <c r="H43" s="2">
        <f>--19</f>
        <v>19</v>
      </c>
      <c r="I43" s="2"/>
      <c r="J43" s="19"/>
      <c r="K43" s="2"/>
      <c r="L43" s="2">
        <f t="shared" si="0"/>
        <v>-19</v>
      </c>
      <c r="M43" s="2"/>
      <c r="N43" s="19">
        <f t="shared" si="1"/>
        <v>-1</v>
      </c>
      <c r="O43" s="11"/>
      <c r="P43" s="2">
        <f>0</f>
        <v>0</v>
      </c>
      <c r="Q43" s="2"/>
      <c r="R43" s="19"/>
      <c r="S43" s="2"/>
      <c r="T43" s="2">
        <f>--181</f>
        <v>181</v>
      </c>
      <c r="U43" s="2"/>
      <c r="V43" s="19"/>
      <c r="W43" s="2"/>
      <c r="X43" s="2">
        <f t="shared" si="2"/>
        <v>-181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 t="shared" si="9"/>
        <v>0</v>
      </c>
      <c r="E44" s="2"/>
      <c r="F44" s="19"/>
      <c r="G44" s="2"/>
      <c r="H44" s="2">
        <f>--129.88</f>
        <v>129.88</v>
      </c>
      <c r="I44" s="2"/>
      <c r="J44" s="19"/>
      <c r="K44" s="2"/>
      <c r="L44" s="2">
        <f t="shared" si="0"/>
        <v>-129.88</v>
      </c>
      <c r="M44" s="2"/>
      <c r="N44" s="19">
        <f t="shared" si="1"/>
        <v>-1</v>
      </c>
      <c r="O44" s="11"/>
      <c r="P44" s="2">
        <f>--9.99</f>
        <v>9.99</v>
      </c>
      <c r="Q44" s="2"/>
      <c r="R44" s="19"/>
      <c r="S44" s="2"/>
      <c r="T44" s="2">
        <f>--699.48</f>
        <v>699.48</v>
      </c>
      <c r="U44" s="2"/>
      <c r="V44" s="19"/>
      <c r="W44" s="2"/>
      <c r="X44" s="2">
        <f t="shared" si="2"/>
        <v>-689.49</v>
      </c>
      <c r="Y44" s="2"/>
      <c r="Z44" s="19">
        <f t="shared" si="3"/>
        <v>-0.98571796191456507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 t="shared" si="9"/>
        <v>0</v>
      </c>
      <c r="E45" s="2"/>
      <c r="F45" s="19"/>
      <c r="G45" s="2"/>
      <c r="H45" s="2">
        <f>--58.98</f>
        <v>58.98</v>
      </c>
      <c r="I45" s="2"/>
      <c r="J45" s="19"/>
      <c r="K45" s="2"/>
      <c r="L45" s="2">
        <f t="shared" si="0"/>
        <v>-58.98</v>
      </c>
      <c r="M45" s="2"/>
      <c r="N45" s="19">
        <f t="shared" si="1"/>
        <v>-1</v>
      </c>
      <c r="O45" s="11"/>
      <c r="P45" s="2">
        <f t="shared" ref="P45:P47" si="11">0</f>
        <v>0</v>
      </c>
      <c r="Q45" s="2"/>
      <c r="R45" s="19"/>
      <c r="S45" s="2"/>
      <c r="T45" s="2">
        <f>--698.77</f>
        <v>698.77</v>
      </c>
      <c r="U45" s="2"/>
      <c r="V45" s="19"/>
      <c r="W45" s="2"/>
      <c r="X45" s="2">
        <f t="shared" si="2"/>
        <v>-698.77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 t="shared" si="9"/>
        <v>0</v>
      </c>
      <c r="E46" s="2"/>
      <c r="F46" s="19"/>
      <c r="G46" s="2"/>
      <c r="H46" s="2">
        <f>--218.75</f>
        <v>218.75</v>
      </c>
      <c r="I46" s="2"/>
      <c r="J46" s="19"/>
      <c r="K46" s="2"/>
      <c r="L46" s="2">
        <f t="shared" si="0"/>
        <v>-218.75</v>
      </c>
      <c r="M46" s="2"/>
      <c r="N46" s="19">
        <f t="shared" si="1"/>
        <v>-1</v>
      </c>
      <c r="O46" s="11"/>
      <c r="P46" s="2">
        <f t="shared" si="11"/>
        <v>0</v>
      </c>
      <c r="Q46" s="2"/>
      <c r="R46" s="19"/>
      <c r="S46" s="2"/>
      <c r="T46" s="2">
        <f>--7659.37</f>
        <v>7659.37</v>
      </c>
      <c r="U46" s="2"/>
      <c r="V46" s="19"/>
      <c r="W46" s="2"/>
      <c r="X46" s="2">
        <f t="shared" si="2"/>
        <v>-7659.37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 t="shared" si="9"/>
        <v>0</v>
      </c>
      <c r="E47" s="2"/>
      <c r="F47" s="19"/>
      <c r="G47" s="2"/>
      <c r="H47" s="2">
        <f>--20.89</f>
        <v>20.89</v>
      </c>
      <c r="I47" s="2"/>
      <c r="J47" s="19"/>
      <c r="K47" s="2"/>
      <c r="L47" s="2">
        <f t="shared" si="0"/>
        <v>-20.89</v>
      </c>
      <c r="M47" s="2"/>
      <c r="N47" s="19">
        <f t="shared" si="1"/>
        <v>-1</v>
      </c>
      <c r="O47" s="11"/>
      <c r="P47" s="2">
        <f t="shared" si="11"/>
        <v>0</v>
      </c>
      <c r="Q47" s="2"/>
      <c r="R47" s="19"/>
      <c r="S47" s="2"/>
      <c r="T47" s="2">
        <f>--297.33</f>
        <v>297.33</v>
      </c>
      <c r="U47" s="2"/>
      <c r="V47" s="19"/>
      <c r="W47" s="2"/>
      <c r="X47" s="2">
        <f t="shared" si="2"/>
        <v>-297.33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-225.75</f>
        <v>-225.75</v>
      </c>
      <c r="E48" s="2"/>
      <c r="F48" s="19"/>
      <c r="G48" s="2"/>
      <c r="H48" s="2">
        <f>--87.99</f>
        <v>87.99</v>
      </c>
      <c r="I48" s="2"/>
      <c r="J48" s="19"/>
      <c r="K48" s="2"/>
      <c r="L48" s="2">
        <f t="shared" si="0"/>
        <v>-313.74</v>
      </c>
      <c r="M48" s="2"/>
      <c r="N48" s="19">
        <f t="shared" si="1"/>
        <v>-3.5656324582338907</v>
      </c>
      <c r="O48" s="11"/>
      <c r="P48" s="2">
        <f>--165587.67</f>
        <v>165587.67000000001</v>
      </c>
      <c r="Q48" s="2"/>
      <c r="R48" s="19"/>
      <c r="S48" s="2"/>
      <c r="T48" s="2">
        <f>--335928.55</f>
        <v>335928.55</v>
      </c>
      <c r="U48" s="2"/>
      <c r="V48" s="19"/>
      <c r="W48" s="2"/>
      <c r="X48" s="2">
        <f t="shared" si="2"/>
        <v>-170340.87999999998</v>
      </c>
      <c r="Y48" s="2"/>
      <c r="Z48" s="19">
        <f t="shared" si="3"/>
        <v>-0.50707473360034439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--3205.21</f>
        <v>3205.21</v>
      </c>
      <c r="E49" s="2"/>
      <c r="F49" s="19"/>
      <c r="G49" s="2"/>
      <c r="H49" s="2">
        <f>--2606.82</f>
        <v>2606.8200000000002</v>
      </c>
      <c r="I49" s="2"/>
      <c r="J49" s="19"/>
      <c r="K49" s="2"/>
      <c r="L49" s="2">
        <f t="shared" si="0"/>
        <v>598.38999999999987</v>
      </c>
      <c r="M49" s="2"/>
      <c r="N49" s="19">
        <f t="shared" si="1"/>
        <v>0.22954787825780062</v>
      </c>
      <c r="O49" s="11"/>
      <c r="P49" s="2">
        <f>--82140.93</f>
        <v>82140.929999999993</v>
      </c>
      <c r="Q49" s="2"/>
      <c r="R49" s="19"/>
      <c r="S49" s="2"/>
      <c r="T49" s="2">
        <f>--95287.57</f>
        <v>95287.57</v>
      </c>
      <c r="U49" s="2"/>
      <c r="V49" s="19"/>
      <c r="W49" s="2"/>
      <c r="X49" s="2">
        <f t="shared" si="2"/>
        <v>-13146.640000000014</v>
      </c>
      <c r="Y49" s="2"/>
      <c r="Z49" s="19">
        <f t="shared" si="3"/>
        <v>-0.13796804766875692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--598.12</f>
        <v>598.12</v>
      </c>
      <c r="E50" s="2"/>
      <c r="F50" s="19"/>
      <c r="G50" s="2"/>
      <c r="H50" s="2">
        <f>--595.75</f>
        <v>595.75</v>
      </c>
      <c r="I50" s="2"/>
      <c r="J50" s="19"/>
      <c r="K50" s="2"/>
      <c r="L50" s="2">
        <f t="shared" si="0"/>
        <v>2.3700000000000045</v>
      </c>
      <c r="M50" s="2"/>
      <c r="N50" s="19">
        <f t="shared" si="1"/>
        <v>3.9781787662610231E-3</v>
      </c>
      <c r="O50" s="11"/>
      <c r="P50" s="2">
        <f>--33631.31</f>
        <v>33631.31</v>
      </c>
      <c r="Q50" s="2"/>
      <c r="R50" s="19"/>
      <c r="S50" s="2"/>
      <c r="T50" s="2">
        <f>--38202.59</f>
        <v>38202.589999999997</v>
      </c>
      <c r="U50" s="2"/>
      <c r="V50" s="19"/>
      <c r="W50" s="2"/>
      <c r="X50" s="2">
        <f t="shared" si="2"/>
        <v>-4571.2799999999988</v>
      </c>
      <c r="Y50" s="2"/>
      <c r="Z50" s="19">
        <f t="shared" si="3"/>
        <v>-0.11965890270790538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--284.97</f>
        <v>284.97000000000003</v>
      </c>
      <c r="Q51" s="2"/>
      <c r="R51" s="19"/>
      <c r="S51" s="2"/>
      <c r="T51" s="2">
        <f>--329.98</f>
        <v>329.98</v>
      </c>
      <c r="U51" s="2"/>
      <c r="V51" s="19"/>
      <c r="W51" s="2"/>
      <c r="X51" s="2">
        <f t="shared" si="2"/>
        <v>-45.009999999999991</v>
      </c>
      <c r="Y51" s="2"/>
      <c r="Z51" s="19">
        <f t="shared" si="3"/>
        <v>-0.13640220619431478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--1301.3</f>
        <v>1301.3</v>
      </c>
      <c r="E52" s="2"/>
      <c r="F52" s="19"/>
      <c r="G52" s="2"/>
      <c r="H52" s="2">
        <f>--12189.74</f>
        <v>12189.74</v>
      </c>
      <c r="I52" s="2"/>
      <c r="J52" s="19"/>
      <c r="K52" s="2"/>
      <c r="L52" s="2">
        <f t="shared" si="0"/>
        <v>-10888.44</v>
      </c>
      <c r="M52" s="2"/>
      <c r="N52" s="19">
        <f t="shared" si="1"/>
        <v>-0.89324628745157819</v>
      </c>
      <c r="O52" s="11"/>
      <c r="P52" s="2">
        <f>--296191.01</f>
        <v>296191.01</v>
      </c>
      <c r="Q52" s="2"/>
      <c r="R52" s="19"/>
      <c r="S52" s="2"/>
      <c r="T52" s="2">
        <f>--332888.83</f>
        <v>332888.83</v>
      </c>
      <c r="U52" s="2"/>
      <c r="V52" s="19"/>
      <c r="W52" s="2"/>
      <c r="X52" s="2">
        <f t="shared" si="2"/>
        <v>-36697.820000000007</v>
      </c>
      <c r="Y52" s="2"/>
      <c r="Z52" s="19">
        <f t="shared" si="3"/>
        <v>-0.11024046676483559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0</f>
        <v>0</v>
      </c>
      <c r="E53" s="2"/>
      <c r="F53" s="19"/>
      <c r="G53" s="2"/>
      <c r="H53" s="2">
        <f>--431.78</f>
        <v>431.78</v>
      </c>
      <c r="I53" s="2"/>
      <c r="J53" s="19"/>
      <c r="K53" s="2"/>
      <c r="L53" s="2">
        <f t="shared" si="0"/>
        <v>-431.78</v>
      </c>
      <c r="M53" s="2"/>
      <c r="N53" s="19">
        <f t="shared" si="1"/>
        <v>-1</v>
      </c>
      <c r="O53" s="11"/>
      <c r="P53" s="2">
        <f>0</f>
        <v>0</v>
      </c>
      <c r="Q53" s="2"/>
      <c r="R53" s="19"/>
      <c r="S53" s="2"/>
      <c r="T53" s="2">
        <f>--8023.97</f>
        <v>8023.97</v>
      </c>
      <c r="U53" s="2"/>
      <c r="V53" s="19"/>
      <c r="W53" s="2"/>
      <c r="X53" s="2">
        <f t="shared" si="2"/>
        <v>-8023.97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--41.55</f>
        <v>41.55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41.55</v>
      </c>
      <c r="M54" s="2"/>
      <c r="N54" s="19">
        <f t="shared" si="1"/>
        <v>0</v>
      </c>
      <c r="O54" s="11"/>
      <c r="P54" s="2">
        <f>--2327.5</f>
        <v>2327.5</v>
      </c>
      <c r="Q54" s="2"/>
      <c r="R54" s="19"/>
      <c r="S54" s="2"/>
      <c r="T54" s="2">
        <f>--1146.72</f>
        <v>1146.72</v>
      </c>
      <c r="U54" s="2"/>
      <c r="V54" s="19"/>
      <c r="W54" s="2"/>
      <c r="X54" s="2">
        <f t="shared" si="2"/>
        <v>1180.78</v>
      </c>
      <c r="Y54" s="2"/>
      <c r="Z54" s="19">
        <f t="shared" si="3"/>
        <v>1.0297021068787497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 t="shared" ref="D55:D57" si="12">0</f>
        <v>0</v>
      </c>
      <c r="E55" s="2"/>
      <c r="F55" s="19"/>
      <c r="G55" s="2"/>
      <c r="H55" s="2">
        <f>--6.95</f>
        <v>6.95</v>
      </c>
      <c r="I55" s="2"/>
      <c r="J55" s="19"/>
      <c r="K55" s="2"/>
      <c r="L55" s="2">
        <f t="shared" si="0"/>
        <v>-6.95</v>
      </c>
      <c r="M55" s="2"/>
      <c r="N55" s="19">
        <f t="shared" si="1"/>
        <v>-1</v>
      </c>
      <c r="O55" s="11"/>
      <c r="P55" s="2">
        <f>--233.43</f>
        <v>233.43</v>
      </c>
      <c r="Q55" s="2"/>
      <c r="R55" s="19"/>
      <c r="S55" s="2"/>
      <c r="T55" s="2">
        <f>--41.91</f>
        <v>41.91</v>
      </c>
      <c r="U55" s="2"/>
      <c r="V55" s="19"/>
      <c r="W55" s="2"/>
      <c r="X55" s="2">
        <f t="shared" si="2"/>
        <v>191.52</v>
      </c>
      <c r="Y55" s="2"/>
      <c r="Z55" s="19">
        <f t="shared" si="3"/>
        <v>4.5697924123120979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 t="shared" si="12"/>
        <v>0</v>
      </c>
      <c r="E56" s="2"/>
      <c r="F56" s="19"/>
      <c r="G56" s="2"/>
      <c r="H56" s="2">
        <f>0</f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0</f>
        <v>0</v>
      </c>
      <c r="Q56" s="2"/>
      <c r="R56" s="19"/>
      <c r="S56" s="2"/>
      <c r="T56" s="2">
        <f>--124.18</f>
        <v>124.18</v>
      </c>
      <c r="U56" s="2"/>
      <c r="V56" s="19"/>
      <c r="W56" s="2"/>
      <c r="X56" s="2">
        <f t="shared" si="2"/>
        <v>-124.18</v>
      </c>
      <c r="Y56" s="2"/>
      <c r="Z56" s="19">
        <f t="shared" si="3"/>
        <v>-1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 t="shared" si="12"/>
        <v>0</v>
      </c>
      <c r="E57" s="2"/>
      <c r="F57" s="19"/>
      <c r="G57" s="2"/>
      <c r="H57" s="2">
        <f>--38.73</f>
        <v>38.729999999999997</v>
      </c>
      <c r="I57" s="2"/>
      <c r="J57" s="19"/>
      <c r="K57" s="2"/>
      <c r="L57" s="2">
        <f t="shared" si="0"/>
        <v>-38.729999999999997</v>
      </c>
      <c r="M57" s="2"/>
      <c r="N57" s="19">
        <f t="shared" si="1"/>
        <v>-1</v>
      </c>
      <c r="O57" s="11"/>
      <c r="P57" s="2">
        <f>--52.68</f>
        <v>52.68</v>
      </c>
      <c r="Q57" s="2"/>
      <c r="R57" s="19"/>
      <c r="S57" s="2"/>
      <c r="T57" s="2">
        <f>--1509.11</f>
        <v>1509.11</v>
      </c>
      <c r="U57" s="2"/>
      <c r="V57" s="19"/>
      <c r="W57" s="2"/>
      <c r="X57" s="2">
        <f t="shared" si="2"/>
        <v>-1456.4299999999998</v>
      </c>
      <c r="Y57" s="2"/>
      <c r="Z57" s="19">
        <f t="shared" si="3"/>
        <v>-0.96509200787218952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--259.53</f>
        <v>259.52999999999997</v>
      </c>
      <c r="E58" s="2"/>
      <c r="F58" s="19"/>
      <c r="G58" s="2"/>
      <c r="H58" s="2">
        <f t="shared" ref="H58:H59" si="13">0</f>
        <v>0</v>
      </c>
      <c r="I58" s="2"/>
      <c r="J58" s="19"/>
      <c r="K58" s="2"/>
      <c r="L58" s="2">
        <f t="shared" si="0"/>
        <v>259.52999999999997</v>
      </c>
      <c r="M58" s="2"/>
      <c r="N58" s="19">
        <f t="shared" si="1"/>
        <v>0</v>
      </c>
      <c r="O58" s="11"/>
      <c r="P58" s="2">
        <f>--3206.11</f>
        <v>3206.11</v>
      </c>
      <c r="Q58" s="2"/>
      <c r="R58" s="19"/>
      <c r="S58" s="2"/>
      <c r="T58" s="2">
        <f>--2603.4</f>
        <v>2603.4</v>
      </c>
      <c r="U58" s="2"/>
      <c r="V58" s="19"/>
      <c r="W58" s="2"/>
      <c r="X58" s="2">
        <f t="shared" si="2"/>
        <v>602.71</v>
      </c>
      <c r="Y58" s="2"/>
      <c r="Z58" s="19">
        <f t="shared" si="3"/>
        <v>0.23150879618959821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0</f>
        <v>0</v>
      </c>
      <c r="E59" s="2"/>
      <c r="F59" s="19"/>
      <c r="G59" s="2"/>
      <c r="H59" s="2">
        <f t="shared" si="13"/>
        <v>0</v>
      </c>
      <c r="I59" s="2"/>
      <c r="J59" s="19"/>
      <c r="K59" s="2"/>
      <c r="L59" s="2">
        <f t="shared" si="0"/>
        <v>0</v>
      </c>
      <c r="M59" s="2"/>
      <c r="N59" s="19">
        <f t="shared" si="1"/>
        <v>0</v>
      </c>
      <c r="O59" s="11"/>
      <c r="P59" s="2">
        <f>--24.78</f>
        <v>24.78</v>
      </c>
      <c r="Q59" s="2"/>
      <c r="R59" s="19"/>
      <c r="S59" s="2"/>
      <c r="T59" s="2">
        <f>--348.72</f>
        <v>348.72</v>
      </c>
      <c r="U59" s="2"/>
      <c r="V59" s="19"/>
      <c r="W59" s="2"/>
      <c r="X59" s="2">
        <f t="shared" si="2"/>
        <v>-323.94000000000005</v>
      </c>
      <c r="Y59" s="2"/>
      <c r="Z59" s="19">
        <f t="shared" si="3"/>
        <v>-0.92894012388162428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--1032.82</f>
        <v>1032.82</v>
      </c>
      <c r="E60" s="2"/>
      <c r="F60" s="19"/>
      <c r="G60" s="2"/>
      <c r="H60" s="2">
        <f>--4058.22</f>
        <v>4058.22</v>
      </c>
      <c r="I60" s="2"/>
      <c r="J60" s="19"/>
      <c r="K60" s="2"/>
      <c r="L60" s="2">
        <f t="shared" si="0"/>
        <v>-3025.3999999999996</v>
      </c>
      <c r="M60" s="2"/>
      <c r="N60" s="19">
        <f t="shared" si="1"/>
        <v>-0.74549925829550878</v>
      </c>
      <c r="O60" s="11"/>
      <c r="P60" s="2">
        <f>--7542.15</f>
        <v>7542.15</v>
      </c>
      <c r="Q60" s="2"/>
      <c r="R60" s="19"/>
      <c r="S60" s="2"/>
      <c r="T60" s="2">
        <f>--39085.73</f>
        <v>39085.730000000003</v>
      </c>
      <c r="U60" s="2"/>
      <c r="V60" s="19"/>
      <c r="W60" s="2"/>
      <c r="X60" s="2">
        <f t="shared" si="2"/>
        <v>-31543.58</v>
      </c>
      <c r="Y60" s="2"/>
      <c r="Z60" s="19">
        <f t="shared" si="3"/>
        <v>-0.80703571354558301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 t="shared" ref="D61:D65" si="14">0</f>
        <v>0</v>
      </c>
      <c r="E61" s="2"/>
      <c r="F61" s="19"/>
      <c r="G61" s="2"/>
      <c r="H61" s="2">
        <f>--85222.13</f>
        <v>85222.13</v>
      </c>
      <c r="I61" s="2"/>
      <c r="J61" s="19"/>
      <c r="K61" s="2"/>
      <c r="L61" s="2">
        <f t="shared" si="0"/>
        <v>-85222.13</v>
      </c>
      <c r="M61" s="2"/>
      <c r="N61" s="19">
        <f t="shared" si="1"/>
        <v>-1</v>
      </c>
      <c r="O61" s="11"/>
      <c r="P61" s="2">
        <f>--2054.37</f>
        <v>2054.37</v>
      </c>
      <c r="Q61" s="2"/>
      <c r="R61" s="19"/>
      <c r="S61" s="2"/>
      <c r="T61" s="2">
        <f>--750566.92</f>
        <v>750566.92</v>
      </c>
      <c r="U61" s="2"/>
      <c r="V61" s="19"/>
      <c r="W61" s="2"/>
      <c r="X61" s="2">
        <f t="shared" si="2"/>
        <v>-748512.55</v>
      </c>
      <c r="Y61" s="2"/>
      <c r="Z61" s="19">
        <f t="shared" si="3"/>
        <v>-0.99726290894887826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 t="shared" si="14"/>
        <v>0</v>
      </c>
      <c r="E62" s="2"/>
      <c r="F62" s="19"/>
      <c r="G62" s="2"/>
      <c r="H62" s="2">
        <f>--1305.22</f>
        <v>1305.22</v>
      </c>
      <c r="I62" s="2"/>
      <c r="J62" s="19"/>
      <c r="K62" s="2"/>
      <c r="L62" s="2">
        <f t="shared" si="0"/>
        <v>-1305.22</v>
      </c>
      <c r="M62" s="2"/>
      <c r="N62" s="19">
        <f t="shared" si="1"/>
        <v>-1</v>
      </c>
      <c r="O62" s="11"/>
      <c r="P62" s="2">
        <f>--80.71</f>
        <v>80.709999999999994</v>
      </c>
      <c r="Q62" s="2"/>
      <c r="R62" s="19"/>
      <c r="S62" s="2"/>
      <c r="T62" s="2">
        <f>--12121.78</f>
        <v>12121.78</v>
      </c>
      <c r="U62" s="2"/>
      <c r="V62" s="19"/>
      <c r="W62" s="2"/>
      <c r="X62" s="2">
        <f t="shared" si="2"/>
        <v>-12041.070000000002</v>
      </c>
      <c r="Y62" s="2"/>
      <c r="Z62" s="19">
        <f t="shared" si="3"/>
        <v>-0.99334173693962446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 t="shared" si="14"/>
        <v>0</v>
      </c>
      <c r="E63" s="2"/>
      <c r="F63" s="19"/>
      <c r="G63" s="2"/>
      <c r="H63" s="2">
        <f>0</f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--45.53</f>
        <v>45.53</v>
      </c>
      <c r="Q63" s="2"/>
      <c r="R63" s="19"/>
      <c r="S63" s="2"/>
      <c r="T63" s="2">
        <f>--0.39</f>
        <v>0.39</v>
      </c>
      <c r="U63" s="2"/>
      <c r="V63" s="19"/>
      <c r="W63" s="2"/>
      <c r="X63" s="2">
        <f t="shared" si="2"/>
        <v>45.14</v>
      </c>
      <c r="Y63" s="2"/>
      <c r="Z63" s="19">
        <f t="shared" si="3"/>
        <v>115.74358974358974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 t="shared" si="14"/>
        <v>0</v>
      </c>
      <c r="E64" s="2"/>
      <c r="F64" s="19"/>
      <c r="G64" s="2"/>
      <c r="H64" s="2">
        <f>--3.59</f>
        <v>3.59</v>
      </c>
      <c r="I64" s="2"/>
      <c r="J64" s="19"/>
      <c r="K64" s="2"/>
      <c r="L64" s="2">
        <f t="shared" si="0"/>
        <v>-3.59</v>
      </c>
      <c r="M64" s="2"/>
      <c r="N64" s="19">
        <f t="shared" si="1"/>
        <v>-1</v>
      </c>
      <c r="O64" s="11"/>
      <c r="P64" s="2">
        <f>0</f>
        <v>0</v>
      </c>
      <c r="Q64" s="2"/>
      <c r="R64" s="19"/>
      <c r="S64" s="2"/>
      <c r="T64" s="2">
        <f>--118.32</f>
        <v>118.32</v>
      </c>
      <c r="U64" s="2"/>
      <c r="V64" s="19"/>
      <c r="W64" s="2"/>
      <c r="X64" s="2">
        <f t="shared" si="2"/>
        <v>-118.32</v>
      </c>
      <c r="Y64" s="2"/>
      <c r="Z64" s="19">
        <f t="shared" si="3"/>
        <v>-1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 t="shared" si="14"/>
        <v>0</v>
      </c>
      <c r="E65" s="2"/>
      <c r="F65" s="19"/>
      <c r="G65" s="2"/>
      <c r="H65" s="2">
        <f>--749.29</f>
        <v>749.29</v>
      </c>
      <c r="I65" s="2"/>
      <c r="J65" s="19"/>
      <c r="K65" s="2"/>
      <c r="L65" s="2">
        <f t="shared" si="0"/>
        <v>-749.29</v>
      </c>
      <c r="M65" s="2"/>
      <c r="N65" s="19">
        <f t="shared" si="1"/>
        <v>-1</v>
      </c>
      <c r="O65" s="11"/>
      <c r="P65" s="2">
        <f>--68.25</f>
        <v>68.25</v>
      </c>
      <c r="Q65" s="2"/>
      <c r="R65" s="19"/>
      <c r="S65" s="2"/>
      <c r="T65" s="2">
        <f>--7063.17</f>
        <v>7063.17</v>
      </c>
      <c r="U65" s="2"/>
      <c r="V65" s="19"/>
      <c r="W65" s="2"/>
      <c r="X65" s="2">
        <f t="shared" si="2"/>
        <v>-6994.92</v>
      </c>
      <c r="Y65" s="2"/>
      <c r="Z65" s="19">
        <f t="shared" si="3"/>
        <v>-0.99033719986918056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--53650.7</f>
        <v>53650.7</v>
      </c>
      <c r="E66" s="2"/>
      <c r="F66" s="19"/>
      <c r="G66" s="2"/>
      <c r="H66" s="2">
        <f>--18815.05</f>
        <v>18815.05</v>
      </c>
      <c r="I66" s="2"/>
      <c r="J66" s="19"/>
      <c r="K66" s="2"/>
      <c r="L66" s="2">
        <f t="shared" si="0"/>
        <v>34835.649999999994</v>
      </c>
      <c r="M66" s="2"/>
      <c r="N66" s="19">
        <f t="shared" si="1"/>
        <v>1.851477939202925</v>
      </c>
      <c r="O66" s="11"/>
      <c r="P66" s="2">
        <f>--103970.97</f>
        <v>103970.97</v>
      </c>
      <c r="Q66" s="2"/>
      <c r="R66" s="19"/>
      <c r="S66" s="2"/>
      <c r="T66" s="2">
        <f>--38823.84</f>
        <v>38823.839999999997</v>
      </c>
      <c r="U66" s="2"/>
      <c r="V66" s="19"/>
      <c r="W66" s="2"/>
      <c r="X66" s="2">
        <f t="shared" si="2"/>
        <v>65147.130000000005</v>
      </c>
      <c r="Y66" s="2"/>
      <c r="Z66" s="19">
        <f t="shared" si="3"/>
        <v>1.6780187122139389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--1780.23</f>
        <v>1780.23</v>
      </c>
      <c r="E67" s="2"/>
      <c r="F67" s="19"/>
      <c r="G67" s="2"/>
      <c r="H67" s="2">
        <f>--699.6</f>
        <v>699.6</v>
      </c>
      <c r="I67" s="2"/>
      <c r="J67" s="19"/>
      <c r="K67" s="2"/>
      <c r="L67" s="2">
        <f t="shared" si="0"/>
        <v>1080.6300000000001</v>
      </c>
      <c r="M67" s="2"/>
      <c r="N67" s="19">
        <f t="shared" si="1"/>
        <v>1.5446397941680963</v>
      </c>
      <c r="O67" s="11"/>
      <c r="P67" s="2">
        <f>--5969.25</f>
        <v>5969.25</v>
      </c>
      <c r="Q67" s="2"/>
      <c r="R67" s="19"/>
      <c r="S67" s="2"/>
      <c r="T67" s="2">
        <f>--2529.88</f>
        <v>2529.88</v>
      </c>
      <c r="U67" s="2"/>
      <c r="V67" s="19"/>
      <c r="W67" s="2"/>
      <c r="X67" s="2">
        <f t="shared" si="2"/>
        <v>3439.37</v>
      </c>
      <c r="Y67" s="2"/>
      <c r="Z67" s="19">
        <f t="shared" si="3"/>
        <v>1.3594992647872626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0</f>
        <v>0</v>
      </c>
      <c r="E68" s="2"/>
      <c r="F68" s="19"/>
      <c r="G68" s="2"/>
      <c r="H68" s="2">
        <f>--2554.55</f>
        <v>2554.5500000000002</v>
      </c>
      <c r="I68" s="2"/>
      <c r="J68" s="19"/>
      <c r="K68" s="2"/>
      <c r="L68" s="2">
        <f t="shared" si="0"/>
        <v>-2554.5500000000002</v>
      </c>
      <c r="M68" s="2"/>
      <c r="N68" s="19">
        <f t="shared" si="1"/>
        <v>-1</v>
      </c>
      <c r="O68" s="11"/>
      <c r="P68" s="2">
        <f>--2208.19</f>
        <v>2208.19</v>
      </c>
      <c r="Q68" s="2"/>
      <c r="R68" s="19"/>
      <c r="S68" s="2"/>
      <c r="T68" s="2">
        <f>--10487.38</f>
        <v>10487.38</v>
      </c>
      <c r="U68" s="2"/>
      <c r="V68" s="19"/>
      <c r="W68" s="2"/>
      <c r="X68" s="2">
        <f t="shared" si="2"/>
        <v>-8279.1899999999987</v>
      </c>
      <c r="Y68" s="2"/>
      <c r="Z68" s="19">
        <f t="shared" si="3"/>
        <v>-0.78944312116086179</v>
      </c>
    </row>
    <row r="69" spans="1:26" s="24" customFormat="1" hidden="1" outlineLevel="1" x14ac:dyDescent="0.25">
      <c r="A69" s="44"/>
      <c r="B69" s="11" t="str">
        <f>CONCATENATE("          ", "4143", " - ", "NON-TAXABLE SALES-CARDS")</f>
        <v xml:space="preserve">          4143 - NON-TAXABLE SALES-CARDS</v>
      </c>
      <c r="C69" s="11"/>
      <c r="D69" s="2">
        <f>--1697.07</f>
        <v>1697.07</v>
      </c>
      <c r="E69" s="2"/>
      <c r="F69" s="19"/>
      <c r="G69" s="2"/>
      <c r="H69" s="2">
        <f>0</f>
        <v>0</v>
      </c>
      <c r="I69" s="2"/>
      <c r="J69" s="19"/>
      <c r="K69" s="2"/>
      <c r="L69" s="2">
        <f t="shared" si="0"/>
        <v>1697.07</v>
      </c>
      <c r="M69" s="2"/>
      <c r="N69" s="19">
        <f t="shared" si="1"/>
        <v>0</v>
      </c>
      <c r="O69" s="11"/>
      <c r="P69" s="2">
        <f>--1737.03</f>
        <v>1737.03</v>
      </c>
      <c r="Q69" s="2"/>
      <c r="R69" s="19"/>
      <c r="S69" s="2"/>
      <c r="T69" s="2">
        <f>0</f>
        <v>0</v>
      </c>
      <c r="U69" s="2"/>
      <c r="V69" s="19"/>
      <c r="W69" s="2"/>
      <c r="X69" s="2">
        <f t="shared" si="2"/>
        <v>1737.03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--99.8</f>
        <v>99.8</v>
      </c>
      <c r="E70" s="2"/>
      <c r="F70" s="19"/>
      <c r="G70" s="2"/>
      <c r="H70" s="2">
        <f>--351.29</f>
        <v>351.29</v>
      </c>
      <c r="I70" s="2"/>
      <c r="J70" s="19"/>
      <c r="K70" s="2"/>
      <c r="L70" s="2">
        <f t="shared" si="0"/>
        <v>-251.49</v>
      </c>
      <c r="M70" s="2"/>
      <c r="N70" s="19">
        <f t="shared" si="1"/>
        <v>-0.71590423866321273</v>
      </c>
      <c r="O70" s="11"/>
      <c r="P70" s="2">
        <f>--489.5</f>
        <v>489.5</v>
      </c>
      <c r="Q70" s="2"/>
      <c r="R70" s="19"/>
      <c r="S70" s="2"/>
      <c r="T70" s="2">
        <f>--592.85</f>
        <v>592.85</v>
      </c>
      <c r="U70" s="2"/>
      <c r="V70" s="19"/>
      <c r="W70" s="2"/>
      <c r="X70" s="2">
        <f t="shared" si="2"/>
        <v>-103.35000000000002</v>
      </c>
      <c r="Y70" s="2"/>
      <c r="Z70" s="19">
        <f t="shared" si="3"/>
        <v>-0.17432740153495829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--16747.77</f>
        <v>16747.77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16747.77</v>
      </c>
      <c r="M71" s="2"/>
      <c r="N71" s="19">
        <f t="shared" si="1"/>
        <v>0</v>
      </c>
      <c r="O71" s="11"/>
      <c r="P71" s="2">
        <f>--55393.77</f>
        <v>55393.77</v>
      </c>
      <c r="Q71" s="2"/>
      <c r="R71" s="19"/>
      <c r="S71" s="2"/>
      <c r="T71" s="2">
        <f>--140</f>
        <v>140</v>
      </c>
      <c r="U71" s="2"/>
      <c r="V71" s="19"/>
      <c r="W71" s="2"/>
      <c r="X71" s="2">
        <f t="shared" si="2"/>
        <v>55253.77</v>
      </c>
      <c r="Y71" s="2"/>
      <c r="Z71" s="19">
        <f t="shared" si="3"/>
        <v>394.66978571428569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--19.9</f>
        <v>19.899999999999999</v>
      </c>
      <c r="E72" s="2"/>
      <c r="F72" s="19"/>
      <c r="G72" s="2"/>
      <c r="H72" s="2">
        <f>--27126.9</f>
        <v>27126.9</v>
      </c>
      <c r="I72" s="2"/>
      <c r="J72" s="19"/>
      <c r="K72" s="2"/>
      <c r="L72" s="2">
        <f t="shared" si="0"/>
        <v>-27107</v>
      </c>
      <c r="M72" s="2"/>
      <c r="N72" s="19">
        <f t="shared" si="1"/>
        <v>-0.99926641083205225</v>
      </c>
      <c r="O72" s="11"/>
      <c r="P72" s="2">
        <f>--127.9</f>
        <v>127.9</v>
      </c>
      <c r="Q72" s="2"/>
      <c r="R72" s="19"/>
      <c r="S72" s="2"/>
      <c r="T72" s="2">
        <f>--146467.95</f>
        <v>146467.95000000001</v>
      </c>
      <c r="U72" s="2"/>
      <c r="V72" s="19"/>
      <c r="W72" s="2"/>
      <c r="X72" s="2">
        <f t="shared" si="2"/>
        <v>-146340.05000000002</v>
      </c>
      <c r="Y72" s="2"/>
      <c r="Z72" s="19">
        <f t="shared" si="3"/>
        <v>-0.9991267714199592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--13</f>
        <v>13</v>
      </c>
      <c r="E73" s="2"/>
      <c r="F73" s="19"/>
      <c r="G73" s="2"/>
      <c r="H73" s="2">
        <f>--57.5</f>
        <v>57.5</v>
      </c>
      <c r="I73" s="2"/>
      <c r="J73" s="19"/>
      <c r="K73" s="2"/>
      <c r="L73" s="2">
        <f t="shared" si="0"/>
        <v>-44.5</v>
      </c>
      <c r="M73" s="2"/>
      <c r="N73" s="19">
        <f t="shared" si="1"/>
        <v>-0.77391304347826084</v>
      </c>
      <c r="O73" s="11"/>
      <c r="P73" s="2">
        <f>--104.5</f>
        <v>104.5</v>
      </c>
      <c r="Q73" s="2"/>
      <c r="R73" s="19"/>
      <c r="S73" s="2"/>
      <c r="T73" s="2">
        <f>--307.4</f>
        <v>307.39999999999998</v>
      </c>
      <c r="U73" s="2"/>
      <c r="V73" s="19"/>
      <c r="W73" s="2"/>
      <c r="X73" s="2">
        <f t="shared" si="2"/>
        <v>-202.89999999999998</v>
      </c>
      <c r="Y73" s="2"/>
      <c r="Z73" s="19">
        <f t="shared" si="3"/>
        <v>-0.6600520494469746</v>
      </c>
    </row>
    <row r="74" spans="1:26" s="24" customFormat="1" hidden="1" outlineLevel="1" x14ac:dyDescent="0.25">
      <c r="A74" s="44"/>
      <c r="B74" s="11" t="str">
        <f>CONCATENATE("          ", "4151", " - ", "NON-TAXABLE SALES-FOOD")</f>
        <v xml:space="preserve">          4151 - NON-TAXABLE SALES-FOOD</v>
      </c>
      <c r="C74" s="11"/>
      <c r="D74" s="2">
        <f t="shared" ref="D74:D76" si="15">0</f>
        <v>0</v>
      </c>
      <c r="E74" s="2"/>
      <c r="F74" s="19"/>
      <c r="G74" s="2"/>
      <c r="H74" s="2">
        <f>--75965.55</f>
        <v>75965.55</v>
      </c>
      <c r="I74" s="2"/>
      <c r="J74" s="19"/>
      <c r="K74" s="2"/>
      <c r="L74" s="2">
        <f t="shared" si="0"/>
        <v>-75965.55</v>
      </c>
      <c r="M74" s="2"/>
      <c r="N74" s="19">
        <f t="shared" si="1"/>
        <v>-1</v>
      </c>
      <c r="O74" s="11"/>
      <c r="P74" s="2">
        <f>0</f>
        <v>0</v>
      </c>
      <c r="Q74" s="2"/>
      <c r="R74" s="19"/>
      <c r="S74" s="2"/>
      <c r="T74" s="2">
        <f>--576438.65</f>
        <v>576438.65</v>
      </c>
      <c r="U74" s="2"/>
      <c r="V74" s="19"/>
      <c r="W74" s="2"/>
      <c r="X74" s="2">
        <f t="shared" si="2"/>
        <v>-576438.65</v>
      </c>
      <c r="Y74" s="2"/>
      <c r="Z74" s="19">
        <f t="shared" si="3"/>
        <v>-1</v>
      </c>
    </row>
    <row r="75" spans="1:26" s="24" customFormat="1" hidden="1" outlineLevel="1" x14ac:dyDescent="0.25">
      <c r="A75" s="44"/>
      <c r="B75" s="11" t="str">
        <f>CONCATENATE("          ", "4153", " - ", "NON-TAXABLE SALES-FOOD")</f>
        <v xml:space="preserve">          4153 - NON-TAXABLE SALES-FOOD</v>
      </c>
      <c r="C75" s="11"/>
      <c r="D75" s="2">
        <f t="shared" si="15"/>
        <v>0</v>
      </c>
      <c r="E75" s="2"/>
      <c r="F75" s="19"/>
      <c r="G75" s="2"/>
      <c r="H75" s="2">
        <f>--2733</f>
        <v>2733</v>
      </c>
      <c r="I75" s="2"/>
      <c r="J75" s="19"/>
      <c r="K75" s="2"/>
      <c r="L75" s="2">
        <f t="shared" si="0"/>
        <v>-2733</v>
      </c>
      <c r="M75" s="2"/>
      <c r="N75" s="19">
        <f t="shared" si="1"/>
        <v>-1</v>
      </c>
      <c r="O75" s="11"/>
      <c r="P75" s="2">
        <f>--110</f>
        <v>110</v>
      </c>
      <c r="Q75" s="2"/>
      <c r="R75" s="19"/>
      <c r="S75" s="2"/>
      <c r="T75" s="2">
        <f>--9560</f>
        <v>9560</v>
      </c>
      <c r="U75" s="2"/>
      <c r="V75" s="19"/>
      <c r="W75" s="2"/>
      <c r="X75" s="2">
        <f t="shared" si="2"/>
        <v>-9450</v>
      </c>
      <c r="Y75" s="2"/>
      <c r="Z75" s="19">
        <f t="shared" si="3"/>
        <v>-0.9884937238493724</v>
      </c>
    </row>
    <row r="76" spans="1:26" s="24" customFormat="1" hidden="1" outlineLevel="1" x14ac:dyDescent="0.25">
      <c r="A76" s="44"/>
      <c r="B76" s="11" t="str">
        <f>CONCATENATE("          ", "4186", " - ", "NON-TAXABLE SALES-COMPUTER SUP")</f>
        <v xml:space="preserve">          4186 - NON-TAXABLE SALES-COMPUTER SUP</v>
      </c>
      <c r="C76" s="11"/>
      <c r="D76" s="2">
        <f t="shared" si="15"/>
        <v>0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0</f>
        <v>0</v>
      </c>
      <c r="Q76" s="2"/>
      <c r="R76" s="19"/>
      <c r="S76" s="2"/>
      <c r="T76" s="2">
        <f>-30.97</f>
        <v>-30.97</v>
      </c>
      <c r="U76" s="2"/>
      <c r="V76" s="19"/>
      <c r="W76" s="2"/>
      <c r="X76" s="2">
        <f t="shared" si="2"/>
        <v>30.97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"4201", " - ", "SALES RETURN TAXABLE-NEW TEXT")</f>
        <v xml:space="preserve">          4201 - SALES RETURN TAXABLE-NEW TEXT</v>
      </c>
      <c r="C77" s="11"/>
      <c r="D77" s="2">
        <f>-681.18</f>
        <v>-681.18</v>
      </c>
      <c r="E77" s="2"/>
      <c r="F77" s="19"/>
      <c r="G77" s="2"/>
      <c r="H77" s="2">
        <f>-631.8</f>
        <v>-631.79999999999995</v>
      </c>
      <c r="I77" s="2"/>
      <c r="J77" s="19"/>
      <c r="K77" s="2"/>
      <c r="L77" s="2">
        <f t="shared" si="0"/>
        <v>-49.379999999999995</v>
      </c>
      <c r="M77" s="2"/>
      <c r="N77" s="19">
        <f t="shared" si="1"/>
        <v>7.8157644824311492E-2</v>
      </c>
      <c r="O77" s="11"/>
      <c r="P77" s="2">
        <f>-35775.84</f>
        <v>-35775.839999999997</v>
      </c>
      <c r="Q77" s="2"/>
      <c r="R77" s="19"/>
      <c r="S77" s="2"/>
      <c r="T77" s="2">
        <f>-78730.37</f>
        <v>-78730.37</v>
      </c>
      <c r="U77" s="2"/>
      <c r="V77" s="19"/>
      <c r="W77" s="2"/>
      <c r="X77" s="2">
        <f t="shared" si="2"/>
        <v>42954.53</v>
      </c>
      <c r="Y77" s="2"/>
      <c r="Z77" s="19">
        <f t="shared" si="3"/>
        <v>-0.54559034842589971</v>
      </c>
    </row>
    <row r="78" spans="1:26" s="24" customFormat="1" hidden="1" outlineLevel="1" x14ac:dyDescent="0.25">
      <c r="A78" s="44"/>
      <c r="B78" s="11" t="str">
        <f>CONCATENATE("          ", "4202", " - ", "SALES RETURN TAXABLE-USED TEXT")</f>
        <v xml:space="preserve">          4202 - SALES RETURN TAXABLE-USED TEXT</v>
      </c>
      <c r="C78" s="11"/>
      <c r="D78" s="2">
        <f>-62.65</f>
        <v>-62.65</v>
      </c>
      <c r="E78" s="2"/>
      <c r="F78" s="19"/>
      <c r="G78" s="2"/>
      <c r="H78" s="2">
        <f>-166.15</f>
        <v>-166.15</v>
      </c>
      <c r="I78" s="2"/>
      <c r="J78" s="19"/>
      <c r="K78" s="2"/>
      <c r="L78" s="2">
        <f t="shared" si="0"/>
        <v>103.5</v>
      </c>
      <c r="M78" s="2"/>
      <c r="N78" s="19">
        <f t="shared" si="1"/>
        <v>-0.62293108636773997</v>
      </c>
      <c r="O78" s="11"/>
      <c r="P78" s="2">
        <f>-13866</f>
        <v>-13866</v>
      </c>
      <c r="Q78" s="2"/>
      <c r="R78" s="19"/>
      <c r="S78" s="2"/>
      <c r="T78" s="2">
        <f>-27208.35</f>
        <v>-27208.35</v>
      </c>
      <c r="U78" s="2"/>
      <c r="V78" s="19"/>
      <c r="W78" s="2"/>
      <c r="X78" s="2">
        <f t="shared" si="2"/>
        <v>13342.349999999999</v>
      </c>
      <c r="Y78" s="2"/>
      <c r="Z78" s="19">
        <f t="shared" si="3"/>
        <v>-0.49037703499109647</v>
      </c>
    </row>
    <row r="79" spans="1:26" s="24" customFormat="1" hidden="1" outlineLevel="1" x14ac:dyDescent="0.25">
      <c r="A79" s="44"/>
      <c r="B79" s="11" t="str">
        <f>CONCATENATE("          ", "4203", " - ", "SALES RETURN TAXABLE-RENTAL TE")</f>
        <v xml:space="preserve">          4203 - SALES RETURN TAXABLE-RENTAL TE</v>
      </c>
      <c r="C79" s="11"/>
      <c r="D79" s="2">
        <f t="shared" ref="D79:D86" si="16">0</f>
        <v>0</v>
      </c>
      <c r="E79" s="2"/>
      <c r="F79" s="19"/>
      <c r="G79" s="2"/>
      <c r="H79" s="2">
        <f t="shared" ref="H79:H81" si="17"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0</f>
        <v>0</v>
      </c>
      <c r="Q79" s="2"/>
      <c r="R79" s="19"/>
      <c r="S79" s="2"/>
      <c r="T79" s="2">
        <f>-144.99</f>
        <v>-144.99</v>
      </c>
      <c r="U79" s="2"/>
      <c r="V79" s="19"/>
      <c r="W79" s="2"/>
      <c r="X79" s="2">
        <f t="shared" si="2"/>
        <v>144.99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"4204", " - ", "SALES RETURN TAXABLE-DIGITAL T")</f>
        <v xml:space="preserve">          4204 - SALES RETURN TAXABLE-DIGITAL T</v>
      </c>
      <c r="C80" s="11"/>
      <c r="D80" s="2">
        <f t="shared" si="16"/>
        <v>0</v>
      </c>
      <c r="E80" s="2"/>
      <c r="F80" s="19"/>
      <c r="G80" s="2"/>
      <c r="H80" s="2">
        <f t="shared" si="17"/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-1630.85</f>
        <v>-1630.85</v>
      </c>
      <c r="Q80" s="2"/>
      <c r="R80" s="19"/>
      <c r="S80" s="2"/>
      <c r="T80" s="2">
        <f>-11369.46</f>
        <v>-11369.46</v>
      </c>
      <c r="U80" s="2"/>
      <c r="V80" s="19"/>
      <c r="W80" s="2"/>
      <c r="X80" s="2">
        <f t="shared" si="2"/>
        <v>9738.6099999999988</v>
      </c>
      <c r="Y80" s="2"/>
      <c r="Z80" s="19">
        <f t="shared" si="3"/>
        <v>-0.85655871079189327</v>
      </c>
    </row>
    <row r="81" spans="1:26" s="24" customFormat="1" hidden="1" outlineLevel="1" x14ac:dyDescent="0.25">
      <c r="A81" s="44"/>
      <c r="B81" s="11" t="str">
        <f>CONCATENATE("          ", "4213", " - ", "NON-TAXABLE SALES-TRADE BOOKS")</f>
        <v xml:space="preserve">          4213 - NON-TAXABLE SALES-TRADE BOOKS</v>
      </c>
      <c r="C81" s="11"/>
      <c r="D81" s="2">
        <f t="shared" si="16"/>
        <v>0</v>
      </c>
      <c r="E81" s="2"/>
      <c r="F81" s="19"/>
      <c r="G81" s="2"/>
      <c r="H81" s="2">
        <f t="shared" si="17"/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 t="shared" ref="P81:P85" si="18">0</f>
        <v>0</v>
      </c>
      <c r="Q81" s="2"/>
      <c r="R81" s="19"/>
      <c r="S81" s="2"/>
      <c r="T81" s="2">
        <f>-102.71</f>
        <v>-102.71</v>
      </c>
      <c r="U81" s="2"/>
      <c r="V81" s="19"/>
      <c r="W81" s="2"/>
      <c r="X81" s="2">
        <f t="shared" si="2"/>
        <v>102.71</v>
      </c>
      <c r="Y81" s="2"/>
      <c r="Z81" s="19">
        <f t="shared" si="3"/>
        <v>-1</v>
      </c>
    </row>
    <row r="82" spans="1:26" s="24" customFormat="1" hidden="1" outlineLevel="1" x14ac:dyDescent="0.25">
      <c r="A82" s="44"/>
      <c r="B82" s="11" t="str">
        <f>CONCATENATE("          ", "4214", " - ", "SALES RETURN TAXABLE-REMAINDER")</f>
        <v xml:space="preserve">          4214 - SALES RETURN TAXABLE-REMAINDER</v>
      </c>
      <c r="C82" s="11"/>
      <c r="D82" s="2">
        <f t="shared" si="16"/>
        <v>0</v>
      </c>
      <c r="E82" s="2"/>
      <c r="F82" s="19"/>
      <c r="G82" s="2"/>
      <c r="H82" s="2">
        <f>-11.94</f>
        <v>-11.94</v>
      </c>
      <c r="I82" s="2"/>
      <c r="J82" s="19"/>
      <c r="K82" s="2"/>
      <c r="L82" s="2">
        <f t="shared" si="0"/>
        <v>11.94</v>
      </c>
      <c r="M82" s="2"/>
      <c r="N82" s="19">
        <f t="shared" si="1"/>
        <v>-1</v>
      </c>
      <c r="O82" s="11"/>
      <c r="P82" s="2">
        <f t="shared" si="18"/>
        <v>0</v>
      </c>
      <c r="Q82" s="2"/>
      <c r="R82" s="19"/>
      <c r="S82" s="2"/>
      <c r="T82" s="2">
        <f>-11.94</f>
        <v>-11.94</v>
      </c>
      <c r="U82" s="2"/>
      <c r="V82" s="19"/>
      <c r="W82" s="2"/>
      <c r="X82" s="2">
        <f t="shared" si="2"/>
        <v>11.94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"4217", " - ", "NON-TAXABLE SALES-DORM/HOUSEWA")</f>
        <v xml:space="preserve">          4217 - NON-TAXABLE SALES-DORM/HOUSEWA</v>
      </c>
      <c r="C83" s="11"/>
      <c r="D83" s="2">
        <f t="shared" si="16"/>
        <v>0</v>
      </c>
      <c r="E83" s="2"/>
      <c r="F83" s="19"/>
      <c r="G83" s="2"/>
      <c r="H83" s="2">
        <f t="shared" ref="H83:H84" si="19">0</f>
        <v>0</v>
      </c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 t="shared" si="18"/>
        <v>0</v>
      </c>
      <c r="Q83" s="2"/>
      <c r="R83" s="19"/>
      <c r="S83" s="2"/>
      <c r="T83" s="2">
        <f>-2.98</f>
        <v>-2.98</v>
      </c>
      <c r="U83" s="2"/>
      <c r="V83" s="19"/>
      <c r="W83" s="2"/>
      <c r="X83" s="2">
        <f t="shared" si="2"/>
        <v>2.98</v>
      </c>
      <c r="Y83" s="2"/>
      <c r="Z83" s="19">
        <f t="shared" si="3"/>
        <v>-1</v>
      </c>
    </row>
    <row r="84" spans="1:26" s="24" customFormat="1" hidden="1" outlineLevel="1" x14ac:dyDescent="0.25">
      <c r="A84" s="44"/>
      <c r="B84" s="11" t="str">
        <f>CONCATENATE("          ", "4218", " - ", "SALES RETURN TAXABLE-STUDY GUI")</f>
        <v xml:space="preserve">          4218 - SALES RETURN TAXABLE-STUDY GUI</v>
      </c>
      <c r="C84" s="11"/>
      <c r="D84" s="2">
        <f t="shared" si="16"/>
        <v>0</v>
      </c>
      <c r="E84" s="2"/>
      <c r="F84" s="19"/>
      <c r="G84" s="2"/>
      <c r="H84" s="2">
        <f t="shared" si="19"/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 t="shared" si="18"/>
        <v>0</v>
      </c>
      <c r="Q84" s="2"/>
      <c r="R84" s="19"/>
      <c r="S84" s="2"/>
      <c r="T84" s="2">
        <f>-32.75</f>
        <v>-32.75</v>
      </c>
      <c r="U84" s="2"/>
      <c r="V84" s="19"/>
      <c r="W84" s="2"/>
      <c r="X84" s="2">
        <f t="shared" si="2"/>
        <v>32.75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"4225", " - ", "SALES RETURN TAXABLE-TEST FORM")</f>
        <v xml:space="preserve">          4225 - SALES RETURN TAXABLE-TEST FORM</v>
      </c>
      <c r="C85" s="11"/>
      <c r="D85" s="2">
        <f t="shared" si="16"/>
        <v>0</v>
      </c>
      <c r="E85" s="2"/>
      <c r="F85" s="19"/>
      <c r="G85" s="2"/>
      <c r="H85" s="2">
        <f>-15.51</f>
        <v>-15.51</v>
      </c>
      <c r="I85" s="2"/>
      <c r="J85" s="19"/>
      <c r="K85" s="2"/>
      <c r="L85" s="2">
        <f t="shared" si="0"/>
        <v>15.51</v>
      </c>
      <c r="M85" s="2"/>
      <c r="N85" s="19">
        <f t="shared" si="1"/>
        <v>-1</v>
      </c>
      <c r="O85" s="11"/>
      <c r="P85" s="2">
        <f t="shared" si="18"/>
        <v>0</v>
      </c>
      <c r="Q85" s="2"/>
      <c r="R85" s="19"/>
      <c r="S85" s="2"/>
      <c r="T85" s="2">
        <f>-80.97</f>
        <v>-80.97</v>
      </c>
      <c r="U85" s="2"/>
      <c r="V85" s="19"/>
      <c r="W85" s="2"/>
      <c r="X85" s="2">
        <f t="shared" si="2"/>
        <v>80.97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"4226", " - ", "SALES RETURN TAXABLE-WRITING I")</f>
        <v xml:space="preserve">          4226 - SALES RETURN TAXABLE-WRITING I</v>
      </c>
      <c r="C86" s="11"/>
      <c r="D86" s="2">
        <f t="shared" si="16"/>
        <v>0</v>
      </c>
      <c r="E86" s="2"/>
      <c r="F86" s="19"/>
      <c r="G86" s="2"/>
      <c r="H86" s="2">
        <f>-41.65</f>
        <v>-41.65</v>
      </c>
      <c r="I86" s="2"/>
      <c r="J86" s="19"/>
      <c r="K86" s="2"/>
      <c r="L86" s="2">
        <f t="shared" si="0"/>
        <v>41.65</v>
      </c>
      <c r="M86" s="2"/>
      <c r="N86" s="19">
        <f t="shared" si="1"/>
        <v>-1</v>
      </c>
      <c r="O86" s="11"/>
      <c r="P86" s="2">
        <f>-34.23</f>
        <v>-34.229999999999997</v>
      </c>
      <c r="Q86" s="2"/>
      <c r="R86" s="19"/>
      <c r="S86" s="2"/>
      <c r="T86" s="2">
        <f>-531.36</f>
        <v>-531.36</v>
      </c>
      <c r="U86" s="2"/>
      <c r="V86" s="19"/>
      <c r="W86" s="2"/>
      <c r="X86" s="2">
        <f t="shared" si="2"/>
        <v>497.13</v>
      </c>
      <c r="Y86" s="2"/>
      <c r="Z86" s="19">
        <f t="shared" si="3"/>
        <v>-0.93558039747064137</v>
      </c>
    </row>
    <row r="87" spans="1:26" s="24" customFormat="1" hidden="1" outlineLevel="1" x14ac:dyDescent="0.25">
      <c r="A87" s="44"/>
      <c r="B87" s="11" t="str">
        <f>CONCATENATE("          ", "4227", " - ", "SALES RETURN TAXABLE-SCHOOL SU")</f>
        <v xml:space="preserve">          4227 - SALES RETURN TAXABLE-SCHOOL SU</v>
      </c>
      <c r="C87" s="11"/>
      <c r="D87" s="2">
        <f>-25.82</f>
        <v>-25.82</v>
      </c>
      <c r="E87" s="2"/>
      <c r="F87" s="19"/>
      <c r="G87" s="2"/>
      <c r="H87" s="2">
        <f>-204.76</f>
        <v>-204.76</v>
      </c>
      <c r="I87" s="2"/>
      <c r="J87" s="19"/>
      <c r="K87" s="2"/>
      <c r="L87" s="2">
        <f t="shared" si="0"/>
        <v>178.94</v>
      </c>
      <c r="M87" s="2"/>
      <c r="N87" s="19">
        <f t="shared" si="1"/>
        <v>-0.87390115256886114</v>
      </c>
      <c r="O87" s="11"/>
      <c r="P87" s="2">
        <f>-636.46</f>
        <v>-636.46</v>
      </c>
      <c r="Q87" s="2"/>
      <c r="R87" s="19"/>
      <c r="S87" s="2"/>
      <c r="T87" s="2">
        <f>-5948.58</f>
        <v>-5948.58</v>
      </c>
      <c r="U87" s="2"/>
      <c r="V87" s="19"/>
      <c r="W87" s="2"/>
      <c r="X87" s="2">
        <f t="shared" si="2"/>
        <v>5312.12</v>
      </c>
      <c r="Y87" s="2"/>
      <c r="Z87" s="19">
        <f t="shared" si="3"/>
        <v>-0.89300639816561267</v>
      </c>
    </row>
    <row r="88" spans="1:26" s="24" customFormat="1" hidden="1" outlineLevel="1" x14ac:dyDescent="0.25">
      <c r="A88" s="44"/>
      <c r="B88" s="11" t="str">
        <f>CONCATENATE("          ", "4228", " - ", "SALES RETURN TAXABLE-ART/TECH")</f>
        <v xml:space="preserve">          4228 - SALES RETURN TAXABLE-ART/TECH</v>
      </c>
      <c r="C88" s="11"/>
      <c r="D88" s="2">
        <f t="shared" ref="D88:D89" si="20">0</f>
        <v>0</v>
      </c>
      <c r="E88" s="2"/>
      <c r="F88" s="19"/>
      <c r="G88" s="2"/>
      <c r="H88" s="2">
        <f>-277.33</f>
        <v>-277.33</v>
      </c>
      <c r="I88" s="2"/>
      <c r="J88" s="19"/>
      <c r="K88" s="2"/>
      <c r="L88" s="2">
        <f t="shared" si="0"/>
        <v>277.33</v>
      </c>
      <c r="M88" s="2"/>
      <c r="N88" s="19">
        <f t="shared" si="1"/>
        <v>-1</v>
      </c>
      <c r="O88" s="11"/>
      <c r="P88" s="2">
        <f>-254.69</f>
        <v>-254.69</v>
      </c>
      <c r="Q88" s="2"/>
      <c r="R88" s="19"/>
      <c r="S88" s="2"/>
      <c r="T88" s="2">
        <f>-3148.62</f>
        <v>-3148.62</v>
      </c>
      <c r="U88" s="2"/>
      <c r="V88" s="19"/>
      <c r="W88" s="2"/>
      <c r="X88" s="2">
        <f t="shared" si="2"/>
        <v>2893.93</v>
      </c>
      <c r="Y88" s="2"/>
      <c r="Z88" s="19">
        <f t="shared" si="3"/>
        <v>-0.91911059448266219</v>
      </c>
    </row>
    <row r="89" spans="1:26" s="24" customFormat="1" hidden="1" outlineLevel="1" x14ac:dyDescent="0.25">
      <c r="A89" s="44"/>
      <c r="B89" s="11" t="str">
        <f>CONCATENATE("          ", "4233", " - ", "SALES RETURN TAXABLE-CANDY")</f>
        <v xml:space="preserve">          4233 - SALES RETURN TAXABLE-CANDY</v>
      </c>
      <c r="C89" s="11"/>
      <c r="D89" s="2">
        <f t="shared" si="20"/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0</f>
        <v>0</v>
      </c>
      <c r="Q89" s="2"/>
      <c r="R89" s="19"/>
      <c r="S89" s="2"/>
      <c r="T89" s="2">
        <f>-1.29</f>
        <v>-1.29</v>
      </c>
      <c r="U89" s="2"/>
      <c r="V89" s="19"/>
      <c r="W89" s="2"/>
      <c r="X89" s="2">
        <f t="shared" si="2"/>
        <v>1.29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"4240", " - ", "SALES RETURN TAXABLE-LOGO CLOT")</f>
        <v xml:space="preserve">          4240 - SALES RETURN TAXABLE-LOGO CLOT</v>
      </c>
      <c r="C90" s="11"/>
      <c r="D90" s="2">
        <f>-4840.17</f>
        <v>-4840.17</v>
      </c>
      <c r="E90" s="2"/>
      <c r="F90" s="19"/>
      <c r="G90" s="2"/>
      <c r="H90" s="2">
        <f>-8212.91</f>
        <v>-8212.91</v>
      </c>
      <c r="I90" s="2"/>
      <c r="J90" s="19"/>
      <c r="K90" s="2"/>
      <c r="L90" s="2">
        <f t="shared" si="0"/>
        <v>3372.74</v>
      </c>
      <c r="M90" s="2"/>
      <c r="N90" s="19">
        <f t="shared" si="1"/>
        <v>-0.41066321194314803</v>
      </c>
      <c r="O90" s="11"/>
      <c r="P90" s="2">
        <f>-20418.84</f>
        <v>-20418.84</v>
      </c>
      <c r="Q90" s="2"/>
      <c r="R90" s="19"/>
      <c r="S90" s="2"/>
      <c r="T90" s="2">
        <f>-49321.94</f>
        <v>-49321.94</v>
      </c>
      <c r="U90" s="2"/>
      <c r="V90" s="19"/>
      <c r="W90" s="2"/>
      <c r="X90" s="2">
        <f t="shared" si="2"/>
        <v>28903.100000000002</v>
      </c>
      <c r="Y90" s="2"/>
      <c r="Z90" s="19">
        <f t="shared" si="3"/>
        <v>-0.58600898504803345</v>
      </c>
    </row>
    <row r="91" spans="1:26" s="24" customFormat="1" hidden="1" outlineLevel="1" x14ac:dyDescent="0.25">
      <c r="A91" s="44"/>
      <c r="B91" s="11" t="str">
        <f>CONCATENATE("          ", "4241", " - ", "SALES RETURN TAXABLE-LOGO GIFT")</f>
        <v xml:space="preserve">          4241 - SALES RETURN TAXABLE-LOGO GIFT</v>
      </c>
      <c r="C91" s="11"/>
      <c r="D91" s="2">
        <f>-755.16</f>
        <v>-755.16</v>
      </c>
      <c r="E91" s="2"/>
      <c r="F91" s="19"/>
      <c r="G91" s="2"/>
      <c r="H91" s="2">
        <f>-939.28</f>
        <v>-939.28</v>
      </c>
      <c r="I91" s="2"/>
      <c r="J91" s="19"/>
      <c r="K91" s="2"/>
      <c r="L91" s="2">
        <f t="shared" si="0"/>
        <v>184.12</v>
      </c>
      <c r="M91" s="2"/>
      <c r="N91" s="19">
        <f t="shared" si="1"/>
        <v>-0.19602248530789543</v>
      </c>
      <c r="O91" s="11"/>
      <c r="P91" s="2">
        <f>-3560.01</f>
        <v>-3560.01</v>
      </c>
      <c r="Q91" s="2"/>
      <c r="R91" s="19"/>
      <c r="S91" s="2"/>
      <c r="T91" s="2">
        <f>-4148.87</f>
        <v>-4148.87</v>
      </c>
      <c r="U91" s="2"/>
      <c r="V91" s="19"/>
      <c r="W91" s="2"/>
      <c r="X91" s="2">
        <f t="shared" si="2"/>
        <v>588.85999999999967</v>
      </c>
      <c r="Y91" s="2"/>
      <c r="Z91" s="19">
        <f t="shared" si="3"/>
        <v>-0.14193262261772474</v>
      </c>
    </row>
    <row r="92" spans="1:26" s="24" customFormat="1" hidden="1" outlineLevel="1" x14ac:dyDescent="0.25">
      <c r="A92" s="44"/>
      <c r="B92" s="11" t="str">
        <f>CONCATENATE("          ", "4242", " - ", "SALES RETURN TAXABLE-EVERYDAY")</f>
        <v xml:space="preserve">          4242 - SALES RETURN TAXABLE-EVERYDAY</v>
      </c>
      <c r="C92" s="11"/>
      <c r="D92" s="2">
        <f>-287.93</f>
        <v>-287.93</v>
      </c>
      <c r="E92" s="2"/>
      <c r="F92" s="19"/>
      <c r="G92" s="2"/>
      <c r="H92" s="2">
        <f>-1097.55</f>
        <v>-1097.55</v>
      </c>
      <c r="I92" s="2"/>
      <c r="J92" s="19"/>
      <c r="K92" s="2"/>
      <c r="L92" s="2">
        <f t="shared" si="0"/>
        <v>809.61999999999989</v>
      </c>
      <c r="M92" s="2"/>
      <c r="N92" s="19">
        <f t="shared" si="1"/>
        <v>-0.73766115438932156</v>
      </c>
      <c r="O92" s="11"/>
      <c r="P92" s="2">
        <f>-1616.92</f>
        <v>-1616.92</v>
      </c>
      <c r="Q92" s="2"/>
      <c r="R92" s="19"/>
      <c r="S92" s="2"/>
      <c r="T92" s="2">
        <f>-2789.42</f>
        <v>-2789.42</v>
      </c>
      <c r="U92" s="2"/>
      <c r="V92" s="19"/>
      <c r="W92" s="2"/>
      <c r="X92" s="2">
        <f t="shared" si="2"/>
        <v>1172.5</v>
      </c>
      <c r="Y92" s="2"/>
      <c r="Z92" s="19">
        <f t="shared" si="3"/>
        <v>-0.42033827820837305</v>
      </c>
    </row>
    <row r="93" spans="1:26" s="24" customFormat="1" hidden="1" outlineLevel="1" x14ac:dyDescent="0.25">
      <c r="A93" s="44"/>
      <c r="B93" s="11" t="str">
        <f>CONCATENATE("          ", "4243", " - ", "SALES RETURN TAXABLE-CARDS")</f>
        <v xml:space="preserve">          4243 - SALES RETURN TAXABLE-CARDS</v>
      </c>
      <c r="C93" s="11"/>
      <c r="D93" s="2">
        <f>-1765.08</f>
        <v>-1765.08</v>
      </c>
      <c r="E93" s="2"/>
      <c r="F93" s="19"/>
      <c r="G93" s="2"/>
      <c r="H93" s="2">
        <f>-558.63</f>
        <v>-558.63</v>
      </c>
      <c r="I93" s="2"/>
      <c r="J93" s="19"/>
      <c r="K93" s="2"/>
      <c r="L93" s="2">
        <f t="shared" si="0"/>
        <v>-1206.4499999999998</v>
      </c>
      <c r="M93" s="2"/>
      <c r="N93" s="19">
        <f t="shared" si="1"/>
        <v>2.1596584501369418</v>
      </c>
      <c r="O93" s="11"/>
      <c r="P93" s="2">
        <f>-3577.54</f>
        <v>-3577.54</v>
      </c>
      <c r="Q93" s="2"/>
      <c r="R93" s="19"/>
      <c r="S93" s="2"/>
      <c r="T93" s="2">
        <f>-879.47</f>
        <v>-879.47</v>
      </c>
      <c r="U93" s="2"/>
      <c r="V93" s="19"/>
      <c r="W93" s="2"/>
      <c r="X93" s="2">
        <f t="shared" si="2"/>
        <v>-2698.0699999999997</v>
      </c>
      <c r="Y93" s="2"/>
      <c r="Z93" s="19">
        <f t="shared" si="3"/>
        <v>3.0678363105051902</v>
      </c>
    </row>
    <row r="94" spans="1:26" s="24" customFormat="1" hidden="1" outlineLevel="1" x14ac:dyDescent="0.25">
      <c r="A94" s="44"/>
      <c r="B94" s="11" t="str">
        <f>CONCATENATE("          ", "4244", " - ", "SALES RETURN TAXABLE-ACCESSORI")</f>
        <v xml:space="preserve">          4244 - SALES RETURN TAXABLE-ACCESSORI</v>
      </c>
      <c r="C94" s="11"/>
      <c r="D94" s="2">
        <f>-299.93</f>
        <v>-299.93</v>
      </c>
      <c r="E94" s="2"/>
      <c r="F94" s="19"/>
      <c r="G94" s="2"/>
      <c r="H94" s="2">
        <f>-202.71</f>
        <v>-202.71</v>
      </c>
      <c r="I94" s="2"/>
      <c r="J94" s="19"/>
      <c r="K94" s="2"/>
      <c r="L94" s="2">
        <f t="shared" si="0"/>
        <v>-97.22</v>
      </c>
      <c r="M94" s="2"/>
      <c r="N94" s="19">
        <f t="shared" si="1"/>
        <v>0.47960140101623006</v>
      </c>
      <c r="O94" s="11"/>
      <c r="P94" s="2">
        <f>-890.87</f>
        <v>-890.87</v>
      </c>
      <c r="Q94" s="2"/>
      <c r="R94" s="19"/>
      <c r="S94" s="2"/>
      <c r="T94" s="2">
        <f>-1731.77</f>
        <v>-1731.77</v>
      </c>
      <c r="U94" s="2"/>
      <c r="V94" s="19"/>
      <c r="W94" s="2"/>
      <c r="X94" s="2">
        <f t="shared" si="2"/>
        <v>840.9</v>
      </c>
      <c r="Y94" s="2"/>
      <c r="Z94" s="19">
        <f t="shared" si="3"/>
        <v>-0.48557256448604608</v>
      </c>
    </row>
    <row r="95" spans="1:26" s="24" customFormat="1" hidden="1" outlineLevel="1" x14ac:dyDescent="0.25">
      <c r="A95" s="44"/>
      <c r="B95" s="11" t="str">
        <f>CONCATENATE("          ", "4245", " - ", "SALES RETURN TAXABLE-SPECIAL O")</f>
        <v xml:space="preserve">          4245 - SALES RETURN TAXABLE-SPECIAL O</v>
      </c>
      <c r="C95" s="11"/>
      <c r="D95" s="2">
        <f>-9752.79</f>
        <v>-9752.7900000000009</v>
      </c>
      <c r="E95" s="2"/>
      <c r="F95" s="19"/>
      <c r="G95" s="2"/>
      <c r="H95" s="2">
        <f>0</f>
        <v>0</v>
      </c>
      <c r="I95" s="2"/>
      <c r="J95" s="19"/>
      <c r="K95" s="2"/>
      <c r="L95" s="2">
        <f t="shared" si="0"/>
        <v>-9752.7900000000009</v>
      </c>
      <c r="M95" s="2"/>
      <c r="N95" s="19">
        <f t="shared" si="1"/>
        <v>0</v>
      </c>
      <c r="O95" s="11"/>
      <c r="P95" s="2">
        <f>-11345.61</f>
        <v>-11345.61</v>
      </c>
      <c r="Q95" s="2"/>
      <c r="R95" s="19"/>
      <c r="S95" s="2"/>
      <c r="T95" s="2">
        <f>-91.96</f>
        <v>-91.96</v>
      </c>
      <c r="U95" s="2"/>
      <c r="V95" s="19"/>
      <c r="W95" s="2"/>
      <c r="X95" s="2">
        <f t="shared" si="2"/>
        <v>-11253.650000000001</v>
      </c>
      <c r="Y95" s="2"/>
      <c r="Z95" s="19">
        <f t="shared" si="3"/>
        <v>122.37548934319271</v>
      </c>
    </row>
    <row r="96" spans="1:26" s="24" customFormat="1" hidden="1" outlineLevel="1" x14ac:dyDescent="0.25">
      <c r="A96" s="44"/>
      <c r="B96" s="11" t="str">
        <f>CONCATENATE("          ", "4281", " - ", "SALES RETURN TAXABLE-ELECTRONI")</f>
        <v xml:space="preserve">          4281 - SALES RETURN TAXABLE-ELECTRONI</v>
      </c>
      <c r="C96" s="11"/>
      <c r="D96" s="2">
        <f t="shared" ref="D96:D98" si="21">0</f>
        <v>0</v>
      </c>
      <c r="E96" s="2"/>
      <c r="F96" s="19"/>
      <c r="G96" s="2"/>
      <c r="H96" s="2">
        <f>-9.99</f>
        <v>-9.99</v>
      </c>
      <c r="I96" s="2"/>
      <c r="J96" s="19"/>
      <c r="K96" s="2"/>
      <c r="L96" s="2">
        <f t="shared" si="0"/>
        <v>9.99</v>
      </c>
      <c r="M96" s="2"/>
      <c r="N96" s="19">
        <f t="shared" si="1"/>
        <v>-1</v>
      </c>
      <c r="O96" s="11"/>
      <c r="P96" s="2">
        <f t="shared" ref="P96:P98" si="22">0</f>
        <v>0</v>
      </c>
      <c r="Q96" s="2"/>
      <c r="R96" s="19"/>
      <c r="S96" s="2"/>
      <c r="T96" s="2">
        <f>-54.97</f>
        <v>-54.97</v>
      </c>
      <c r="U96" s="2"/>
      <c r="V96" s="19"/>
      <c r="W96" s="2"/>
      <c r="X96" s="2">
        <f t="shared" si="2"/>
        <v>54.97</v>
      </c>
      <c r="Y96" s="2"/>
      <c r="Z96" s="19">
        <f t="shared" si="3"/>
        <v>-1</v>
      </c>
    </row>
    <row r="97" spans="1:26" s="24" customFormat="1" hidden="1" outlineLevel="1" x14ac:dyDescent="0.25">
      <c r="A97" s="44"/>
      <c r="B97" s="11" t="str">
        <f>CONCATENATE("          ", "4292", " - ", "SALES RETURN TAXABLE-GRAD MERC")</f>
        <v xml:space="preserve">          4292 - SALES RETURN TAXABLE-GRAD MERC</v>
      </c>
      <c r="C97" s="11"/>
      <c r="D97" s="2">
        <f t="shared" si="21"/>
        <v>0</v>
      </c>
      <c r="E97" s="2"/>
      <c r="F97" s="19"/>
      <c r="G97" s="2"/>
      <c r="H97" s="2">
        <f t="shared" ref="H97:H99" si="23">0</f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 t="shared" si="22"/>
        <v>0</v>
      </c>
      <c r="Q97" s="2"/>
      <c r="R97" s="19"/>
      <c r="S97" s="2"/>
      <c r="T97" s="2">
        <f>-419.05</f>
        <v>-419.05</v>
      </c>
      <c r="U97" s="2"/>
      <c r="V97" s="19"/>
      <c r="W97" s="2"/>
      <c r="X97" s="2">
        <f t="shared" si="2"/>
        <v>419.05</v>
      </c>
      <c r="Y97" s="2"/>
      <c r="Z97" s="19">
        <f t="shared" si="3"/>
        <v>-1</v>
      </c>
    </row>
    <row r="98" spans="1:26" s="24" customFormat="1" hidden="1" outlineLevel="1" x14ac:dyDescent="0.25">
      <c r="A98" s="44"/>
      <c r="B98" s="11" t="str">
        <f>CONCATENATE("          ", "4295", " - ", "SALES RETURN TAXABLE-CUSTOMER")</f>
        <v xml:space="preserve">          4295 - SALES RETURN TAXABLE-CUSTOMER</v>
      </c>
      <c r="C98" s="11"/>
      <c r="D98" s="2">
        <f t="shared" si="21"/>
        <v>0</v>
      </c>
      <c r="E98" s="2"/>
      <c r="F98" s="19"/>
      <c r="G98" s="2"/>
      <c r="H98" s="2">
        <f t="shared" si="23"/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 t="shared" si="22"/>
        <v>0</v>
      </c>
      <c r="Q98" s="2"/>
      <c r="R98" s="19"/>
      <c r="S98" s="2"/>
      <c r="T98" s="2">
        <f>--0.99</f>
        <v>0.99</v>
      </c>
      <c r="U98" s="2"/>
      <c r="V98" s="19"/>
      <c r="W98" s="2"/>
      <c r="X98" s="2">
        <f t="shared" si="2"/>
        <v>-0.99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"4301", " - ", "SALES RETURN NON TAXABLE-NEW T")</f>
        <v xml:space="preserve">          4301 - SALES RETURN NON TAXABLE-NEW T</v>
      </c>
      <c r="C99" s="11"/>
      <c r="D99" s="2">
        <f>-372.93</f>
        <v>-372.93</v>
      </c>
      <c r="E99" s="2"/>
      <c r="F99" s="19"/>
      <c r="G99" s="2"/>
      <c r="H99" s="2">
        <f t="shared" si="23"/>
        <v>0</v>
      </c>
      <c r="I99" s="2"/>
      <c r="J99" s="19"/>
      <c r="K99" s="2"/>
      <c r="L99" s="2">
        <f t="shared" si="0"/>
        <v>-372.93</v>
      </c>
      <c r="M99" s="2"/>
      <c r="N99" s="19">
        <f t="shared" si="1"/>
        <v>0</v>
      </c>
      <c r="O99" s="11"/>
      <c r="P99" s="2">
        <f>-2749.1</f>
        <v>-2749.1</v>
      </c>
      <c r="Q99" s="2"/>
      <c r="R99" s="19"/>
      <c r="S99" s="2"/>
      <c r="T99" s="2">
        <f>-12310.98</f>
        <v>-12310.98</v>
      </c>
      <c r="U99" s="2"/>
      <c r="V99" s="19"/>
      <c r="W99" s="2"/>
      <c r="X99" s="2">
        <f t="shared" si="2"/>
        <v>9561.8799999999992</v>
      </c>
      <c r="Y99" s="2"/>
      <c r="Z99" s="19">
        <f t="shared" si="3"/>
        <v>-0.77669527527459226</v>
      </c>
    </row>
    <row r="100" spans="1:26" s="24" customFormat="1" hidden="1" outlineLevel="1" x14ac:dyDescent="0.25">
      <c r="A100" s="44"/>
      <c r="B100" s="11" t="str">
        <f>CONCATENATE("          ", "4302", " - ", "SALES RETURN NON TAXABLE-TEXT")</f>
        <v xml:space="preserve">          4302 - SALES RETURN NON TAXABLE-TEXT</v>
      </c>
      <c r="C100" s="11"/>
      <c r="D100" s="2">
        <f>-77.35</f>
        <v>-77.349999999999994</v>
      </c>
      <c r="E100" s="2"/>
      <c r="F100" s="19"/>
      <c r="G100" s="2"/>
      <c r="H100" s="2">
        <f>-14.1</f>
        <v>-14.1</v>
      </c>
      <c r="I100" s="2"/>
      <c r="J100" s="19"/>
      <c r="K100" s="2"/>
      <c r="L100" s="2">
        <f t="shared" si="0"/>
        <v>-63.249999999999993</v>
      </c>
      <c r="M100" s="2"/>
      <c r="N100" s="19">
        <f t="shared" si="1"/>
        <v>4.4858156028368787</v>
      </c>
      <c r="O100" s="11"/>
      <c r="P100" s="2">
        <f>-1470.2</f>
        <v>-1470.2</v>
      </c>
      <c r="Q100" s="2"/>
      <c r="R100" s="19"/>
      <c r="S100" s="2"/>
      <c r="T100" s="2">
        <f>-697.9</f>
        <v>-697.9</v>
      </c>
      <c r="U100" s="2"/>
      <c r="V100" s="19"/>
      <c r="W100" s="2"/>
      <c r="X100" s="2">
        <f t="shared" si="2"/>
        <v>-772.30000000000007</v>
      </c>
      <c r="Y100" s="2"/>
      <c r="Z100" s="19">
        <f t="shared" si="3"/>
        <v>1.1066055308783496</v>
      </c>
    </row>
    <row r="101" spans="1:26" s="24" customFormat="1" hidden="1" outlineLevel="1" x14ac:dyDescent="0.25">
      <c r="A101" s="44"/>
      <c r="B101" s="11" t="str">
        <f>CONCATENATE("          ", "4303", " - ", "SALES RETURN NON-TAXABLE-RENTA")</f>
        <v xml:space="preserve">          4303 - SALES RETURN NON-TAXABLE-RENTA</v>
      </c>
      <c r="C101" s="11"/>
      <c r="D101" s="2">
        <f>0</f>
        <v>0</v>
      </c>
      <c r="E101" s="2"/>
      <c r="F101" s="19"/>
      <c r="G101" s="2"/>
      <c r="H101" s="2">
        <f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0</f>
        <v>0</v>
      </c>
      <c r="Q101" s="2"/>
      <c r="R101" s="19"/>
      <c r="S101" s="2"/>
      <c r="T101" s="2">
        <f>-184.99</f>
        <v>-184.99</v>
      </c>
      <c r="U101" s="2"/>
      <c r="V101" s="19"/>
      <c r="W101" s="2"/>
      <c r="X101" s="2">
        <f t="shared" si="2"/>
        <v>184.99</v>
      </c>
      <c r="Y101" s="2"/>
      <c r="Z101" s="19">
        <f t="shared" si="3"/>
        <v>-1</v>
      </c>
    </row>
    <row r="102" spans="1:26" s="24" customFormat="1" hidden="1" outlineLevel="1" x14ac:dyDescent="0.25">
      <c r="A102" s="44"/>
      <c r="B102" s="11" t="str">
        <f>CONCATENATE("          ", "4304", " - ", "SALES RETURN NON TAXABLE-DIGIT")</f>
        <v xml:space="preserve">          4304 - SALES RETURN NON TAXABLE-DIGIT</v>
      </c>
      <c r="C102" s="11"/>
      <c r="D102" s="2">
        <f>-144.23</f>
        <v>-144.22999999999999</v>
      </c>
      <c r="E102" s="2"/>
      <c r="F102" s="19"/>
      <c r="G102" s="2"/>
      <c r="H102" s="2">
        <f>-226.45</f>
        <v>-226.45</v>
      </c>
      <c r="I102" s="2"/>
      <c r="J102" s="19"/>
      <c r="K102" s="2"/>
      <c r="L102" s="2">
        <f t="shared" si="0"/>
        <v>82.22</v>
      </c>
      <c r="M102" s="2"/>
      <c r="N102" s="19">
        <f t="shared" si="1"/>
        <v>-0.36308235813645395</v>
      </c>
      <c r="O102" s="11"/>
      <c r="P102" s="2">
        <f>-14422.77</f>
        <v>-14422.77</v>
      </c>
      <c r="Q102" s="2"/>
      <c r="R102" s="19"/>
      <c r="S102" s="2"/>
      <c r="T102" s="2">
        <f>-13430.32</f>
        <v>-13430.32</v>
      </c>
      <c r="U102" s="2"/>
      <c r="V102" s="19"/>
      <c r="W102" s="2"/>
      <c r="X102" s="2">
        <f t="shared" si="2"/>
        <v>-992.45000000000073</v>
      </c>
      <c r="Y102" s="2"/>
      <c r="Z102" s="19">
        <f t="shared" si="3"/>
        <v>7.3896228831479865E-2</v>
      </c>
    </row>
    <row r="103" spans="1:26" s="24" customFormat="1" hidden="1" outlineLevel="1" x14ac:dyDescent="0.25">
      <c r="A103" s="44"/>
      <c r="B103" s="11" t="str">
        <f>CONCATENATE("          ", "4311", " - ", "SALES RETURN NON TAXABLE-NO VA")</f>
        <v xml:space="preserve">          4311 - SALES RETURN NON TAXABLE-NO VA</v>
      </c>
      <c r="C103" s="11"/>
      <c r="D103" s="2">
        <f t="shared" ref="D103:D104" si="24">0</f>
        <v>0</v>
      </c>
      <c r="E103" s="2"/>
      <c r="F103" s="19"/>
      <c r="G103" s="2"/>
      <c r="H103" s="2">
        <f t="shared" ref="H103:H104" si="25">0</f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 t="shared" ref="P103:P104" si="26">0</f>
        <v>0</v>
      </c>
      <c r="Q103" s="2"/>
      <c r="R103" s="19"/>
      <c r="S103" s="2"/>
      <c r="T103" s="2">
        <f>-387.96</f>
        <v>-387.96</v>
      </c>
      <c r="U103" s="2"/>
      <c r="V103" s="19"/>
      <c r="W103" s="2"/>
      <c r="X103" s="2">
        <f t="shared" si="2"/>
        <v>387.96</v>
      </c>
      <c r="Y103" s="2"/>
      <c r="Z103" s="19">
        <f t="shared" si="3"/>
        <v>-1</v>
      </c>
    </row>
    <row r="104" spans="1:26" s="24" customFormat="1" hidden="1" outlineLevel="1" x14ac:dyDescent="0.25">
      <c r="A104" s="44"/>
      <c r="B104" s="11" t="str">
        <f>CONCATENATE("          ", "4327", " - ", "SALES RETURN NON TAXABLE-SCHOO")</f>
        <v xml:space="preserve">          4327 - SALES RETURN NON TAXABLE-SCHOO</v>
      </c>
      <c r="C104" s="11"/>
      <c r="D104" s="2">
        <f t="shared" si="24"/>
        <v>0</v>
      </c>
      <c r="E104" s="2"/>
      <c r="F104" s="19"/>
      <c r="G104" s="2"/>
      <c r="H104" s="2">
        <f t="shared" si="25"/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 t="shared" si="26"/>
        <v>0</v>
      </c>
      <c r="Q104" s="2"/>
      <c r="R104" s="19"/>
      <c r="S104" s="2"/>
      <c r="T104" s="2">
        <f>-21.87</f>
        <v>-21.87</v>
      </c>
      <c r="U104" s="2"/>
      <c r="V104" s="19"/>
      <c r="W104" s="2"/>
      <c r="X104" s="2">
        <f t="shared" si="2"/>
        <v>21.87</v>
      </c>
      <c r="Y104" s="2"/>
      <c r="Z104" s="19">
        <f t="shared" si="3"/>
        <v>-1</v>
      </c>
    </row>
    <row r="105" spans="1:26" s="24" customFormat="1" hidden="1" outlineLevel="1" x14ac:dyDescent="0.25">
      <c r="A105" s="44"/>
      <c r="B105" s="11" t="str">
        <f>CONCATENATE("          ", "4340", " - ", "SALES RETURN NON TAXABLE-LOGO")</f>
        <v xml:space="preserve">          4340 - SALES RETURN NON TAXABLE-LOGO</v>
      </c>
      <c r="C105" s="11"/>
      <c r="D105" s="2">
        <f>-543.24</f>
        <v>-543.24</v>
      </c>
      <c r="E105" s="2"/>
      <c r="F105" s="19"/>
      <c r="G105" s="2"/>
      <c r="H105" s="2">
        <f>-391.5</f>
        <v>-391.5</v>
      </c>
      <c r="I105" s="2"/>
      <c r="J105" s="19"/>
      <c r="K105" s="2"/>
      <c r="L105" s="2">
        <f t="shared" si="0"/>
        <v>-151.74</v>
      </c>
      <c r="M105" s="2"/>
      <c r="N105" s="19">
        <f t="shared" si="1"/>
        <v>0.38758620689655177</v>
      </c>
      <c r="O105" s="11"/>
      <c r="P105" s="2">
        <f>-1483.72</f>
        <v>-1483.72</v>
      </c>
      <c r="Q105" s="2"/>
      <c r="R105" s="19"/>
      <c r="S105" s="2"/>
      <c r="T105" s="2">
        <f>-714.9</f>
        <v>-714.9</v>
      </c>
      <c r="U105" s="2"/>
      <c r="V105" s="19"/>
      <c r="W105" s="2"/>
      <c r="X105" s="2">
        <f t="shared" si="2"/>
        <v>-768.82</v>
      </c>
      <c r="Y105" s="2"/>
      <c r="Z105" s="19">
        <f t="shared" si="3"/>
        <v>1.0754231361029516</v>
      </c>
    </row>
    <row r="106" spans="1:26" s="24" customFormat="1" hidden="1" outlineLevel="1" x14ac:dyDescent="0.25">
      <c r="A106" s="44"/>
      <c r="B106" s="11" t="str">
        <f>CONCATENATE("          ", "4341", " - ", "SALES RETURN NON TAXABLE-LOGO")</f>
        <v xml:space="preserve">          4341 - SALES RETURN NON TAXABLE-LOGO</v>
      </c>
      <c r="C106" s="11"/>
      <c r="D106" s="2">
        <f>-33.85</f>
        <v>-33.85</v>
      </c>
      <c r="E106" s="2"/>
      <c r="F106" s="19"/>
      <c r="G106" s="2"/>
      <c r="H106" s="2">
        <f>-9.95</f>
        <v>-9.9499999999999993</v>
      </c>
      <c r="I106" s="2"/>
      <c r="J106" s="19"/>
      <c r="K106" s="2"/>
      <c r="L106" s="2">
        <f t="shared" si="0"/>
        <v>-23.900000000000002</v>
      </c>
      <c r="M106" s="2"/>
      <c r="N106" s="19">
        <f t="shared" si="1"/>
        <v>2.4020100502512567</v>
      </c>
      <c r="O106" s="11"/>
      <c r="P106" s="2">
        <f>-335.64</f>
        <v>-335.64</v>
      </c>
      <c r="Q106" s="2"/>
      <c r="R106" s="19"/>
      <c r="S106" s="2"/>
      <c r="T106" s="2">
        <f>-20.85</f>
        <v>-20.85</v>
      </c>
      <c r="U106" s="2"/>
      <c r="V106" s="19"/>
      <c r="W106" s="2"/>
      <c r="X106" s="2">
        <f t="shared" si="2"/>
        <v>-314.78999999999996</v>
      </c>
      <c r="Y106" s="2"/>
      <c r="Z106" s="19">
        <f t="shared" si="3"/>
        <v>15.097841726618702</v>
      </c>
    </row>
    <row r="107" spans="1:26" s="24" customFormat="1" hidden="1" outlineLevel="1" x14ac:dyDescent="0.25">
      <c r="A107" s="44"/>
      <c r="B107" s="11" t="str">
        <f>CONCATENATE("          ", "4342", " - ", "SALES RETURN NON TAXABLE-EVERY")</f>
        <v xml:space="preserve">          4342 - SALES RETURN NON TAXABLE-EVERY</v>
      </c>
      <c r="C107" s="11"/>
      <c r="D107" s="2">
        <f t="shared" ref="D107:D108" si="27">0</f>
        <v>0</v>
      </c>
      <c r="E107" s="2"/>
      <c r="F107" s="19"/>
      <c r="G107" s="2"/>
      <c r="H107" s="2">
        <f t="shared" ref="H107:H108" si="28">0</f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-118.7</f>
        <v>-118.7</v>
      </c>
      <c r="Q107" s="2"/>
      <c r="R107" s="19"/>
      <c r="S107" s="2"/>
      <c r="T107" s="2">
        <f>-109.8</f>
        <v>-109.8</v>
      </c>
      <c r="U107" s="2"/>
      <c r="V107" s="19"/>
      <c r="W107" s="2"/>
      <c r="X107" s="2">
        <f t="shared" si="2"/>
        <v>-8.9000000000000057</v>
      </c>
      <c r="Y107" s="2"/>
      <c r="Z107" s="19">
        <f t="shared" si="3"/>
        <v>8.1056466302367999E-2</v>
      </c>
    </row>
    <row r="108" spans="1:26" s="24" customFormat="1" hidden="1" outlineLevel="1" x14ac:dyDescent="0.25">
      <c r="A108" s="44"/>
      <c r="B108" s="11" t="str">
        <f>CONCATENATE("          ", "4346", " - ", "SALES RETURN NON TAXABLE-COIN-")</f>
        <v xml:space="preserve">          4346 - SALES RETURN NON TAXABLE-COIN-</v>
      </c>
      <c r="C108" s="11"/>
      <c r="D108" s="2">
        <f t="shared" si="27"/>
        <v>0</v>
      </c>
      <c r="E108" s="2"/>
      <c r="F108" s="19"/>
      <c r="G108" s="2"/>
      <c r="H108" s="2">
        <f t="shared" si="28"/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0</f>
        <v>0</v>
      </c>
      <c r="Q108" s="2"/>
      <c r="R108" s="19"/>
      <c r="S108" s="2"/>
      <c r="T108" s="2">
        <f>-8.15</f>
        <v>-8.15</v>
      </c>
      <c r="U108" s="2"/>
      <c r="V108" s="19"/>
      <c r="W108" s="2"/>
      <c r="X108" s="2">
        <f t="shared" si="2"/>
        <v>8.15</v>
      </c>
      <c r="Y108" s="2"/>
      <c r="Z108" s="19">
        <f t="shared" si="3"/>
        <v>-1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collapsed="1" x14ac:dyDescent="0.25">
      <c r="A110" s="10"/>
      <c r="B110" s="29" t="s">
        <v>8</v>
      </c>
      <c r="C110" s="10"/>
      <c r="D110" s="4">
        <f>SUM(OSRRefD16x_0)</f>
        <v>133139.77000000002</v>
      </c>
      <c r="E110" s="4"/>
      <c r="F110" s="12">
        <f t="shared" ref="F110:F162" si="29">IF(D$12=0,0,D110/D$12)</f>
        <v>0.56987021540823191</v>
      </c>
      <c r="G110" s="4"/>
      <c r="H110" s="4">
        <f>SUM(OSRRefH16x_0)</f>
        <v>289567.02000000014</v>
      </c>
      <c r="I110" s="4"/>
      <c r="J110" s="12">
        <f t="shared" ref="J110:J162" si="30">IF(H$12=0,0,H110/H$12)</f>
        <v>0.44413980659435004</v>
      </c>
      <c r="K110" s="4"/>
      <c r="L110" s="4">
        <f t="shared" ref="L110:L162" si="31">+D110-H110</f>
        <v>-156427.25000000012</v>
      </c>
      <c r="M110" s="4"/>
      <c r="N110" s="12">
        <f t="shared" ref="N110:N162" si="32">IF(H110=0,0,L110/H110)</f>
        <v>-0.54021086379243066</v>
      </c>
      <c r="O110" s="10"/>
      <c r="P110" s="4">
        <f>SUM(OSRRefP16x_0)</f>
        <v>1743756.1400000001</v>
      </c>
      <c r="Q110" s="4"/>
      <c r="R110" s="12">
        <f t="shared" ref="R110:R162" si="33">IF(P$12=0,0,P110/P$12)</f>
        <v>0.6455484268215157</v>
      </c>
      <c r="S110" s="4"/>
      <c r="T110" s="4">
        <f>SUM(OSRRefT16x_0)</f>
        <v>3994685.4999999995</v>
      </c>
      <c r="U110" s="4"/>
      <c r="V110" s="12">
        <f t="shared" ref="V110:V162" si="34">IF(T$12=0,0,T110/T$12)</f>
        <v>0.55932487983198009</v>
      </c>
      <c r="W110" s="4"/>
      <c r="X110" s="4">
        <f t="shared" ref="X110:X162" si="35">+P110-T110</f>
        <v>-2250929.3599999994</v>
      </c>
      <c r="Y110" s="4"/>
      <c r="Z110" s="12">
        <f t="shared" ref="Z110:Z162" si="36">IF(T110=0,0,X110/T110)</f>
        <v>-0.56348099493689796</v>
      </c>
    </row>
    <row r="111" spans="1:26" s="24" customFormat="1" hidden="1" outlineLevel="1" x14ac:dyDescent="0.25">
      <c r="A111" s="44"/>
      <c r="B111" s="11" t="str">
        <f>CONCATENATE("          ", "5001", " - ", "PURCHASES @ COST-NEW TEXT")</f>
        <v xml:space="preserve">          5001 - PURCHASES @ COST-NEW TEXT</v>
      </c>
      <c r="C111" s="11"/>
      <c r="D111" s="2">
        <v>37317.56</v>
      </c>
      <c r="E111" s="2"/>
      <c r="F111" s="19">
        <f t="shared" si="29"/>
        <v>0.15972812598151262</v>
      </c>
      <c r="G111" s="2"/>
      <c r="H111" s="2">
        <v>155219.06</v>
      </c>
      <c r="I111" s="2"/>
      <c r="J111" s="19">
        <f t="shared" si="30"/>
        <v>0.23807601876814832</v>
      </c>
      <c r="K111" s="2"/>
      <c r="L111" s="2">
        <f t="shared" si="31"/>
        <v>-117901.5</v>
      </c>
      <c r="M111" s="2"/>
      <c r="N111" s="19">
        <f t="shared" si="32"/>
        <v>-0.75958132976710468</v>
      </c>
      <c r="O111" s="11"/>
      <c r="P111" s="2">
        <v>1277913.04</v>
      </c>
      <c r="Q111" s="2"/>
      <c r="R111" s="19">
        <f t="shared" si="33"/>
        <v>0.47309066541076128</v>
      </c>
      <c r="S111" s="2"/>
      <c r="T111" s="2">
        <v>1737069.75</v>
      </c>
      <c r="U111" s="2"/>
      <c r="V111" s="19">
        <f t="shared" si="34"/>
        <v>0.24321973010854492</v>
      </c>
      <c r="W111" s="2"/>
      <c r="X111" s="2">
        <f t="shared" si="35"/>
        <v>-459156.70999999996</v>
      </c>
      <c r="Y111" s="2"/>
      <c r="Z111" s="19">
        <f t="shared" si="36"/>
        <v>-0.26432830921153277</v>
      </c>
    </row>
    <row r="112" spans="1:26" s="24" customFormat="1" hidden="1" outlineLevel="1" x14ac:dyDescent="0.25">
      <c r="A112" s="44"/>
      <c r="B112" s="11" t="str">
        <f>CONCATENATE("          ", "5002", " - ", "PURCHASES @ COST-USED TEXT")</f>
        <v xml:space="preserve">          5002 - PURCHASES @ COST-USED TEXT</v>
      </c>
      <c r="C112" s="11"/>
      <c r="D112" s="2">
        <v>70238.87</v>
      </c>
      <c r="E112" s="2"/>
      <c r="F112" s="19">
        <f t="shared" si="29"/>
        <v>0.30063924533541547</v>
      </c>
      <c r="G112" s="2"/>
      <c r="H112" s="2">
        <v>40274.950000000004</v>
      </c>
      <c r="I112" s="2"/>
      <c r="J112" s="19">
        <f t="shared" si="30"/>
        <v>6.1773984149151764E-2</v>
      </c>
      <c r="K112" s="2"/>
      <c r="L112" s="2">
        <f t="shared" si="31"/>
        <v>29963.919999999991</v>
      </c>
      <c r="M112" s="2"/>
      <c r="N112" s="19">
        <f t="shared" si="32"/>
        <v>0.74398403970706328</v>
      </c>
      <c r="O112" s="11"/>
      <c r="P112" s="2">
        <v>164472.92000000001</v>
      </c>
      <c r="Q112" s="2"/>
      <c r="R112" s="19">
        <f t="shared" si="33"/>
        <v>6.088880912025979E-2</v>
      </c>
      <c r="S112" s="2"/>
      <c r="T112" s="2">
        <v>252522.85</v>
      </c>
      <c r="U112" s="2"/>
      <c r="V112" s="19">
        <f t="shared" si="34"/>
        <v>3.5357555114433704E-2</v>
      </c>
      <c r="W112" s="2"/>
      <c r="X112" s="2">
        <f t="shared" si="35"/>
        <v>-88049.93</v>
      </c>
      <c r="Y112" s="2"/>
      <c r="Z112" s="19">
        <f t="shared" si="36"/>
        <v>-0.34868104015141599</v>
      </c>
    </row>
    <row r="113" spans="1:26" s="24" customFormat="1" hidden="1" outlineLevel="1" x14ac:dyDescent="0.25">
      <c r="A113" s="44"/>
      <c r="B113" s="11" t="str">
        <f>CONCATENATE("          ", "5003", " - ", "PURCHASES @ COST-RENTAL TEXT")</f>
        <v xml:space="preserve">          5003 - PURCHASES @ COST-RENTAL TEXT</v>
      </c>
      <c r="C113" s="11"/>
      <c r="D113" s="2"/>
      <c r="E113" s="2"/>
      <c r="F113" s="19">
        <f t="shared" si="29"/>
        <v>0</v>
      </c>
      <c r="G113" s="2"/>
      <c r="H113" s="2"/>
      <c r="I113" s="2"/>
      <c r="J113" s="19">
        <f t="shared" si="30"/>
        <v>0</v>
      </c>
      <c r="K113" s="2"/>
      <c r="L113" s="2">
        <f t="shared" si="31"/>
        <v>0</v>
      </c>
      <c r="M113" s="2"/>
      <c r="N113" s="19">
        <f t="shared" si="32"/>
        <v>0</v>
      </c>
      <c r="O113" s="11"/>
      <c r="P113" s="2">
        <v>32.520000000000003</v>
      </c>
      <c r="Q113" s="2"/>
      <c r="R113" s="19">
        <f t="shared" si="33"/>
        <v>1.2039088699774093E-5</v>
      </c>
      <c r="S113" s="2"/>
      <c r="T113" s="2">
        <v>-78.400000000000006</v>
      </c>
      <c r="U113" s="2"/>
      <c r="V113" s="19">
        <f t="shared" si="34"/>
        <v>-1.0977352429578561E-5</v>
      </c>
      <c r="W113" s="2"/>
      <c r="X113" s="2">
        <f t="shared" si="35"/>
        <v>110.92000000000002</v>
      </c>
      <c r="Y113" s="2"/>
      <c r="Z113" s="19">
        <f t="shared" si="36"/>
        <v>-1.4147959183673471</v>
      </c>
    </row>
    <row r="114" spans="1:26" s="24" customFormat="1" hidden="1" outlineLevel="1" x14ac:dyDescent="0.25">
      <c r="A114" s="44"/>
      <c r="B114" s="11" t="str">
        <f>CONCATENATE("          ", "5004", " - ", "PURCHASES @ COST-DIGITAL TEXT")</f>
        <v xml:space="preserve">          5004 - PURCHASES @ COST-DIGITAL TEXT</v>
      </c>
      <c r="C114" s="11"/>
      <c r="D114" s="2">
        <v>900</v>
      </c>
      <c r="E114" s="2"/>
      <c r="F114" s="19">
        <f t="shared" si="29"/>
        <v>3.852216312732166E-3</v>
      </c>
      <c r="G114" s="2"/>
      <c r="H114" s="2">
        <v>31572.300000000003</v>
      </c>
      <c r="I114" s="2"/>
      <c r="J114" s="19">
        <f t="shared" si="30"/>
        <v>4.8425802136371716E-2</v>
      </c>
      <c r="K114" s="2"/>
      <c r="L114" s="2">
        <f t="shared" si="31"/>
        <v>-30672.300000000003</v>
      </c>
      <c r="M114" s="2"/>
      <c r="N114" s="19">
        <f t="shared" si="32"/>
        <v>-0.97149399948689197</v>
      </c>
      <c r="O114" s="11"/>
      <c r="P114" s="2">
        <v>197838.11000000002</v>
      </c>
      <c r="Q114" s="2"/>
      <c r="R114" s="19">
        <f t="shared" si="33"/>
        <v>7.3240791958353743E-2</v>
      </c>
      <c r="S114" s="2"/>
      <c r="T114" s="2">
        <v>354352.27</v>
      </c>
      <c r="U114" s="2"/>
      <c r="V114" s="19">
        <f t="shared" si="34"/>
        <v>4.9615430510346663E-2</v>
      </c>
      <c r="W114" s="2"/>
      <c r="X114" s="2">
        <f t="shared" si="35"/>
        <v>-156514.16</v>
      </c>
      <c r="Y114" s="2"/>
      <c r="Z114" s="19">
        <f t="shared" si="36"/>
        <v>-0.44169086316280687</v>
      </c>
    </row>
    <row r="115" spans="1:26" s="24" customFormat="1" hidden="1" outlineLevel="1" x14ac:dyDescent="0.25">
      <c r="A115" s="44"/>
      <c r="B115" s="11" t="str">
        <f>CONCATENATE("          ", "5011", " - ", "PURCHASES @ COST-NO VALUE TEXT")</f>
        <v xml:space="preserve">          5011 - PURCHASES @ COST-NO VALUE TEXT</v>
      </c>
      <c r="C115" s="11"/>
      <c r="D115" s="2"/>
      <c r="E115" s="2"/>
      <c r="F115" s="19">
        <f t="shared" si="29"/>
        <v>0</v>
      </c>
      <c r="G115" s="2"/>
      <c r="H115" s="2">
        <v>1161</v>
      </c>
      <c r="I115" s="2"/>
      <c r="J115" s="19">
        <f t="shared" si="30"/>
        <v>1.780749463305732E-3</v>
      </c>
      <c r="K115" s="2"/>
      <c r="L115" s="2">
        <f t="shared" si="31"/>
        <v>-1161</v>
      </c>
      <c r="M115" s="2"/>
      <c r="N115" s="19">
        <f t="shared" si="32"/>
        <v>-1</v>
      </c>
      <c r="O115" s="11"/>
      <c r="P115" s="2">
        <v>67.17</v>
      </c>
      <c r="Q115" s="2"/>
      <c r="R115" s="19">
        <f t="shared" si="33"/>
        <v>2.4866715497042611E-5</v>
      </c>
      <c r="S115" s="2"/>
      <c r="T115" s="2">
        <v>4902</v>
      </c>
      <c r="U115" s="2"/>
      <c r="V115" s="19">
        <f t="shared" si="34"/>
        <v>6.8636456134941451E-4</v>
      </c>
      <c r="W115" s="2"/>
      <c r="X115" s="2">
        <f t="shared" si="35"/>
        <v>-4834.83</v>
      </c>
      <c r="Y115" s="2"/>
      <c r="Z115" s="19">
        <f t="shared" si="36"/>
        <v>-0.98629742962056299</v>
      </c>
    </row>
    <row r="116" spans="1:26" s="24" customFormat="1" hidden="1" outlineLevel="1" x14ac:dyDescent="0.25">
      <c r="A116" s="44"/>
      <c r="B116" s="11" t="str">
        <f>CONCATENATE("          ", "5013", " - ", "PURCHASES @ COST-TRADE BOOKS")</f>
        <v xml:space="preserve">          5013 - PURCHASES @ COST-TRADE BOOKS</v>
      </c>
      <c r="C116" s="11"/>
      <c r="D116" s="2">
        <v>31.11</v>
      </c>
      <c r="E116" s="2"/>
      <c r="F116" s="19">
        <f t="shared" si="29"/>
        <v>1.3315827721010855E-4</v>
      </c>
      <c r="G116" s="2"/>
      <c r="H116" s="2">
        <v>37.17</v>
      </c>
      <c r="I116" s="2"/>
      <c r="J116" s="19">
        <f t="shared" si="30"/>
        <v>5.7011591344594365E-5</v>
      </c>
      <c r="K116" s="2"/>
      <c r="L116" s="2">
        <f t="shared" si="31"/>
        <v>-6.0600000000000023</v>
      </c>
      <c r="M116" s="2"/>
      <c r="N116" s="19">
        <f t="shared" si="32"/>
        <v>-0.16303470540758683</v>
      </c>
      <c r="O116" s="11"/>
      <c r="P116" s="2">
        <v>2125.85</v>
      </c>
      <c r="Q116" s="2"/>
      <c r="R116" s="19">
        <f t="shared" si="33"/>
        <v>7.8700174392419282E-4</v>
      </c>
      <c r="S116" s="2"/>
      <c r="T116" s="2">
        <v>735.31</v>
      </c>
      <c r="U116" s="2"/>
      <c r="V116" s="19">
        <f t="shared" si="34"/>
        <v>1.0295608437491594E-4</v>
      </c>
      <c r="W116" s="2"/>
      <c r="X116" s="2">
        <f t="shared" si="35"/>
        <v>1390.54</v>
      </c>
      <c r="Y116" s="2"/>
      <c r="Z116" s="19">
        <f t="shared" si="36"/>
        <v>1.8910935523792687</v>
      </c>
    </row>
    <row r="117" spans="1:26" s="24" customFormat="1" hidden="1" outlineLevel="1" x14ac:dyDescent="0.25">
      <c r="A117" s="44"/>
      <c r="B117" s="11" t="str">
        <f>CONCATENATE("          ", "5014", " - ", "PURCHASES @ COST-REMAINDERS")</f>
        <v xml:space="preserve">          5014 - PURCHASES @ COST-REMAINDERS</v>
      </c>
      <c r="C117" s="11"/>
      <c r="D117" s="2"/>
      <c r="E117" s="2"/>
      <c r="F117" s="19">
        <f t="shared" si="29"/>
        <v>0</v>
      </c>
      <c r="G117" s="2"/>
      <c r="H117" s="2">
        <v>56.98</v>
      </c>
      <c r="I117" s="2"/>
      <c r="J117" s="19">
        <f t="shared" si="30"/>
        <v>8.739630010263617E-5</v>
      </c>
      <c r="K117" s="2"/>
      <c r="L117" s="2">
        <f t="shared" si="31"/>
        <v>-56.98</v>
      </c>
      <c r="M117" s="2"/>
      <c r="N117" s="19">
        <f t="shared" si="32"/>
        <v>-1</v>
      </c>
      <c r="O117" s="11"/>
      <c r="P117" s="2">
        <v>90.41</v>
      </c>
      <c r="Q117" s="2"/>
      <c r="R117" s="19">
        <f t="shared" si="33"/>
        <v>3.3470295490362101E-5</v>
      </c>
      <c r="S117" s="2"/>
      <c r="T117" s="2">
        <v>513.79</v>
      </c>
      <c r="U117" s="2"/>
      <c r="V117" s="19">
        <f t="shared" si="34"/>
        <v>7.1939463071341435E-5</v>
      </c>
      <c r="W117" s="2"/>
      <c r="X117" s="2">
        <f t="shared" si="35"/>
        <v>-423.38</v>
      </c>
      <c r="Y117" s="2"/>
      <c r="Z117" s="19">
        <f t="shared" si="36"/>
        <v>-0.82403316530099846</v>
      </c>
    </row>
    <row r="118" spans="1:26" s="24" customFormat="1" hidden="1" outlineLevel="1" x14ac:dyDescent="0.25">
      <c r="A118" s="44"/>
      <c r="B118" s="11" t="str">
        <f>CONCATENATE("          ", "5017", " - ", "PURCHASES @ COST-DORM/HOUSEWAR")</f>
        <v xml:space="preserve">          5017 - PURCHASES @ COST-DORM/HOUSEWAR</v>
      </c>
      <c r="C118" s="11"/>
      <c r="D118" s="2"/>
      <c r="E118" s="2"/>
      <c r="F118" s="19">
        <f t="shared" si="29"/>
        <v>0</v>
      </c>
      <c r="G118" s="2"/>
      <c r="H118" s="2"/>
      <c r="I118" s="2"/>
      <c r="J118" s="19">
        <f t="shared" si="30"/>
        <v>0</v>
      </c>
      <c r="K118" s="2"/>
      <c r="L118" s="2">
        <f t="shared" si="31"/>
        <v>0</v>
      </c>
      <c r="M118" s="2"/>
      <c r="N118" s="19">
        <f t="shared" si="32"/>
        <v>0</v>
      </c>
      <c r="O118" s="11"/>
      <c r="P118" s="2"/>
      <c r="Q118" s="2"/>
      <c r="R118" s="19">
        <f t="shared" si="33"/>
        <v>0</v>
      </c>
      <c r="S118" s="2"/>
      <c r="T118" s="2">
        <v>0</v>
      </c>
      <c r="U118" s="2"/>
      <c r="V118" s="19">
        <f t="shared" si="34"/>
        <v>0</v>
      </c>
      <c r="W118" s="2"/>
      <c r="X118" s="2">
        <f t="shared" si="35"/>
        <v>0</v>
      </c>
      <c r="Y118" s="2"/>
      <c r="Z118" s="19">
        <f t="shared" si="36"/>
        <v>0</v>
      </c>
    </row>
    <row r="119" spans="1:26" s="24" customFormat="1" hidden="1" outlineLevel="1" x14ac:dyDescent="0.25">
      <c r="A119" s="44"/>
      <c r="B119" s="11" t="str">
        <f>CONCATENATE("          ", "5018", " - ", "PURCHASES @ COST-STUDY GUIDES")</f>
        <v xml:space="preserve">          5018 - PURCHASES @ COST-STUDY GUIDES</v>
      </c>
      <c r="C119" s="11"/>
      <c r="D119" s="2"/>
      <c r="E119" s="2"/>
      <c r="F119" s="19">
        <f t="shared" si="29"/>
        <v>0</v>
      </c>
      <c r="G119" s="2"/>
      <c r="H119" s="2">
        <v>196.31</v>
      </c>
      <c r="I119" s="2"/>
      <c r="J119" s="19">
        <f t="shared" si="30"/>
        <v>3.0110157376533008E-4</v>
      </c>
      <c r="K119" s="2"/>
      <c r="L119" s="2">
        <f t="shared" si="31"/>
        <v>-196.31</v>
      </c>
      <c r="M119" s="2"/>
      <c r="N119" s="19">
        <f t="shared" si="32"/>
        <v>-1</v>
      </c>
      <c r="O119" s="11"/>
      <c r="P119" s="2">
        <v>106.34</v>
      </c>
      <c r="Q119" s="2"/>
      <c r="R119" s="19">
        <f t="shared" si="33"/>
        <v>3.9367671965989448E-5</v>
      </c>
      <c r="S119" s="2"/>
      <c r="T119" s="2">
        <v>998.4</v>
      </c>
      <c r="U119" s="2"/>
      <c r="V119" s="19">
        <f t="shared" si="34"/>
        <v>1.3979322277667391E-4</v>
      </c>
      <c r="W119" s="2"/>
      <c r="X119" s="2">
        <f t="shared" si="35"/>
        <v>-892.06</v>
      </c>
      <c r="Y119" s="2"/>
      <c r="Z119" s="19">
        <f t="shared" si="36"/>
        <v>-0.89348958333333328</v>
      </c>
    </row>
    <row r="120" spans="1:26" s="24" customFormat="1" hidden="1" outlineLevel="1" x14ac:dyDescent="0.25">
      <c r="A120" s="44"/>
      <c r="B120" s="11" t="str">
        <f>CONCATENATE("          ", "5025", " - ", "PURCHASES @ COST-TEST FORMS")</f>
        <v xml:space="preserve">          5025 - PURCHASES @ COST-TEST FORMS</v>
      </c>
      <c r="C120" s="11"/>
      <c r="D120" s="2"/>
      <c r="E120" s="2"/>
      <c r="F120" s="19">
        <f t="shared" si="29"/>
        <v>0</v>
      </c>
      <c r="G120" s="2"/>
      <c r="H120" s="2">
        <v>0</v>
      </c>
      <c r="I120" s="2"/>
      <c r="J120" s="19">
        <f t="shared" si="30"/>
        <v>0</v>
      </c>
      <c r="K120" s="2"/>
      <c r="L120" s="2">
        <f t="shared" si="31"/>
        <v>0</v>
      </c>
      <c r="M120" s="2"/>
      <c r="N120" s="19">
        <f t="shared" si="32"/>
        <v>0</v>
      </c>
      <c r="O120" s="11"/>
      <c r="P120" s="2">
        <v>599.29</v>
      </c>
      <c r="Q120" s="2"/>
      <c r="R120" s="19">
        <f t="shared" si="33"/>
        <v>2.2186056171241128E-4</v>
      </c>
      <c r="S120" s="2"/>
      <c r="T120" s="2">
        <v>22098.390000000003</v>
      </c>
      <c r="U120" s="2"/>
      <c r="V120" s="19">
        <f t="shared" si="34"/>
        <v>3.0941558055647268E-3</v>
      </c>
      <c r="W120" s="2"/>
      <c r="X120" s="2">
        <f t="shared" si="35"/>
        <v>-21499.100000000002</v>
      </c>
      <c r="Y120" s="2"/>
      <c r="Z120" s="19">
        <f t="shared" si="36"/>
        <v>-0.97288082977990697</v>
      </c>
    </row>
    <row r="121" spans="1:26" s="24" customFormat="1" hidden="1" outlineLevel="1" x14ac:dyDescent="0.25">
      <c r="A121" s="44"/>
      <c r="B121" s="11" t="str">
        <f>CONCATENATE("          ", "5026", " - ", "PURCHASES @ COST-WRITING INSTR")</f>
        <v xml:space="preserve">          5026 - PURCHASES @ COST-WRITING INSTR</v>
      </c>
      <c r="C121" s="11"/>
      <c r="D121" s="2">
        <v>-5.1100000000000003</v>
      </c>
      <c r="E121" s="2"/>
      <c r="F121" s="19">
        <f t="shared" si="29"/>
        <v>-2.1872028175623747E-5</v>
      </c>
      <c r="G121" s="2"/>
      <c r="H121" s="2">
        <v>4344.2</v>
      </c>
      <c r="I121" s="2"/>
      <c r="J121" s="19">
        <f t="shared" si="30"/>
        <v>6.6631626343606892E-3</v>
      </c>
      <c r="K121" s="2"/>
      <c r="L121" s="2">
        <f t="shared" si="31"/>
        <v>-4349.3099999999995</v>
      </c>
      <c r="M121" s="2"/>
      <c r="N121" s="19">
        <f t="shared" si="32"/>
        <v>-1.0011762810183693</v>
      </c>
      <c r="O121" s="11"/>
      <c r="P121" s="2">
        <v>374.91</v>
      </c>
      <c r="Q121" s="2"/>
      <c r="R121" s="19">
        <f t="shared" si="33"/>
        <v>1.3879381132940666E-4</v>
      </c>
      <c r="S121" s="2"/>
      <c r="T121" s="2">
        <v>34294.769999999997</v>
      </c>
      <c r="U121" s="2"/>
      <c r="V121" s="19">
        <f t="shared" si="34"/>
        <v>4.8018593977211463E-3</v>
      </c>
      <c r="W121" s="2"/>
      <c r="X121" s="2">
        <f t="shared" si="35"/>
        <v>-33919.859999999993</v>
      </c>
      <c r="Y121" s="2"/>
      <c r="Z121" s="19">
        <f t="shared" si="36"/>
        <v>-0.98906801241122178</v>
      </c>
    </row>
    <row r="122" spans="1:26" s="24" customFormat="1" hidden="1" outlineLevel="1" x14ac:dyDescent="0.25">
      <c r="A122" s="44"/>
      <c r="B122" s="11" t="str">
        <f>CONCATENATE("          ", "5027", " - ", "PURCHASES @ COST-SCHOOL SUPPLI")</f>
        <v xml:space="preserve">          5027 - PURCHASES @ COST-SCHOOL SUPPLI</v>
      </c>
      <c r="C122" s="11"/>
      <c r="D122" s="2"/>
      <c r="E122" s="2"/>
      <c r="F122" s="19">
        <f t="shared" si="29"/>
        <v>0</v>
      </c>
      <c r="G122" s="2"/>
      <c r="H122" s="2">
        <v>2493.64</v>
      </c>
      <c r="I122" s="2"/>
      <c r="J122" s="19">
        <f t="shared" si="30"/>
        <v>3.8247614915397979E-3</v>
      </c>
      <c r="K122" s="2"/>
      <c r="L122" s="2">
        <f t="shared" si="31"/>
        <v>-2493.64</v>
      </c>
      <c r="M122" s="2"/>
      <c r="N122" s="19">
        <f t="shared" si="32"/>
        <v>-1</v>
      </c>
      <c r="O122" s="11"/>
      <c r="P122" s="2">
        <v>19071.350000000002</v>
      </c>
      <c r="Q122" s="2"/>
      <c r="R122" s="19">
        <f t="shared" si="33"/>
        <v>7.0603220871597984E-3</v>
      </c>
      <c r="S122" s="2"/>
      <c r="T122" s="2">
        <v>78000</v>
      </c>
      <c r="U122" s="2"/>
      <c r="V122" s="19">
        <f t="shared" si="34"/>
        <v>1.0921345529427648E-2</v>
      </c>
      <c r="W122" s="2"/>
      <c r="X122" s="2">
        <f t="shared" si="35"/>
        <v>-58928.649999999994</v>
      </c>
      <c r="Y122" s="2"/>
      <c r="Z122" s="19">
        <f t="shared" si="36"/>
        <v>-0.75549551282051275</v>
      </c>
    </row>
    <row r="123" spans="1:26" s="24" customFormat="1" hidden="1" outlineLevel="1" x14ac:dyDescent="0.25">
      <c r="A123" s="44"/>
      <c r="B123" s="11" t="str">
        <f>CONCATENATE("          ", "5028", " - ", "PURCHASES @ COST-ART/TECH")</f>
        <v xml:space="preserve">          5028 - PURCHASES @ COST-ART/TECH</v>
      </c>
      <c r="C123" s="11"/>
      <c r="D123" s="2"/>
      <c r="E123" s="2"/>
      <c r="F123" s="19">
        <f t="shared" si="29"/>
        <v>0</v>
      </c>
      <c r="G123" s="2"/>
      <c r="H123" s="2">
        <v>7730.31</v>
      </c>
      <c r="I123" s="2"/>
      <c r="J123" s="19">
        <f t="shared" si="30"/>
        <v>1.185680050274499E-2</v>
      </c>
      <c r="K123" s="2"/>
      <c r="L123" s="2">
        <f t="shared" si="31"/>
        <v>-7730.31</v>
      </c>
      <c r="M123" s="2"/>
      <c r="N123" s="19">
        <f t="shared" si="32"/>
        <v>-1</v>
      </c>
      <c r="O123" s="11"/>
      <c r="P123" s="2">
        <v>41358.449999999997</v>
      </c>
      <c r="Q123" s="2"/>
      <c r="R123" s="19">
        <f t="shared" si="33"/>
        <v>1.5311133088412416E-2</v>
      </c>
      <c r="S123" s="2"/>
      <c r="T123" s="2">
        <v>103000.81999999999</v>
      </c>
      <c r="U123" s="2"/>
      <c r="V123" s="19">
        <f t="shared" si="34"/>
        <v>1.4421891603004897E-2</v>
      </c>
      <c r="W123" s="2"/>
      <c r="X123" s="2">
        <f t="shared" si="35"/>
        <v>-61642.369999999995</v>
      </c>
      <c r="Y123" s="2"/>
      <c r="Z123" s="19">
        <f t="shared" si="36"/>
        <v>-0.59846484717306137</v>
      </c>
    </row>
    <row r="124" spans="1:26" s="24" customFormat="1" hidden="1" outlineLevel="1" x14ac:dyDescent="0.25">
      <c r="A124" s="44"/>
      <c r="B124" s="11" t="str">
        <f>CONCATENATE("          ", "5031", " - ", "PURCHASES @ COST-FOOD")</f>
        <v xml:space="preserve">          5031 - PURCHASES @ COST-FOOD</v>
      </c>
      <c r="C124" s="11"/>
      <c r="D124" s="2">
        <v>-1260</v>
      </c>
      <c r="E124" s="2"/>
      <c r="F124" s="19">
        <f t="shared" si="29"/>
        <v>-5.3931028378250328E-3</v>
      </c>
      <c r="G124" s="2"/>
      <c r="H124" s="2">
        <v>1695.24</v>
      </c>
      <c r="I124" s="2"/>
      <c r="J124" s="19">
        <f t="shared" si="30"/>
        <v>2.6001703016144779E-3</v>
      </c>
      <c r="K124" s="2"/>
      <c r="L124" s="2">
        <f t="shared" si="31"/>
        <v>-2955.24</v>
      </c>
      <c r="M124" s="2"/>
      <c r="N124" s="19">
        <f t="shared" si="32"/>
        <v>-1.7432575918454023</v>
      </c>
      <c r="O124" s="11"/>
      <c r="P124" s="2">
        <v>7275.1</v>
      </c>
      <c r="Q124" s="2"/>
      <c r="R124" s="19">
        <f t="shared" si="33"/>
        <v>2.6932833394749845E-3</v>
      </c>
      <c r="S124" s="2"/>
      <c r="T124" s="2">
        <v>22509.73</v>
      </c>
      <c r="U124" s="2"/>
      <c r="V124" s="19">
        <f t="shared" si="34"/>
        <v>3.1517505013349159E-3</v>
      </c>
      <c r="W124" s="2"/>
      <c r="X124" s="2">
        <f t="shared" si="35"/>
        <v>-15234.63</v>
      </c>
      <c r="Y124" s="2"/>
      <c r="Z124" s="19">
        <f t="shared" si="36"/>
        <v>-0.67680198740722342</v>
      </c>
    </row>
    <row r="125" spans="1:26" s="24" customFormat="1" hidden="1" outlineLevel="1" x14ac:dyDescent="0.25">
      <c r="A125" s="44"/>
      <c r="B125" s="11" t="str">
        <f>CONCATENATE("          ", "5032", " - ", "PURCHASES @ COST-JUICE")</f>
        <v xml:space="preserve">          5032 - PURCHASES @ COST-JUICE</v>
      </c>
      <c r="C125" s="11"/>
      <c r="D125" s="2"/>
      <c r="E125" s="2"/>
      <c r="F125" s="19">
        <f t="shared" si="29"/>
        <v>0</v>
      </c>
      <c r="G125" s="2"/>
      <c r="H125" s="2">
        <v>358.99</v>
      </c>
      <c r="I125" s="2"/>
      <c r="J125" s="19">
        <f t="shared" si="30"/>
        <v>5.5062123155221767E-4</v>
      </c>
      <c r="K125" s="2"/>
      <c r="L125" s="2">
        <f t="shared" si="31"/>
        <v>-358.99</v>
      </c>
      <c r="M125" s="2"/>
      <c r="N125" s="19">
        <f t="shared" si="32"/>
        <v>-1</v>
      </c>
      <c r="O125" s="11"/>
      <c r="P125" s="2"/>
      <c r="Q125" s="2"/>
      <c r="R125" s="19">
        <f t="shared" si="33"/>
        <v>0</v>
      </c>
      <c r="S125" s="2"/>
      <c r="T125" s="2">
        <v>5021.4799999999996</v>
      </c>
      <c r="U125" s="2"/>
      <c r="V125" s="19">
        <f t="shared" si="34"/>
        <v>7.0309382242449159E-4</v>
      </c>
      <c r="W125" s="2"/>
      <c r="X125" s="2">
        <f t="shared" si="35"/>
        <v>-5021.4799999999996</v>
      </c>
      <c r="Y125" s="2"/>
      <c r="Z125" s="19">
        <f t="shared" si="36"/>
        <v>-1</v>
      </c>
    </row>
    <row r="126" spans="1:26" s="24" customFormat="1" hidden="1" outlineLevel="1" x14ac:dyDescent="0.25">
      <c r="A126" s="44"/>
      <c r="B126" s="11" t="str">
        <f>CONCATENATE("          ", "5033", " - ", "PURCHASES @ COST-CANDY")</f>
        <v xml:space="preserve">          5033 - PURCHASES @ COST-CANDY</v>
      </c>
      <c r="C126" s="11"/>
      <c r="D126" s="2"/>
      <c r="E126" s="2"/>
      <c r="F126" s="19">
        <f t="shared" si="29"/>
        <v>0</v>
      </c>
      <c r="G126" s="2"/>
      <c r="H126" s="2">
        <v>260.19</v>
      </c>
      <c r="I126" s="2"/>
      <c r="J126" s="19">
        <f t="shared" si="30"/>
        <v>3.9908113941216055E-4</v>
      </c>
      <c r="K126" s="2"/>
      <c r="L126" s="2">
        <f t="shared" si="31"/>
        <v>-260.19</v>
      </c>
      <c r="M126" s="2"/>
      <c r="N126" s="19">
        <f t="shared" si="32"/>
        <v>-1</v>
      </c>
      <c r="O126" s="11"/>
      <c r="P126" s="2"/>
      <c r="Q126" s="2"/>
      <c r="R126" s="19">
        <f t="shared" si="33"/>
        <v>0</v>
      </c>
      <c r="S126" s="2"/>
      <c r="T126" s="2">
        <v>6197.93</v>
      </c>
      <c r="U126" s="2"/>
      <c r="V126" s="19">
        <f t="shared" si="34"/>
        <v>8.6781711663083986E-4</v>
      </c>
      <c r="W126" s="2"/>
      <c r="X126" s="2">
        <f t="shared" si="35"/>
        <v>-6197.93</v>
      </c>
      <c r="Y126" s="2"/>
      <c r="Z126" s="19">
        <f t="shared" si="36"/>
        <v>-1</v>
      </c>
    </row>
    <row r="127" spans="1:26" s="24" customFormat="1" hidden="1" outlineLevel="1" x14ac:dyDescent="0.25">
      <c r="A127" s="44"/>
      <c r="B127" s="11" t="str">
        <f>CONCATENATE("          ", "5034", " - ", "PURCHASES @ COST-SODA")</f>
        <v xml:space="preserve">          5034 - PURCHASES @ COST-SODA</v>
      </c>
      <c r="C127" s="11"/>
      <c r="D127" s="2"/>
      <c r="E127" s="2"/>
      <c r="F127" s="19">
        <f t="shared" si="29"/>
        <v>0</v>
      </c>
      <c r="G127" s="2"/>
      <c r="H127" s="2">
        <v>42.24</v>
      </c>
      <c r="I127" s="2"/>
      <c r="J127" s="19">
        <f t="shared" si="30"/>
        <v>6.4787990809676249E-5</v>
      </c>
      <c r="K127" s="2"/>
      <c r="L127" s="2">
        <f t="shared" si="31"/>
        <v>-42.24</v>
      </c>
      <c r="M127" s="2"/>
      <c r="N127" s="19">
        <f t="shared" si="32"/>
        <v>-1</v>
      </c>
      <c r="O127" s="11"/>
      <c r="P127" s="2"/>
      <c r="Q127" s="2"/>
      <c r="R127" s="19">
        <f t="shared" si="33"/>
        <v>0</v>
      </c>
      <c r="S127" s="2"/>
      <c r="T127" s="2">
        <v>2124.16</v>
      </c>
      <c r="U127" s="2"/>
      <c r="V127" s="19">
        <f t="shared" si="34"/>
        <v>2.9741904256139787E-4</v>
      </c>
      <c r="W127" s="2"/>
      <c r="X127" s="2">
        <f t="shared" si="35"/>
        <v>-2124.16</v>
      </c>
      <c r="Y127" s="2"/>
      <c r="Z127" s="19">
        <f t="shared" si="36"/>
        <v>-1</v>
      </c>
    </row>
    <row r="128" spans="1:26" s="24" customFormat="1" hidden="1" outlineLevel="1" x14ac:dyDescent="0.25">
      <c r="A128" s="44"/>
      <c r="B128" s="11" t="str">
        <f>CONCATENATE("          ", "5035", " - ", "PURCHASES @ COST-HEALTH &amp; BEAU")</f>
        <v xml:space="preserve">          5035 - PURCHASES @ COST-HEALTH &amp; BEAU</v>
      </c>
      <c r="C128" s="11"/>
      <c r="D128" s="2"/>
      <c r="E128" s="2"/>
      <c r="F128" s="19">
        <f t="shared" si="29"/>
        <v>0</v>
      </c>
      <c r="G128" s="2"/>
      <c r="H128" s="2">
        <v>23.17</v>
      </c>
      <c r="I128" s="2"/>
      <c r="J128" s="19">
        <f t="shared" si="30"/>
        <v>3.5538298936084244E-5</v>
      </c>
      <c r="K128" s="2"/>
      <c r="L128" s="2">
        <f t="shared" si="31"/>
        <v>-23.17</v>
      </c>
      <c r="M128" s="2"/>
      <c r="N128" s="19">
        <f t="shared" si="32"/>
        <v>-1</v>
      </c>
      <c r="O128" s="11"/>
      <c r="P128" s="2"/>
      <c r="Q128" s="2"/>
      <c r="R128" s="19">
        <f t="shared" si="33"/>
        <v>0</v>
      </c>
      <c r="S128" s="2"/>
      <c r="T128" s="2">
        <v>824.38</v>
      </c>
      <c r="U128" s="2"/>
      <c r="V128" s="19">
        <f t="shared" si="34"/>
        <v>1.1542742086602007E-4</v>
      </c>
      <c r="W128" s="2"/>
      <c r="X128" s="2">
        <f t="shared" si="35"/>
        <v>-824.38</v>
      </c>
      <c r="Y128" s="2"/>
      <c r="Z128" s="19">
        <f t="shared" si="36"/>
        <v>-1</v>
      </c>
    </row>
    <row r="129" spans="1:26" s="24" customFormat="1" hidden="1" outlineLevel="1" x14ac:dyDescent="0.25">
      <c r="A129" s="44"/>
      <c r="B129" s="11" t="str">
        <f>CONCATENATE("          ", "5037", " - ", "PURCHASES @ COST-WATER")</f>
        <v xml:space="preserve">          5037 - PURCHASES @ COST-WATER</v>
      </c>
      <c r="C129" s="11"/>
      <c r="D129" s="2"/>
      <c r="E129" s="2"/>
      <c r="F129" s="19">
        <f t="shared" si="29"/>
        <v>0</v>
      </c>
      <c r="G129" s="2"/>
      <c r="H129" s="2">
        <v>235.9</v>
      </c>
      <c r="I129" s="2"/>
      <c r="J129" s="19">
        <f t="shared" si="30"/>
        <v>3.6182497708339549E-4</v>
      </c>
      <c r="K129" s="2"/>
      <c r="L129" s="2">
        <f t="shared" si="31"/>
        <v>-235.9</v>
      </c>
      <c r="M129" s="2"/>
      <c r="N129" s="19">
        <f t="shared" si="32"/>
        <v>-1</v>
      </c>
      <c r="O129" s="11"/>
      <c r="P129" s="2"/>
      <c r="Q129" s="2"/>
      <c r="R129" s="19">
        <f t="shared" si="33"/>
        <v>0</v>
      </c>
      <c r="S129" s="2"/>
      <c r="T129" s="2">
        <v>3759.27</v>
      </c>
      <c r="U129" s="2"/>
      <c r="V129" s="19">
        <f t="shared" si="34"/>
        <v>5.2636264882578818E-4</v>
      </c>
      <c r="W129" s="2"/>
      <c r="X129" s="2">
        <f t="shared" si="35"/>
        <v>-3759.27</v>
      </c>
      <c r="Y129" s="2"/>
      <c r="Z129" s="19">
        <f t="shared" si="36"/>
        <v>-1</v>
      </c>
    </row>
    <row r="130" spans="1:26" s="24" customFormat="1" hidden="1" outlineLevel="1" x14ac:dyDescent="0.25">
      <c r="A130" s="44"/>
      <c r="B130" s="11" t="str">
        <f>CONCATENATE("          ", "5040", " - ", "PURCHASES @ COST-LOGO CLOTHING")</f>
        <v xml:space="preserve">          5040 - PURCHASES @ COST-LOGO CLOTHING</v>
      </c>
      <c r="C130" s="11"/>
      <c r="D130" s="2">
        <v>38175.120000000003</v>
      </c>
      <c r="E130" s="2"/>
      <c r="F130" s="19">
        <f t="shared" si="29"/>
        <v>0.16339868889389775</v>
      </c>
      <c r="G130" s="2"/>
      <c r="H130" s="2">
        <v>97946.53</v>
      </c>
      <c r="I130" s="2"/>
      <c r="J130" s="19">
        <f t="shared" si="30"/>
        <v>0.15023103422063633</v>
      </c>
      <c r="K130" s="2"/>
      <c r="L130" s="2">
        <f t="shared" si="31"/>
        <v>-59771.409999999996</v>
      </c>
      <c r="M130" s="2"/>
      <c r="N130" s="19">
        <f t="shared" si="32"/>
        <v>-0.61024530424916534</v>
      </c>
      <c r="O130" s="11"/>
      <c r="P130" s="2">
        <v>132470.39999999999</v>
      </c>
      <c r="Q130" s="2"/>
      <c r="R130" s="19">
        <f t="shared" si="33"/>
        <v>4.9041294455552081E-2</v>
      </c>
      <c r="S130" s="2"/>
      <c r="T130" s="2">
        <v>716238.84000000008</v>
      </c>
      <c r="U130" s="2"/>
      <c r="V130" s="19">
        <f t="shared" si="34"/>
        <v>0.10028579299021084</v>
      </c>
      <c r="W130" s="2"/>
      <c r="X130" s="2">
        <f t="shared" si="35"/>
        <v>-583768.44000000006</v>
      </c>
      <c r="Y130" s="2"/>
      <c r="Z130" s="19">
        <f t="shared" si="36"/>
        <v>-0.81504717057790388</v>
      </c>
    </row>
    <row r="131" spans="1:26" s="24" customFormat="1" hidden="1" outlineLevel="1" x14ac:dyDescent="0.25">
      <c r="A131" s="44"/>
      <c r="B131" s="11" t="str">
        <f>CONCATENATE("          ", "5041", " - ", "PURCHASES @ COST-LOGO GIFTS")</f>
        <v xml:space="preserve">          5041 - PURCHASES @ COST-LOGO GIFTS</v>
      </c>
      <c r="C131" s="11"/>
      <c r="D131" s="2">
        <v>5559.99</v>
      </c>
      <c r="E131" s="2"/>
      <c r="F131" s="19">
        <f t="shared" si="29"/>
        <v>2.379809352958635E-2</v>
      </c>
      <c r="G131" s="2"/>
      <c r="H131" s="2">
        <v>20607.12</v>
      </c>
      <c r="I131" s="2"/>
      <c r="J131" s="19">
        <f t="shared" si="30"/>
        <v>3.1607336675518356E-2</v>
      </c>
      <c r="K131" s="2"/>
      <c r="L131" s="2">
        <f t="shared" si="31"/>
        <v>-15047.13</v>
      </c>
      <c r="M131" s="2"/>
      <c r="N131" s="19">
        <f t="shared" si="32"/>
        <v>-0.73019082724805795</v>
      </c>
      <c r="O131" s="11"/>
      <c r="P131" s="2">
        <v>32201.759999999998</v>
      </c>
      <c r="Q131" s="2"/>
      <c r="R131" s="19">
        <f t="shared" si="33"/>
        <v>1.1921274444306192E-2</v>
      </c>
      <c r="S131" s="2"/>
      <c r="T131" s="2">
        <v>109403.67</v>
      </c>
      <c r="U131" s="2"/>
      <c r="V131" s="19">
        <f t="shared" si="34"/>
        <v>1.5318401054583049E-2</v>
      </c>
      <c r="W131" s="2"/>
      <c r="X131" s="2">
        <f t="shared" si="35"/>
        <v>-77201.91</v>
      </c>
      <c r="Y131" s="2"/>
      <c r="Z131" s="19">
        <f t="shared" si="36"/>
        <v>-0.70566106237569548</v>
      </c>
    </row>
    <row r="132" spans="1:26" s="24" customFormat="1" hidden="1" outlineLevel="1" x14ac:dyDescent="0.25">
      <c r="A132" s="44"/>
      <c r="B132" s="11" t="str">
        <f>CONCATENATE("          ", "5042", " - ", "PURCHASES @ COST-EVERYDAY GIFT")</f>
        <v xml:space="preserve">          5042 - PURCHASES @ COST-EVERYDAY GIFT</v>
      </c>
      <c r="C132" s="11"/>
      <c r="D132" s="2">
        <v>148.6</v>
      </c>
      <c r="E132" s="2"/>
      <c r="F132" s="19">
        <f t="shared" si="29"/>
        <v>6.3604371563555546E-4</v>
      </c>
      <c r="G132" s="2"/>
      <c r="H132" s="2">
        <v>7822.79</v>
      </c>
      <c r="I132" s="2"/>
      <c r="J132" s="19">
        <f t="shared" si="30"/>
        <v>1.1998646937169205E-2</v>
      </c>
      <c r="K132" s="2"/>
      <c r="L132" s="2">
        <f t="shared" si="31"/>
        <v>-7674.19</v>
      </c>
      <c r="M132" s="2"/>
      <c r="N132" s="19">
        <f t="shared" si="32"/>
        <v>-0.9810042197221196</v>
      </c>
      <c r="O132" s="11"/>
      <c r="P132" s="2">
        <v>11061.28</v>
      </c>
      <c r="Q132" s="2"/>
      <c r="R132" s="19">
        <f t="shared" si="33"/>
        <v>4.0949486793676864E-3</v>
      </c>
      <c r="S132" s="2"/>
      <c r="T132" s="2">
        <v>88388.11</v>
      </c>
      <c r="U132" s="2"/>
      <c r="V132" s="19">
        <f t="shared" si="34"/>
        <v>1.237586012824435E-2</v>
      </c>
      <c r="W132" s="2"/>
      <c r="X132" s="2">
        <f t="shared" si="35"/>
        <v>-77326.83</v>
      </c>
      <c r="Y132" s="2"/>
      <c r="Z132" s="19">
        <f t="shared" si="36"/>
        <v>-0.87485556598053749</v>
      </c>
    </row>
    <row r="133" spans="1:26" s="24" customFormat="1" hidden="1" outlineLevel="1" x14ac:dyDescent="0.25">
      <c r="A133" s="44"/>
      <c r="B133" s="11" t="str">
        <f>CONCATENATE("          ", "5043", " - ", "PURCHASES @ COST-CARDS")</f>
        <v xml:space="preserve">          5043 - PURCHASES @ COST-CARDS</v>
      </c>
      <c r="C133" s="11"/>
      <c r="D133" s="2">
        <v>2448</v>
      </c>
      <c r="E133" s="2"/>
      <c r="F133" s="19">
        <f t="shared" si="29"/>
        <v>1.0478028370631493E-2</v>
      </c>
      <c r="G133" s="2"/>
      <c r="H133" s="2">
        <v>3256.15</v>
      </c>
      <c r="I133" s="2"/>
      <c r="J133" s="19">
        <f t="shared" si="30"/>
        <v>4.9943043625693016E-3</v>
      </c>
      <c r="K133" s="2"/>
      <c r="L133" s="2">
        <f t="shared" si="31"/>
        <v>-808.15000000000009</v>
      </c>
      <c r="M133" s="2"/>
      <c r="N133" s="19">
        <f t="shared" si="32"/>
        <v>-0.24819188305207071</v>
      </c>
      <c r="O133" s="11"/>
      <c r="P133" s="2">
        <v>46621.23</v>
      </c>
      <c r="Q133" s="2"/>
      <c r="R133" s="19">
        <f t="shared" si="33"/>
        <v>1.725944413476534E-2</v>
      </c>
      <c r="S133" s="2"/>
      <c r="T133" s="2">
        <v>6784.89</v>
      </c>
      <c r="U133" s="2"/>
      <c r="V133" s="19">
        <f t="shared" si="34"/>
        <v>9.5000164191228669E-4</v>
      </c>
      <c r="W133" s="2"/>
      <c r="X133" s="2">
        <f t="shared" si="35"/>
        <v>39836.340000000004</v>
      </c>
      <c r="Y133" s="2"/>
      <c r="Z133" s="19">
        <f t="shared" si="36"/>
        <v>5.8713317386133017</v>
      </c>
    </row>
    <row r="134" spans="1:26" s="24" customFormat="1" hidden="1" outlineLevel="1" x14ac:dyDescent="0.25">
      <c r="A134" s="44"/>
      <c r="B134" s="11" t="str">
        <f>CONCATENATE("          ", "5044", " - ", "PURCHASES @ COST-ACCESSORIES")</f>
        <v xml:space="preserve">          5044 - PURCHASES @ COST-ACCESSORIES</v>
      </c>
      <c r="C134" s="11"/>
      <c r="D134" s="2"/>
      <c r="E134" s="2"/>
      <c r="F134" s="19">
        <f t="shared" si="29"/>
        <v>0</v>
      </c>
      <c r="G134" s="2"/>
      <c r="H134" s="2">
        <v>432</v>
      </c>
      <c r="I134" s="2"/>
      <c r="J134" s="19">
        <f t="shared" si="30"/>
        <v>6.626044514625979E-4</v>
      </c>
      <c r="K134" s="2"/>
      <c r="L134" s="2">
        <f t="shared" si="31"/>
        <v>-432</v>
      </c>
      <c r="M134" s="2"/>
      <c r="N134" s="19">
        <f t="shared" si="32"/>
        <v>-1</v>
      </c>
      <c r="O134" s="11"/>
      <c r="P134" s="2">
        <v>282.33</v>
      </c>
      <c r="Q134" s="2"/>
      <c r="R134" s="19">
        <f t="shared" si="33"/>
        <v>1.0452016951436712E-4</v>
      </c>
      <c r="S134" s="2"/>
      <c r="T134" s="2">
        <v>17687.580000000002</v>
      </c>
      <c r="U134" s="2"/>
      <c r="V134" s="19">
        <f t="shared" si="34"/>
        <v>2.4765663174281271E-3</v>
      </c>
      <c r="W134" s="2"/>
      <c r="X134" s="2">
        <f t="shared" si="35"/>
        <v>-17405.25</v>
      </c>
      <c r="Y134" s="2"/>
      <c r="Z134" s="19">
        <f t="shared" si="36"/>
        <v>-0.9840379520544924</v>
      </c>
    </row>
    <row r="135" spans="1:26" s="24" customFormat="1" hidden="1" outlineLevel="1" x14ac:dyDescent="0.25">
      <c r="A135" s="44"/>
      <c r="B135" s="11" t="str">
        <f>CONCATENATE("          ", "5045", " - ", "PURCHASES @ COST-SPECIAL ORDER")</f>
        <v xml:space="preserve">          5045 - PURCHASES @ COST-SPECIAL ORDER</v>
      </c>
      <c r="C135" s="11"/>
      <c r="D135" s="2">
        <v>10676.48</v>
      </c>
      <c r="E135" s="2"/>
      <c r="F135" s="19">
        <f t="shared" si="29"/>
        <v>4.5697900465065243E-2</v>
      </c>
      <c r="G135" s="2"/>
      <c r="H135" s="2">
        <v>-1045.9100000000001</v>
      </c>
      <c r="I135" s="2"/>
      <c r="J135" s="19">
        <f t="shared" si="30"/>
        <v>-1.6042236616417727E-3</v>
      </c>
      <c r="K135" s="2"/>
      <c r="L135" s="2">
        <f t="shared" si="31"/>
        <v>11722.39</v>
      </c>
      <c r="M135" s="2"/>
      <c r="N135" s="19">
        <f t="shared" si="32"/>
        <v>-11.207838150510081</v>
      </c>
      <c r="O135" s="11"/>
      <c r="P135" s="2">
        <v>87609</v>
      </c>
      <c r="Q135" s="2"/>
      <c r="R135" s="19">
        <f t="shared" si="33"/>
        <v>3.243334938187295E-2</v>
      </c>
      <c r="S135" s="2"/>
      <c r="T135" s="2">
        <v>41180.579999999994</v>
      </c>
      <c r="U135" s="2"/>
      <c r="V135" s="19">
        <f t="shared" si="34"/>
        <v>5.7659915805415079E-3</v>
      </c>
      <c r="W135" s="2"/>
      <c r="X135" s="2">
        <f t="shared" si="35"/>
        <v>46428.420000000006</v>
      </c>
      <c r="Y135" s="2"/>
      <c r="Z135" s="19">
        <f t="shared" si="36"/>
        <v>1.1274348248616219</v>
      </c>
    </row>
    <row r="136" spans="1:26" s="24" customFormat="1" hidden="1" outlineLevel="1" x14ac:dyDescent="0.25">
      <c r="A136" s="44"/>
      <c r="B136" s="11" t="str">
        <f>CONCATENATE("          ", "5053", " - ", "PURCHASES @ COST-FOOD")</f>
        <v xml:space="preserve">          5053 - PURCHASES @ COST-FOOD</v>
      </c>
      <c r="C136" s="11"/>
      <c r="D136" s="2">
        <v>290.37</v>
      </c>
      <c r="E136" s="2"/>
      <c r="F136" s="19">
        <f t="shared" si="29"/>
        <v>1.2428533896978212E-3</v>
      </c>
      <c r="G136" s="2"/>
      <c r="H136" s="2">
        <v>70856.59</v>
      </c>
      <c r="I136" s="2"/>
      <c r="J136" s="19">
        <f t="shared" si="30"/>
        <v>0.10868030543856527</v>
      </c>
      <c r="K136" s="2"/>
      <c r="L136" s="2">
        <f t="shared" si="31"/>
        <v>-70566.22</v>
      </c>
      <c r="M136" s="2"/>
      <c r="N136" s="19">
        <f t="shared" si="32"/>
        <v>-0.99590200431604181</v>
      </c>
      <c r="O136" s="11"/>
      <c r="P136" s="2">
        <v>-2565.1999999999998</v>
      </c>
      <c r="Q136" s="2"/>
      <c r="R136" s="19">
        <f t="shared" si="33"/>
        <v>-9.4965160924540275E-4</v>
      </c>
      <c r="S136" s="2"/>
      <c r="T136" s="2">
        <v>783872.38</v>
      </c>
      <c r="U136" s="2"/>
      <c r="V136" s="19">
        <f t="shared" si="34"/>
        <v>0.10975565529429246</v>
      </c>
      <c r="W136" s="2"/>
      <c r="X136" s="2">
        <f t="shared" si="35"/>
        <v>-786437.58</v>
      </c>
      <c r="Y136" s="2"/>
      <c r="Z136" s="19">
        <f t="shared" si="36"/>
        <v>-1.0032724714704198</v>
      </c>
    </row>
    <row r="137" spans="1:26" s="24" customFormat="1" hidden="1" outlineLevel="1" x14ac:dyDescent="0.25">
      <c r="A137" s="44"/>
      <c r="B137" s="11" t="str">
        <f>CONCATENATE("          ", "5059", " - ", "PURCHASES @ COST-FOOD")</f>
        <v xml:space="preserve">          5059 - PURCHASES @ COST-FOOD</v>
      </c>
      <c r="C137" s="11"/>
      <c r="D137" s="2"/>
      <c r="E137" s="2"/>
      <c r="F137" s="19">
        <f t="shared" si="29"/>
        <v>0</v>
      </c>
      <c r="G137" s="2"/>
      <c r="H137" s="2">
        <v>24547.37</v>
      </c>
      <c r="I137" s="2"/>
      <c r="J137" s="19">
        <f t="shared" si="30"/>
        <v>3.7650918133563499E-2</v>
      </c>
      <c r="K137" s="2"/>
      <c r="L137" s="2">
        <f t="shared" si="31"/>
        <v>-24547.37</v>
      </c>
      <c r="M137" s="2"/>
      <c r="N137" s="19">
        <f t="shared" si="32"/>
        <v>-1</v>
      </c>
      <c r="O137" s="11"/>
      <c r="P137" s="2">
        <v>11697.91</v>
      </c>
      <c r="Q137" s="2"/>
      <c r="R137" s="19">
        <f t="shared" si="33"/>
        <v>4.3306327211554228E-3</v>
      </c>
      <c r="S137" s="2"/>
      <c r="T137" s="2">
        <v>-9613.84</v>
      </c>
      <c r="U137" s="2"/>
      <c r="V137" s="19">
        <f t="shared" si="34"/>
        <v>-1.3461034423670861E-3</v>
      </c>
      <c r="W137" s="2"/>
      <c r="X137" s="2">
        <f t="shared" si="35"/>
        <v>21311.75</v>
      </c>
      <c r="Y137" s="2"/>
      <c r="Z137" s="19">
        <f t="shared" si="36"/>
        <v>-2.2167781032345037</v>
      </c>
    </row>
    <row r="138" spans="1:26" s="24" customFormat="1" hidden="1" outlineLevel="1" x14ac:dyDescent="0.25">
      <c r="A138" s="44"/>
      <c r="B138" s="11" t="str">
        <f>CONCATENATE("          ", "5081", " - ", "PURCHASES @ COST-ELECTRONICS")</f>
        <v xml:space="preserve">          5081 - PURCHASES @ COST-ELECTRONICS</v>
      </c>
      <c r="C138" s="11"/>
      <c r="D138" s="2"/>
      <c r="E138" s="2"/>
      <c r="F138" s="19">
        <f t="shared" si="29"/>
        <v>0</v>
      </c>
      <c r="G138" s="2"/>
      <c r="H138" s="2">
        <v>526.74</v>
      </c>
      <c r="I138" s="2"/>
      <c r="J138" s="19">
        <f t="shared" si="30"/>
        <v>8.0791728880418717E-4</v>
      </c>
      <c r="K138" s="2"/>
      <c r="L138" s="2">
        <f t="shared" si="31"/>
        <v>-526.74</v>
      </c>
      <c r="M138" s="2"/>
      <c r="N138" s="19">
        <f t="shared" si="32"/>
        <v>-1</v>
      </c>
      <c r="O138" s="11"/>
      <c r="P138" s="2"/>
      <c r="Q138" s="2"/>
      <c r="R138" s="19">
        <f t="shared" si="33"/>
        <v>0</v>
      </c>
      <c r="S138" s="2"/>
      <c r="T138" s="2">
        <v>1771.55</v>
      </c>
      <c r="U138" s="2"/>
      <c r="V138" s="19">
        <f t="shared" si="34"/>
        <v>2.4804755990586602E-4</v>
      </c>
      <c r="W138" s="2"/>
      <c r="X138" s="2">
        <f t="shared" si="35"/>
        <v>-1771.55</v>
      </c>
      <c r="Y138" s="2"/>
      <c r="Z138" s="19">
        <f t="shared" si="36"/>
        <v>-1</v>
      </c>
    </row>
    <row r="139" spans="1:26" s="24" customFormat="1" hidden="1" outlineLevel="1" x14ac:dyDescent="0.25">
      <c r="A139" s="44"/>
      <c r="B139" s="11" t="str">
        <f>CONCATENATE("          ", "5082", " - ", "PURCHASES @ COST-COMPUTER HARD")</f>
        <v xml:space="preserve">          5082 - PURCHASES @ COST-COMPUTER HARD</v>
      </c>
      <c r="C139" s="11"/>
      <c r="D139" s="2"/>
      <c r="E139" s="2"/>
      <c r="F139" s="19">
        <f t="shared" si="29"/>
        <v>0</v>
      </c>
      <c r="G139" s="2"/>
      <c r="H139" s="2">
        <v>105</v>
      </c>
      <c r="I139" s="2"/>
      <c r="J139" s="19">
        <f t="shared" si="30"/>
        <v>1.6104969306382589E-4</v>
      </c>
      <c r="K139" s="2"/>
      <c r="L139" s="2">
        <f t="shared" si="31"/>
        <v>-105</v>
      </c>
      <c r="M139" s="2"/>
      <c r="N139" s="19">
        <f t="shared" si="32"/>
        <v>-1</v>
      </c>
      <c r="O139" s="11"/>
      <c r="P139" s="2"/>
      <c r="Q139" s="2"/>
      <c r="R139" s="19">
        <f t="shared" si="33"/>
        <v>0</v>
      </c>
      <c r="S139" s="2"/>
      <c r="T139" s="2">
        <v>349.6</v>
      </c>
      <c r="U139" s="2"/>
      <c r="V139" s="19">
        <f t="shared" si="34"/>
        <v>4.8950030731896232E-5</v>
      </c>
      <c r="W139" s="2"/>
      <c r="X139" s="2">
        <f t="shared" si="35"/>
        <v>-349.6</v>
      </c>
      <c r="Y139" s="2"/>
      <c r="Z139" s="19">
        <f t="shared" si="36"/>
        <v>-1</v>
      </c>
    </row>
    <row r="140" spans="1:26" s="24" customFormat="1" hidden="1" outlineLevel="1" x14ac:dyDescent="0.25">
      <c r="A140" s="44"/>
      <c r="B140" s="11" t="str">
        <f>CONCATENATE("          ", "5083", " - ", "PURCHASES @ COST-COMPUTER EQUI")</f>
        <v xml:space="preserve">          5083 - PURCHASES @ COST-COMPUTER EQUI</v>
      </c>
      <c r="C140" s="11"/>
      <c r="D140" s="2"/>
      <c r="E140" s="2"/>
      <c r="F140" s="19">
        <f t="shared" si="29"/>
        <v>0</v>
      </c>
      <c r="G140" s="2"/>
      <c r="H140" s="2">
        <v>147.19999999999999</v>
      </c>
      <c r="I140" s="2"/>
      <c r="J140" s="19">
        <f t="shared" si="30"/>
        <v>2.2577633160947779E-4</v>
      </c>
      <c r="K140" s="2"/>
      <c r="L140" s="2">
        <f t="shared" si="31"/>
        <v>-147.19999999999999</v>
      </c>
      <c r="M140" s="2"/>
      <c r="N140" s="19">
        <f t="shared" si="32"/>
        <v>-1</v>
      </c>
      <c r="O140" s="11"/>
      <c r="P140" s="2"/>
      <c r="Q140" s="2"/>
      <c r="R140" s="19">
        <f t="shared" si="33"/>
        <v>0</v>
      </c>
      <c r="S140" s="2"/>
      <c r="T140" s="2">
        <v>379.35</v>
      </c>
      <c r="U140" s="2"/>
      <c r="V140" s="19">
        <f t="shared" si="34"/>
        <v>5.311554393062024E-5</v>
      </c>
      <c r="W140" s="2"/>
      <c r="X140" s="2">
        <f t="shared" si="35"/>
        <v>-379.35</v>
      </c>
      <c r="Y140" s="2"/>
      <c r="Z140" s="19">
        <f t="shared" si="36"/>
        <v>-1</v>
      </c>
    </row>
    <row r="141" spans="1:26" s="24" customFormat="1" hidden="1" outlineLevel="1" x14ac:dyDescent="0.25">
      <c r="A141" s="44"/>
      <c r="B141" s="11" t="str">
        <f>CONCATENATE("          ", "5086", " - ", "PURCHASES @ COST-COMPUTER SUPP")</f>
        <v xml:space="preserve">          5086 - PURCHASES @ COST-COMPUTER SUPP</v>
      </c>
      <c r="C141" s="11"/>
      <c r="D141" s="2"/>
      <c r="E141" s="2"/>
      <c r="F141" s="19">
        <f t="shared" si="29"/>
        <v>0</v>
      </c>
      <c r="G141" s="2"/>
      <c r="H141" s="2">
        <v>151.26</v>
      </c>
      <c r="I141" s="2"/>
      <c r="J141" s="19">
        <f t="shared" si="30"/>
        <v>2.3200358640794574E-4</v>
      </c>
      <c r="K141" s="2"/>
      <c r="L141" s="2">
        <f t="shared" si="31"/>
        <v>-151.26</v>
      </c>
      <c r="M141" s="2"/>
      <c r="N141" s="19">
        <f t="shared" si="32"/>
        <v>-1</v>
      </c>
      <c r="O141" s="11"/>
      <c r="P141" s="2"/>
      <c r="Q141" s="2"/>
      <c r="R141" s="19">
        <f t="shared" si="33"/>
        <v>0</v>
      </c>
      <c r="S141" s="2"/>
      <c r="T141" s="2">
        <v>379.26</v>
      </c>
      <c r="U141" s="2"/>
      <c r="V141" s="19">
        <f t="shared" si="34"/>
        <v>5.3102942378086286E-5</v>
      </c>
      <c r="W141" s="2"/>
      <c r="X141" s="2">
        <f t="shared" si="35"/>
        <v>-379.26</v>
      </c>
      <c r="Y141" s="2"/>
      <c r="Z141" s="19">
        <f t="shared" si="36"/>
        <v>-1</v>
      </c>
    </row>
    <row r="142" spans="1:26" s="24" customFormat="1" hidden="1" outlineLevel="1" x14ac:dyDescent="0.25">
      <c r="A142" s="44"/>
      <c r="B142" s="11" t="str">
        <f>CONCATENATE("          ", "5092", " - ", "PURCHASES @ COST-GRAD MERCH")</f>
        <v xml:space="preserve">          5092 - PURCHASES @ COST-GRAD MERCH</v>
      </c>
      <c r="C142" s="11"/>
      <c r="D142" s="2"/>
      <c r="E142" s="2"/>
      <c r="F142" s="19">
        <f t="shared" si="29"/>
        <v>0</v>
      </c>
      <c r="G142" s="2"/>
      <c r="H142" s="2"/>
      <c r="I142" s="2"/>
      <c r="J142" s="19">
        <f t="shared" si="30"/>
        <v>0</v>
      </c>
      <c r="K142" s="2"/>
      <c r="L142" s="2">
        <f t="shared" si="31"/>
        <v>0</v>
      </c>
      <c r="M142" s="2"/>
      <c r="N142" s="19">
        <f t="shared" si="32"/>
        <v>0</v>
      </c>
      <c r="O142" s="11"/>
      <c r="P142" s="2"/>
      <c r="Q142" s="2"/>
      <c r="R142" s="19">
        <f t="shared" si="33"/>
        <v>0</v>
      </c>
      <c r="S142" s="2"/>
      <c r="T142" s="2">
        <v>1924.14</v>
      </c>
      <c r="U142" s="2"/>
      <c r="V142" s="19">
        <f t="shared" si="34"/>
        <v>2.6941279214093484E-4</v>
      </c>
      <c r="W142" s="2"/>
      <c r="X142" s="2">
        <f t="shared" si="35"/>
        <v>-1924.14</v>
      </c>
      <c r="Y142" s="2"/>
      <c r="Z142" s="19">
        <f t="shared" si="36"/>
        <v>-1</v>
      </c>
    </row>
    <row r="143" spans="1:26" s="24" customFormat="1" hidden="1" outlineLevel="1" x14ac:dyDescent="0.25">
      <c r="A143" s="44"/>
      <c r="B143" s="11" t="str">
        <f>CONCATENATE("          ", "5095", " - ", "PURCHASES @ COST-CUSTOMER SERV")</f>
        <v xml:space="preserve">          5095 - PURCHASES @ COST-CUSTOMER SERV</v>
      </c>
      <c r="C143" s="11"/>
      <c r="D143" s="2"/>
      <c r="E143" s="2"/>
      <c r="F143" s="19">
        <f t="shared" si="29"/>
        <v>0</v>
      </c>
      <c r="G143" s="2"/>
      <c r="H143" s="2"/>
      <c r="I143" s="2"/>
      <c r="J143" s="19">
        <f t="shared" si="30"/>
        <v>0</v>
      </c>
      <c r="K143" s="2"/>
      <c r="L143" s="2">
        <f t="shared" si="31"/>
        <v>0</v>
      </c>
      <c r="M143" s="2"/>
      <c r="N143" s="19">
        <f t="shared" si="32"/>
        <v>0</v>
      </c>
      <c r="O143" s="11"/>
      <c r="P143" s="2"/>
      <c r="Q143" s="2"/>
      <c r="R143" s="19">
        <f t="shared" si="33"/>
        <v>0</v>
      </c>
      <c r="S143" s="2"/>
      <c r="T143" s="2">
        <v>0</v>
      </c>
      <c r="U143" s="2"/>
      <c r="V143" s="19">
        <f t="shared" si="34"/>
        <v>0</v>
      </c>
      <c r="W143" s="2"/>
      <c r="X143" s="2">
        <f t="shared" si="35"/>
        <v>0</v>
      </c>
      <c r="Y143" s="2"/>
      <c r="Z143" s="19">
        <f t="shared" si="36"/>
        <v>0</v>
      </c>
    </row>
    <row r="144" spans="1:26" s="24" customFormat="1" hidden="1" outlineLevel="1" x14ac:dyDescent="0.25">
      <c r="A144" s="44"/>
      <c r="B144" s="11" t="str">
        <f>CONCATENATE("          ", "5200", " - ", "PURCHASES OFFSET")</f>
        <v xml:space="preserve">          5200 - PURCHASES OFFSET</v>
      </c>
      <c r="C144" s="11"/>
      <c r="D144" s="2">
        <v>-172627.15</v>
      </c>
      <c r="E144" s="2"/>
      <c r="F144" s="19">
        <f t="shared" si="29"/>
        <v>-0.73888569250051395</v>
      </c>
      <c r="G144" s="2"/>
      <c r="H144" s="2">
        <v>-362376</v>
      </c>
      <c r="I144" s="2"/>
      <c r="J144" s="19">
        <f t="shared" si="30"/>
        <v>-0.55581470070187589</v>
      </c>
      <c r="K144" s="2"/>
      <c r="L144" s="2">
        <f t="shared" si="31"/>
        <v>189748.85</v>
      </c>
      <c r="M144" s="2"/>
      <c r="N144" s="19">
        <f t="shared" si="32"/>
        <v>-0.52362421904320378</v>
      </c>
      <c r="O144" s="11"/>
      <c r="P144" s="2">
        <v>-1745022.43</v>
      </c>
      <c r="Q144" s="2"/>
      <c r="R144" s="19">
        <f t="shared" si="33"/>
        <v>-0.64601721457150441</v>
      </c>
      <c r="S144" s="2"/>
      <c r="T144" s="2">
        <v>-2986522</v>
      </c>
      <c r="U144" s="2"/>
      <c r="V144" s="19">
        <f t="shared" si="34"/>
        <v>-0.41816459863124772</v>
      </c>
      <c r="W144" s="2"/>
      <c r="X144" s="2">
        <f t="shared" si="35"/>
        <v>1241499.57</v>
      </c>
      <c r="Y144" s="2"/>
      <c r="Z144" s="19">
        <f t="shared" si="36"/>
        <v>-0.41570079510547725</v>
      </c>
    </row>
    <row r="145" spans="1:26" s="24" customFormat="1" hidden="1" outlineLevel="1" x14ac:dyDescent="0.25">
      <c r="A145" s="44"/>
      <c r="B145" s="11" t="str">
        <f>CONCATENATE("          ", "5300", " - ", "COG$ OFFSET")</f>
        <v xml:space="preserve">          5300 - COG$ OFFSET</v>
      </c>
      <c r="C145" s="11"/>
      <c r="D145" s="2">
        <v>134493</v>
      </c>
      <c r="E145" s="2"/>
      <c r="F145" s="19">
        <f t="shared" si="29"/>
        <v>0.57566236505365243</v>
      </c>
      <c r="G145" s="2"/>
      <c r="H145" s="2">
        <v>170192.47</v>
      </c>
      <c r="I145" s="2"/>
      <c r="J145" s="19">
        <f t="shared" si="30"/>
        <v>0.26104233385975617</v>
      </c>
      <c r="K145" s="2"/>
      <c r="L145" s="2">
        <f t="shared" si="31"/>
        <v>-35699.47</v>
      </c>
      <c r="M145" s="2"/>
      <c r="N145" s="19">
        <f t="shared" si="32"/>
        <v>-0.20975939769838231</v>
      </c>
      <c r="O145" s="11"/>
      <c r="P145" s="2">
        <v>1391133</v>
      </c>
      <c r="Q145" s="2"/>
      <c r="R145" s="19">
        <f t="shared" si="33"/>
        <v>0.51500533764399847</v>
      </c>
      <c r="S145" s="2"/>
      <c r="T145" s="2">
        <v>2513090.4700000002</v>
      </c>
      <c r="U145" s="2"/>
      <c r="V145" s="19">
        <f t="shared" si="34"/>
        <v>0.35187601755874015</v>
      </c>
      <c r="W145" s="2"/>
      <c r="X145" s="2">
        <f t="shared" si="35"/>
        <v>-1121957.4700000002</v>
      </c>
      <c r="Y145" s="2"/>
      <c r="Z145" s="19">
        <f t="shared" si="36"/>
        <v>-0.44644531639165386</v>
      </c>
    </row>
    <row r="146" spans="1:26" s="24" customFormat="1" hidden="1" outlineLevel="1" x14ac:dyDescent="0.25">
      <c r="A146" s="44"/>
      <c r="B146" s="11" t="str">
        <f>CONCATENATE("          ", "5500", " - ", "FREIGHT-IN")</f>
        <v xml:space="preserve">          5500 - FREIGHT-IN</v>
      </c>
      <c r="C146" s="11"/>
      <c r="D146" s="2"/>
      <c r="E146" s="2"/>
      <c r="F146" s="19">
        <f t="shared" si="29"/>
        <v>0</v>
      </c>
      <c r="G146" s="2"/>
      <c r="H146" s="2">
        <v>80</v>
      </c>
      <c r="I146" s="2"/>
      <c r="J146" s="19">
        <f t="shared" si="30"/>
        <v>1.2270452804862925E-4</v>
      </c>
      <c r="K146" s="2"/>
      <c r="L146" s="2">
        <f t="shared" si="31"/>
        <v>-80</v>
      </c>
      <c r="M146" s="2"/>
      <c r="N146" s="19">
        <f t="shared" si="32"/>
        <v>-1</v>
      </c>
      <c r="O146" s="11"/>
      <c r="P146" s="2"/>
      <c r="Q146" s="2"/>
      <c r="R146" s="19">
        <f t="shared" si="33"/>
        <v>0</v>
      </c>
      <c r="S146" s="2"/>
      <c r="T146" s="2">
        <v>115.23</v>
      </c>
      <c r="U146" s="2"/>
      <c r="V146" s="19">
        <f t="shared" si="34"/>
        <v>1.6134187760973692E-5</v>
      </c>
      <c r="W146" s="2"/>
      <c r="X146" s="2">
        <f t="shared" si="35"/>
        <v>-115.23</v>
      </c>
      <c r="Y146" s="2"/>
      <c r="Z146" s="19">
        <f t="shared" si="36"/>
        <v>-1</v>
      </c>
    </row>
    <row r="147" spans="1:26" s="24" customFormat="1" hidden="1" outlineLevel="1" x14ac:dyDescent="0.25">
      <c r="A147" s="44"/>
      <c r="B147" s="11" t="str">
        <f>CONCATENATE("          ", "5501", " - ", "FREIGHT-IN-NEW TEXT")</f>
        <v xml:space="preserve">          5501 - FREIGHT-IN-NEW TEXT</v>
      </c>
      <c r="C147" s="11"/>
      <c r="D147" s="2">
        <v>2414.77</v>
      </c>
      <c r="E147" s="2"/>
      <c r="F147" s="19">
        <f t="shared" si="29"/>
        <v>1.0335795983884725E-2</v>
      </c>
      <c r="G147" s="2"/>
      <c r="H147" s="2">
        <v>4162.3900000000003</v>
      </c>
      <c r="I147" s="2"/>
      <c r="J147" s="19">
        <f t="shared" si="30"/>
        <v>6.3843012563041743E-3</v>
      </c>
      <c r="K147" s="2"/>
      <c r="L147" s="2">
        <f t="shared" si="31"/>
        <v>-1747.6200000000003</v>
      </c>
      <c r="M147" s="2"/>
      <c r="N147" s="19">
        <f t="shared" si="32"/>
        <v>-0.41985974404128401</v>
      </c>
      <c r="O147" s="11"/>
      <c r="P147" s="2">
        <v>37463.58</v>
      </c>
      <c r="Q147" s="2"/>
      <c r="R147" s="19">
        <f t="shared" si="33"/>
        <v>1.3869230093206725E-2</v>
      </c>
      <c r="S147" s="2"/>
      <c r="T147" s="2">
        <v>38669.939999999995</v>
      </c>
      <c r="U147" s="2"/>
      <c r="V147" s="19">
        <f t="shared" si="34"/>
        <v>5.4144586710542994E-3</v>
      </c>
      <c r="W147" s="2"/>
      <c r="X147" s="2">
        <f t="shared" si="35"/>
        <v>-1206.3599999999933</v>
      </c>
      <c r="Y147" s="2"/>
      <c r="Z147" s="19">
        <f t="shared" si="36"/>
        <v>-3.1196324587004619E-2</v>
      </c>
    </row>
    <row r="148" spans="1:26" s="24" customFormat="1" hidden="1" outlineLevel="1" x14ac:dyDescent="0.25">
      <c r="A148" s="44"/>
      <c r="B148" s="11" t="str">
        <f>CONCATENATE("          ", "5502", " - ", "FREIGHT-IN-USED TEXT")</f>
        <v xml:space="preserve">          5502 - FREIGHT-IN-USED TEXT</v>
      </c>
      <c r="C148" s="11"/>
      <c r="D148" s="2">
        <v>2389.48</v>
      </c>
      <c r="E148" s="2"/>
      <c r="F148" s="19">
        <f t="shared" si="29"/>
        <v>1.0227548705496952E-2</v>
      </c>
      <c r="G148" s="2"/>
      <c r="H148" s="2">
        <v>563.29999999999995</v>
      </c>
      <c r="I148" s="2"/>
      <c r="J148" s="19">
        <f t="shared" si="30"/>
        <v>8.6399325812241056E-4</v>
      </c>
      <c r="K148" s="2"/>
      <c r="L148" s="2">
        <f t="shared" si="31"/>
        <v>1826.18</v>
      </c>
      <c r="M148" s="2"/>
      <c r="N148" s="19">
        <f t="shared" si="32"/>
        <v>3.2419314752352215</v>
      </c>
      <c r="O148" s="11"/>
      <c r="P148" s="2">
        <v>13522.57</v>
      </c>
      <c r="Q148" s="2"/>
      <c r="R148" s="19">
        <f t="shared" si="33"/>
        <v>5.0061322164484667E-3</v>
      </c>
      <c r="S148" s="2"/>
      <c r="T148" s="2">
        <v>7653.42</v>
      </c>
      <c r="U148" s="2"/>
      <c r="V148" s="19">
        <f t="shared" si="34"/>
        <v>1.0716108243824635E-3</v>
      </c>
      <c r="W148" s="2"/>
      <c r="X148" s="2">
        <f t="shared" si="35"/>
        <v>5869.15</v>
      </c>
      <c r="Y148" s="2"/>
      <c r="Z148" s="19">
        <f t="shared" si="36"/>
        <v>0.76686631597377375</v>
      </c>
    </row>
    <row r="149" spans="1:26" s="24" customFormat="1" hidden="1" outlineLevel="1" x14ac:dyDescent="0.25">
      <c r="A149" s="44"/>
      <c r="B149" s="11" t="str">
        <f>CONCATENATE("          ", "5504", " - ", "FREIGHT-IN-DIGITAL TEXT")</f>
        <v xml:space="preserve">          5504 - FREIGHT-IN-DIGITAL TEXT</v>
      </c>
      <c r="C149" s="11"/>
      <c r="D149" s="2"/>
      <c r="E149" s="2"/>
      <c r="F149" s="19">
        <f t="shared" si="29"/>
        <v>0</v>
      </c>
      <c r="G149" s="2"/>
      <c r="H149" s="2"/>
      <c r="I149" s="2"/>
      <c r="J149" s="19">
        <f t="shared" si="30"/>
        <v>0</v>
      </c>
      <c r="K149" s="2"/>
      <c r="L149" s="2">
        <f t="shared" si="31"/>
        <v>0</v>
      </c>
      <c r="M149" s="2"/>
      <c r="N149" s="19">
        <f t="shared" si="32"/>
        <v>0</v>
      </c>
      <c r="O149" s="11"/>
      <c r="P149" s="2">
        <v>21.98</v>
      </c>
      <c r="Q149" s="2"/>
      <c r="R149" s="19">
        <f t="shared" si="33"/>
        <v>8.1371208370551822E-6</v>
      </c>
      <c r="S149" s="2"/>
      <c r="T149" s="2">
        <v>105.97</v>
      </c>
      <c r="U149" s="2"/>
      <c r="V149" s="19">
        <f t="shared" si="34"/>
        <v>1.4837628022480102E-5</v>
      </c>
      <c r="W149" s="2"/>
      <c r="X149" s="2">
        <f t="shared" si="35"/>
        <v>-83.99</v>
      </c>
      <c r="Y149" s="2"/>
      <c r="Z149" s="19">
        <f t="shared" si="36"/>
        <v>-0.79258280645465695</v>
      </c>
    </row>
    <row r="150" spans="1:26" s="24" customFormat="1" hidden="1" outlineLevel="1" x14ac:dyDescent="0.25">
      <c r="A150" s="44"/>
      <c r="B150" s="11" t="str">
        <f>CONCATENATE("          ", "5513", " - ", "FREIGHT-IN-TRADE BOOKS")</f>
        <v xml:space="preserve">          5513 - FREIGHT-IN-TRADE BOOKS</v>
      </c>
      <c r="C150" s="11"/>
      <c r="D150" s="2"/>
      <c r="E150" s="2"/>
      <c r="F150" s="19">
        <f t="shared" si="29"/>
        <v>0</v>
      </c>
      <c r="G150" s="2"/>
      <c r="H150" s="2">
        <v>9.08</v>
      </c>
      <c r="I150" s="2"/>
      <c r="J150" s="19">
        <f t="shared" si="30"/>
        <v>1.392696393351942E-5</v>
      </c>
      <c r="K150" s="2"/>
      <c r="L150" s="2">
        <f t="shared" si="31"/>
        <v>-9.08</v>
      </c>
      <c r="M150" s="2"/>
      <c r="N150" s="19">
        <f t="shared" si="32"/>
        <v>-1</v>
      </c>
      <c r="O150" s="11"/>
      <c r="P150" s="2">
        <v>26.46</v>
      </c>
      <c r="Q150" s="2"/>
      <c r="R150" s="19">
        <f t="shared" si="33"/>
        <v>9.7956422815505073E-6</v>
      </c>
      <c r="S150" s="2"/>
      <c r="T150" s="2">
        <v>21.41</v>
      </c>
      <c r="U150" s="2"/>
      <c r="V150" s="19">
        <f t="shared" si="34"/>
        <v>2.9977693305775124E-6</v>
      </c>
      <c r="W150" s="2"/>
      <c r="X150" s="2">
        <f t="shared" si="35"/>
        <v>5.0500000000000007</v>
      </c>
      <c r="Y150" s="2"/>
      <c r="Z150" s="19">
        <f t="shared" si="36"/>
        <v>0.23587108827650632</v>
      </c>
    </row>
    <row r="151" spans="1:26" s="24" customFormat="1" hidden="1" outlineLevel="1" x14ac:dyDescent="0.25">
      <c r="A151" s="44"/>
      <c r="B151" s="11" t="str">
        <f>CONCATENATE("          ", "5518", " - ", "FREIGHT-IN-STUDY GUIDES")</f>
        <v xml:space="preserve">          5518 - FREIGHT-IN-STUDY GUIDES</v>
      </c>
      <c r="C151" s="11"/>
      <c r="D151" s="2"/>
      <c r="E151" s="2"/>
      <c r="F151" s="19">
        <f t="shared" si="29"/>
        <v>0</v>
      </c>
      <c r="G151" s="2"/>
      <c r="H151" s="2">
        <v>8.8699999999999992</v>
      </c>
      <c r="I151" s="2"/>
      <c r="J151" s="19">
        <f t="shared" si="30"/>
        <v>1.3604864547391767E-5</v>
      </c>
      <c r="K151" s="2"/>
      <c r="L151" s="2">
        <f t="shared" si="31"/>
        <v>-8.8699999999999992</v>
      </c>
      <c r="M151" s="2"/>
      <c r="N151" s="19">
        <f t="shared" si="32"/>
        <v>-1</v>
      </c>
      <c r="O151" s="11"/>
      <c r="P151" s="2"/>
      <c r="Q151" s="2"/>
      <c r="R151" s="19">
        <f t="shared" si="33"/>
        <v>0</v>
      </c>
      <c r="S151" s="2"/>
      <c r="T151" s="2">
        <v>21.13</v>
      </c>
      <c r="U151" s="2"/>
      <c r="V151" s="19">
        <f t="shared" si="34"/>
        <v>2.9585645004718743E-6</v>
      </c>
      <c r="W151" s="2"/>
      <c r="X151" s="2">
        <f t="shared" si="35"/>
        <v>-21.13</v>
      </c>
      <c r="Y151" s="2"/>
      <c r="Z151" s="19">
        <f t="shared" si="36"/>
        <v>-1</v>
      </c>
    </row>
    <row r="152" spans="1:26" s="24" customFormat="1" hidden="1" outlineLevel="1" x14ac:dyDescent="0.25">
      <c r="A152" s="44"/>
      <c r="B152" s="11" t="str">
        <f>CONCATENATE("          ", "5525", " - ", "FREIGHT-IN-TEST FORMS")</f>
        <v xml:space="preserve">          5525 - FREIGHT-IN-TEST FORMS</v>
      </c>
      <c r="C152" s="11"/>
      <c r="D152" s="2"/>
      <c r="E152" s="2"/>
      <c r="F152" s="19">
        <f t="shared" si="29"/>
        <v>0</v>
      </c>
      <c r="G152" s="2"/>
      <c r="H152" s="2">
        <v>247.49</v>
      </c>
      <c r="I152" s="2"/>
      <c r="J152" s="19">
        <f t="shared" si="30"/>
        <v>3.7960179558444064E-4</v>
      </c>
      <c r="K152" s="2"/>
      <c r="L152" s="2">
        <f t="shared" si="31"/>
        <v>-247.49</v>
      </c>
      <c r="M152" s="2"/>
      <c r="N152" s="19">
        <f t="shared" si="32"/>
        <v>-1</v>
      </c>
      <c r="O152" s="11"/>
      <c r="P152" s="2">
        <v>48.14</v>
      </c>
      <c r="Q152" s="2"/>
      <c r="R152" s="19">
        <f t="shared" si="33"/>
        <v>1.7821701414733235E-5</v>
      </c>
      <c r="S152" s="2"/>
      <c r="T152" s="2">
        <v>622.41</v>
      </c>
      <c r="U152" s="2"/>
      <c r="V152" s="19">
        <f t="shared" si="34"/>
        <v>8.7148136807321317E-5</v>
      </c>
      <c r="W152" s="2"/>
      <c r="X152" s="2">
        <f t="shared" si="35"/>
        <v>-574.27</v>
      </c>
      <c r="Y152" s="2"/>
      <c r="Z152" s="19">
        <f t="shared" si="36"/>
        <v>-0.92265548432705136</v>
      </c>
    </row>
    <row r="153" spans="1:26" s="24" customFormat="1" hidden="1" outlineLevel="1" x14ac:dyDescent="0.25">
      <c r="A153" s="44"/>
      <c r="B153" s="11" t="str">
        <f>CONCATENATE("          ", "5526", " - ", "FREIGHT-IN-WRITING INSTRUMENTS")</f>
        <v xml:space="preserve">          5526 - FREIGHT-IN-WRITING INSTRUMENTS</v>
      </c>
      <c r="C153" s="11"/>
      <c r="D153" s="2"/>
      <c r="E153" s="2"/>
      <c r="F153" s="19">
        <f t="shared" si="29"/>
        <v>0</v>
      </c>
      <c r="G153" s="2"/>
      <c r="H153" s="2">
        <v>42.86</v>
      </c>
      <c r="I153" s="2"/>
      <c r="J153" s="19">
        <f t="shared" si="30"/>
        <v>6.5738950902053116E-5</v>
      </c>
      <c r="K153" s="2"/>
      <c r="L153" s="2">
        <f t="shared" si="31"/>
        <v>-42.86</v>
      </c>
      <c r="M153" s="2"/>
      <c r="N153" s="19">
        <f t="shared" si="32"/>
        <v>-1</v>
      </c>
      <c r="O153" s="11"/>
      <c r="P153" s="2"/>
      <c r="Q153" s="2"/>
      <c r="R153" s="19">
        <f t="shared" si="33"/>
        <v>0</v>
      </c>
      <c r="S153" s="2"/>
      <c r="T153" s="2">
        <v>260.35000000000002</v>
      </c>
      <c r="U153" s="2"/>
      <c r="V153" s="19">
        <f t="shared" si="34"/>
        <v>3.6453491135724217E-5</v>
      </c>
      <c r="W153" s="2"/>
      <c r="X153" s="2">
        <f t="shared" si="35"/>
        <v>-260.35000000000002</v>
      </c>
      <c r="Y153" s="2"/>
      <c r="Z153" s="19">
        <f t="shared" si="36"/>
        <v>-1</v>
      </c>
    </row>
    <row r="154" spans="1:26" s="24" customFormat="1" hidden="1" outlineLevel="1" x14ac:dyDescent="0.25">
      <c r="A154" s="44"/>
      <c r="B154" s="11" t="str">
        <f>CONCATENATE("          ", "5527", " - ", "FREIGHT-IN-SCHOOL SUPPLIES")</f>
        <v xml:space="preserve">          5527 - FREIGHT-IN-SCHOOL SUPPLIES</v>
      </c>
      <c r="C154" s="11"/>
      <c r="D154" s="2">
        <v>121.5</v>
      </c>
      <c r="E154" s="2"/>
      <c r="F154" s="19">
        <f t="shared" si="29"/>
        <v>5.2004920221884244E-4</v>
      </c>
      <c r="G154" s="2"/>
      <c r="H154" s="2">
        <v>25.34</v>
      </c>
      <c r="I154" s="2"/>
      <c r="J154" s="19">
        <f t="shared" si="30"/>
        <v>3.8866659259403311E-5</v>
      </c>
      <c r="K154" s="2"/>
      <c r="L154" s="2">
        <f t="shared" si="31"/>
        <v>96.16</v>
      </c>
      <c r="M154" s="2"/>
      <c r="N154" s="19">
        <f t="shared" si="32"/>
        <v>3.7947908445146012</v>
      </c>
      <c r="O154" s="11"/>
      <c r="P154" s="2">
        <v>177.5</v>
      </c>
      <c r="Q154" s="2"/>
      <c r="R154" s="19">
        <f t="shared" si="33"/>
        <v>6.5711508124535715E-5</v>
      </c>
      <c r="S154" s="2"/>
      <c r="T154" s="2">
        <v>897.92</v>
      </c>
      <c r="U154" s="2"/>
      <c r="V154" s="19">
        <f t="shared" si="34"/>
        <v>1.2572428945876505E-4</v>
      </c>
      <c r="W154" s="2"/>
      <c r="X154" s="2">
        <f t="shared" si="35"/>
        <v>-720.42</v>
      </c>
      <c r="Y154" s="2"/>
      <c r="Z154" s="19">
        <f t="shared" si="36"/>
        <v>-0.80232091945830364</v>
      </c>
    </row>
    <row r="155" spans="1:26" s="24" customFormat="1" hidden="1" outlineLevel="1" x14ac:dyDescent="0.25">
      <c r="A155" s="44"/>
      <c r="B155" s="11" t="str">
        <f>CONCATENATE("          ", "5528", " - ", "FREIGHT-IN-ART/TECH")</f>
        <v xml:space="preserve">          5528 - FREIGHT-IN-ART/TECH</v>
      </c>
      <c r="C155" s="11"/>
      <c r="D155" s="2">
        <v>4.29</v>
      </c>
      <c r="E155" s="2"/>
      <c r="F155" s="19">
        <f t="shared" si="29"/>
        <v>1.8362231090689991E-5</v>
      </c>
      <c r="G155" s="2"/>
      <c r="H155" s="2">
        <v>187.14</v>
      </c>
      <c r="I155" s="2"/>
      <c r="J155" s="19">
        <f t="shared" si="30"/>
        <v>2.8703656723775596E-4</v>
      </c>
      <c r="K155" s="2"/>
      <c r="L155" s="2">
        <f t="shared" si="31"/>
        <v>-182.85</v>
      </c>
      <c r="M155" s="2"/>
      <c r="N155" s="19">
        <f t="shared" si="32"/>
        <v>-0.97707598589291444</v>
      </c>
      <c r="O155" s="11"/>
      <c r="P155" s="2">
        <v>290.20999999999998</v>
      </c>
      <c r="Q155" s="2"/>
      <c r="R155" s="19">
        <f t="shared" si="33"/>
        <v>1.0743739026941694E-4</v>
      </c>
      <c r="S155" s="2"/>
      <c r="T155" s="2">
        <v>1110.6400000000001</v>
      </c>
      <c r="U155" s="2"/>
      <c r="V155" s="19">
        <f t="shared" si="34"/>
        <v>1.5550875895901955E-4</v>
      </c>
      <c r="W155" s="2"/>
      <c r="X155" s="2">
        <f t="shared" si="35"/>
        <v>-820.43000000000006</v>
      </c>
      <c r="Y155" s="2"/>
      <c r="Z155" s="19">
        <f t="shared" si="36"/>
        <v>-0.7387002088885688</v>
      </c>
    </row>
    <row r="156" spans="1:26" s="24" customFormat="1" hidden="1" outlineLevel="1" x14ac:dyDescent="0.25">
      <c r="A156" s="44"/>
      <c r="B156" s="11" t="str">
        <f>CONCATENATE("          ", "5540", " - ", "FREIGHT-IN-LOGO CLOTHING")</f>
        <v xml:space="preserve">          5540 - FREIGHT-IN-LOGO CLOTHING</v>
      </c>
      <c r="C156" s="11"/>
      <c r="D156" s="2">
        <v>907.48</v>
      </c>
      <c r="E156" s="2"/>
      <c r="F156" s="19">
        <f t="shared" si="29"/>
        <v>3.8842325105313182E-3</v>
      </c>
      <c r="G156" s="2"/>
      <c r="H156" s="2">
        <v>4036.06</v>
      </c>
      <c r="I156" s="2"/>
      <c r="J156" s="19">
        <f t="shared" si="30"/>
        <v>6.1905354684493822E-3</v>
      </c>
      <c r="K156" s="2"/>
      <c r="L156" s="2">
        <f t="shared" si="31"/>
        <v>-3128.58</v>
      </c>
      <c r="M156" s="2"/>
      <c r="N156" s="19">
        <f t="shared" si="32"/>
        <v>-0.77515696000555001</v>
      </c>
      <c r="O156" s="11"/>
      <c r="P156" s="2">
        <v>5442.96</v>
      </c>
      <c r="Q156" s="2"/>
      <c r="R156" s="19">
        <f t="shared" si="33"/>
        <v>2.0150147056987207E-3</v>
      </c>
      <c r="S156" s="2"/>
      <c r="T156" s="2">
        <v>24277.390000000003</v>
      </c>
      <c r="U156" s="2"/>
      <c r="V156" s="19">
        <f t="shared" si="34"/>
        <v>3.3992533941368148E-3</v>
      </c>
      <c r="W156" s="2"/>
      <c r="X156" s="2">
        <f t="shared" si="35"/>
        <v>-18834.430000000004</v>
      </c>
      <c r="Y156" s="2"/>
      <c r="Z156" s="19">
        <f t="shared" si="36"/>
        <v>-0.77580127023539192</v>
      </c>
    </row>
    <row r="157" spans="1:26" s="24" customFormat="1" hidden="1" outlineLevel="1" x14ac:dyDescent="0.25">
      <c r="A157" s="44"/>
      <c r="B157" s="11" t="str">
        <f>CONCATENATE("          ", "5541", " - ", "FREIGHT-IN-LOGO GIFTS")</f>
        <v xml:space="preserve">          5541 - FREIGHT-IN-LOGO GIFTS</v>
      </c>
      <c r="C157" s="11"/>
      <c r="D157" s="2">
        <v>84.07</v>
      </c>
      <c r="E157" s="2"/>
      <c r="F157" s="19">
        <f t="shared" si="29"/>
        <v>3.598398060126591E-4</v>
      </c>
      <c r="G157" s="2"/>
      <c r="H157" s="2">
        <v>709.94</v>
      </c>
      <c r="I157" s="2"/>
      <c r="J157" s="19">
        <f t="shared" si="30"/>
        <v>1.0889106580355482E-3</v>
      </c>
      <c r="K157" s="2"/>
      <c r="L157" s="2">
        <f t="shared" si="31"/>
        <v>-625.87000000000012</v>
      </c>
      <c r="M157" s="2"/>
      <c r="N157" s="19">
        <f t="shared" si="32"/>
        <v>-0.88158154210214956</v>
      </c>
      <c r="O157" s="11"/>
      <c r="P157" s="2">
        <v>1519.94</v>
      </c>
      <c r="Q157" s="2"/>
      <c r="R157" s="19">
        <f t="shared" si="33"/>
        <v>5.6269042061299606E-4</v>
      </c>
      <c r="S157" s="2"/>
      <c r="T157" s="2">
        <v>3562.77</v>
      </c>
      <c r="U157" s="2"/>
      <c r="V157" s="19">
        <f t="shared" si="34"/>
        <v>4.9884925912665318E-4</v>
      </c>
      <c r="W157" s="2"/>
      <c r="X157" s="2">
        <f t="shared" si="35"/>
        <v>-2042.83</v>
      </c>
      <c r="Y157" s="2"/>
      <c r="Z157" s="19">
        <f t="shared" si="36"/>
        <v>-0.57338250855373762</v>
      </c>
    </row>
    <row r="158" spans="1:26" s="24" customFormat="1" hidden="1" outlineLevel="1" x14ac:dyDescent="0.25">
      <c r="A158" s="44"/>
      <c r="B158" s="11" t="str">
        <f>CONCATENATE("          ", "5542", " - ", "FREIGHT-IN-EVERYDAY GIFTS")</f>
        <v xml:space="preserve">          5542 - FREIGHT-IN-EVERYDAY GIFTS</v>
      </c>
      <c r="C158" s="11"/>
      <c r="D158" s="2"/>
      <c r="E158" s="2"/>
      <c r="F158" s="19">
        <f t="shared" si="29"/>
        <v>0</v>
      </c>
      <c r="G158" s="2"/>
      <c r="H158" s="2">
        <v>194.82</v>
      </c>
      <c r="I158" s="2"/>
      <c r="J158" s="19">
        <f t="shared" si="30"/>
        <v>2.9881620193042435E-4</v>
      </c>
      <c r="K158" s="2"/>
      <c r="L158" s="2">
        <f t="shared" si="31"/>
        <v>-194.82</v>
      </c>
      <c r="M158" s="2"/>
      <c r="N158" s="19">
        <f t="shared" si="32"/>
        <v>-1</v>
      </c>
      <c r="O158" s="11"/>
      <c r="P158" s="2">
        <v>196.55</v>
      </c>
      <c r="Q158" s="2"/>
      <c r="R158" s="19">
        <f t="shared" si="33"/>
        <v>7.2763926320436583E-5</v>
      </c>
      <c r="S158" s="2"/>
      <c r="T158" s="2">
        <v>1708.33</v>
      </c>
      <c r="U158" s="2"/>
      <c r="V158" s="19">
        <f t="shared" si="34"/>
        <v>2.3919566933701454E-4</v>
      </c>
      <c r="W158" s="2"/>
      <c r="X158" s="2">
        <f t="shared" si="35"/>
        <v>-1511.78</v>
      </c>
      <c r="Y158" s="2"/>
      <c r="Z158" s="19">
        <f t="shared" si="36"/>
        <v>-0.88494611696803316</v>
      </c>
    </row>
    <row r="159" spans="1:26" s="24" customFormat="1" hidden="1" outlineLevel="1" x14ac:dyDescent="0.25">
      <c r="A159" s="44"/>
      <c r="B159" s="11" t="str">
        <f>CONCATENATE("          ", "5543", " - ", "FREIGHT-IN-CARDS")</f>
        <v xml:space="preserve">          5543 - FREIGHT-IN-CARDS</v>
      </c>
      <c r="C159" s="11"/>
      <c r="D159" s="2">
        <v>605.41</v>
      </c>
      <c r="E159" s="2"/>
      <c r="F159" s="19">
        <f t="shared" si="29"/>
        <v>2.5913003087679786E-3</v>
      </c>
      <c r="G159" s="2"/>
      <c r="H159" s="2">
        <v>77.760000000000005</v>
      </c>
      <c r="I159" s="2"/>
      <c r="J159" s="19">
        <f t="shared" si="30"/>
        <v>1.1926880126326763E-4</v>
      </c>
      <c r="K159" s="2"/>
      <c r="L159" s="2">
        <f t="shared" si="31"/>
        <v>527.65</v>
      </c>
      <c r="M159" s="2"/>
      <c r="N159" s="19">
        <f t="shared" si="32"/>
        <v>6.7856224279835384</v>
      </c>
      <c r="O159" s="11"/>
      <c r="P159" s="2">
        <v>7117.72</v>
      </c>
      <c r="Q159" s="2"/>
      <c r="R159" s="19">
        <f t="shared" si="33"/>
        <v>2.6350203696234946E-3</v>
      </c>
      <c r="S159" s="2"/>
      <c r="T159" s="2">
        <v>121.35</v>
      </c>
      <c r="U159" s="2"/>
      <c r="V159" s="19">
        <f t="shared" si="34"/>
        <v>1.6991093333282631E-5</v>
      </c>
      <c r="W159" s="2"/>
      <c r="X159" s="2">
        <f t="shared" si="35"/>
        <v>6996.37</v>
      </c>
      <c r="Y159" s="2"/>
      <c r="Z159" s="19">
        <f t="shared" si="36"/>
        <v>57.654470539761022</v>
      </c>
    </row>
    <row r="160" spans="1:26" s="24" customFormat="1" hidden="1" outlineLevel="1" x14ac:dyDescent="0.25">
      <c r="A160" s="44"/>
      <c r="B160" s="11" t="str">
        <f>CONCATENATE("          ", "5544", " - ", "FREIGHT-IN-ACCESSORIES")</f>
        <v xml:space="preserve">          5544 - FREIGHT-IN-ACCESSORIES</v>
      </c>
      <c r="C160" s="11"/>
      <c r="D160" s="2"/>
      <c r="E160" s="2"/>
      <c r="F160" s="19">
        <f t="shared" si="29"/>
        <v>0</v>
      </c>
      <c r="G160" s="2"/>
      <c r="H160" s="2">
        <v>28.4</v>
      </c>
      <c r="I160" s="2"/>
      <c r="J160" s="19">
        <f t="shared" si="30"/>
        <v>4.356010745726338E-5</v>
      </c>
      <c r="K160" s="2"/>
      <c r="L160" s="2">
        <f t="shared" si="31"/>
        <v>-28.4</v>
      </c>
      <c r="M160" s="2"/>
      <c r="N160" s="19">
        <f t="shared" si="32"/>
        <v>-1</v>
      </c>
      <c r="O160" s="11"/>
      <c r="P160" s="2"/>
      <c r="Q160" s="2"/>
      <c r="R160" s="19">
        <f t="shared" si="33"/>
        <v>0</v>
      </c>
      <c r="S160" s="2"/>
      <c r="T160" s="2">
        <v>442.31</v>
      </c>
      <c r="U160" s="2"/>
      <c r="V160" s="19">
        <f t="shared" si="34"/>
        <v>6.1931030014373637E-5</v>
      </c>
      <c r="W160" s="2"/>
      <c r="X160" s="2">
        <f t="shared" si="35"/>
        <v>-442.31</v>
      </c>
      <c r="Y160" s="2"/>
      <c r="Z160" s="19">
        <f t="shared" si="36"/>
        <v>-1</v>
      </c>
    </row>
    <row r="161" spans="1:26" s="24" customFormat="1" hidden="1" outlineLevel="1" x14ac:dyDescent="0.25">
      <c r="A161" s="44"/>
      <c r="B161" s="11" t="str">
        <f>CONCATENATE("          ", "5545", " - ", "FREIGHT-IN-SPECIAL ORDERS")</f>
        <v xml:space="preserve">          5545 - FREIGHT-IN-SPECIAL ORDERS</v>
      </c>
      <c r="C161" s="11"/>
      <c r="D161" s="2">
        <v>225.93</v>
      </c>
      <c r="E161" s="2"/>
      <c r="F161" s="19">
        <f t="shared" si="29"/>
        <v>9.6703470170619811E-4</v>
      </c>
      <c r="G161" s="2"/>
      <c r="H161" s="2">
        <v>322.61</v>
      </c>
      <c r="I161" s="2"/>
      <c r="J161" s="19">
        <f t="shared" si="30"/>
        <v>4.9482134742210356E-4</v>
      </c>
      <c r="K161" s="2"/>
      <c r="L161" s="2">
        <f t="shared" si="31"/>
        <v>-96.68</v>
      </c>
      <c r="M161" s="2"/>
      <c r="N161" s="19">
        <f t="shared" si="32"/>
        <v>-0.29968072905365611</v>
      </c>
      <c r="O161" s="11"/>
      <c r="P161" s="2">
        <v>1113.79</v>
      </c>
      <c r="Q161" s="2"/>
      <c r="R161" s="19">
        <f t="shared" si="33"/>
        <v>4.1233138385367112E-4</v>
      </c>
      <c r="S161" s="2"/>
      <c r="T161" s="2">
        <v>827.67</v>
      </c>
      <c r="U161" s="2"/>
      <c r="V161" s="19">
        <f t="shared" si="34"/>
        <v>1.1588807761976131E-4</v>
      </c>
      <c r="W161" s="2"/>
      <c r="X161" s="2">
        <f t="shared" si="35"/>
        <v>286.12</v>
      </c>
      <c r="Y161" s="2"/>
      <c r="Z161" s="19">
        <f t="shared" si="36"/>
        <v>0.34569333188348017</v>
      </c>
    </row>
    <row r="162" spans="1:26" s="24" customFormat="1" hidden="1" outlineLevel="1" x14ac:dyDescent="0.25">
      <c r="A162" s="44"/>
      <c r="B162" s="11" t="str">
        <f>CONCATENATE("          ", "5592", " - ", "FREIGHT-IN-GRAD MERCH")</f>
        <v xml:space="preserve">          5592 - FREIGHT-IN-GRAD MERCH</v>
      </c>
      <c r="C162" s="11"/>
      <c r="D162" s="2"/>
      <c r="E162" s="2"/>
      <c r="F162" s="19">
        <f t="shared" si="29"/>
        <v>0</v>
      </c>
      <c r="G162" s="2"/>
      <c r="H162" s="2"/>
      <c r="I162" s="2"/>
      <c r="J162" s="19">
        <f t="shared" si="30"/>
        <v>0</v>
      </c>
      <c r="K162" s="2"/>
      <c r="L162" s="2">
        <f t="shared" si="31"/>
        <v>0</v>
      </c>
      <c r="M162" s="2"/>
      <c r="N162" s="19">
        <f t="shared" si="32"/>
        <v>0</v>
      </c>
      <c r="O162" s="11"/>
      <c r="P162" s="2"/>
      <c r="Q162" s="2"/>
      <c r="R162" s="19">
        <f t="shared" si="33"/>
        <v>0</v>
      </c>
      <c r="S162" s="2"/>
      <c r="T162" s="2">
        <v>105.78</v>
      </c>
      <c r="U162" s="2"/>
      <c r="V162" s="19">
        <f t="shared" si="34"/>
        <v>1.4811024744908419E-5</v>
      </c>
      <c r="W162" s="2"/>
      <c r="X162" s="2">
        <f t="shared" si="35"/>
        <v>-105.78</v>
      </c>
      <c r="Y162" s="2"/>
      <c r="Z162" s="19">
        <f t="shared" si="36"/>
        <v>-1</v>
      </c>
    </row>
    <row r="163" spans="1:26" x14ac:dyDescent="0.25">
      <c r="A163" s="9"/>
      <c r="B163" s="10"/>
      <c r="C163" s="10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O163" s="10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x14ac:dyDescent="0.25">
      <c r="A164" s="10"/>
      <c r="B164" s="28" t="s">
        <v>6</v>
      </c>
      <c r="C164" s="28"/>
      <c r="D164" s="20">
        <f>D12-D110</f>
        <v>100491.96999999994</v>
      </c>
      <c r="E164" s="14"/>
      <c r="F164" s="21">
        <f>IF(D$12=0,0,D164/D$12)</f>
        <v>0.43012978459176804</v>
      </c>
      <c r="G164" s="14"/>
      <c r="H164" s="20">
        <f>H12-H110</f>
        <v>362405.66000000003</v>
      </c>
      <c r="I164" s="14"/>
      <c r="J164" s="21">
        <f>IF(H$12=0,0,H164/H$12)</f>
        <v>0.55586019340564996</v>
      </c>
      <c r="K164" s="15"/>
      <c r="L164" s="20">
        <f>+D164-H164</f>
        <v>-261913.69000000009</v>
      </c>
      <c r="M164" s="15"/>
      <c r="N164" s="21">
        <f>IF(H164=0,0,L164/H164)</f>
        <v>-0.7227086078070637</v>
      </c>
      <c r="O164" s="29"/>
      <c r="P164" s="20">
        <f>P12-P110</f>
        <v>957444.98999999929</v>
      </c>
      <c r="Q164" s="14"/>
      <c r="R164" s="21">
        <f>IF(P$12=0,0,P164/P$12)</f>
        <v>0.3544515731784843</v>
      </c>
      <c r="S164" s="14"/>
      <c r="T164" s="20">
        <f>T12-T110</f>
        <v>3147291.6299999994</v>
      </c>
      <c r="U164" s="14"/>
      <c r="V164" s="21">
        <f>IF(T$12=0,0,T164/T$12)</f>
        <v>0.44067512016801991</v>
      </c>
      <c r="W164" s="15"/>
      <c r="X164" s="20">
        <f>+P164-T164</f>
        <v>-2189846.64</v>
      </c>
      <c r="Y164" s="15"/>
      <c r="Z164" s="21">
        <f>IF(T164=0,0,X164/T164)</f>
        <v>-0.69578764774333945</v>
      </c>
    </row>
    <row r="165" spans="1:26" x14ac:dyDescent="0.25">
      <c r="A165" s="9"/>
      <c r="B165" s="10"/>
      <c r="C165" s="9"/>
      <c r="D165" s="1"/>
      <c r="E165" s="1"/>
      <c r="F165" s="5"/>
      <c r="G165" s="1"/>
      <c r="H165" s="1"/>
      <c r="I165" s="1"/>
      <c r="J165" s="5"/>
      <c r="K165" s="1"/>
      <c r="L165" s="1"/>
      <c r="M165" s="1"/>
      <c r="N165" s="5"/>
      <c r="O165" s="37"/>
      <c r="P165" s="1"/>
      <c r="Q165" s="1"/>
      <c r="R165" s="5"/>
      <c r="S165" s="1"/>
      <c r="T165" s="1"/>
      <c r="U165" s="1"/>
      <c r="V165" s="5"/>
      <c r="W165" s="1"/>
      <c r="X165" s="1"/>
      <c r="Y165" s="1"/>
      <c r="Z165" s="5"/>
    </row>
    <row r="166" spans="1:26" s="23" customFormat="1" x14ac:dyDescent="0.25">
      <c r="A166" s="10"/>
      <c r="B166" s="29" t="s">
        <v>9</v>
      </c>
      <c r="C166" s="10"/>
      <c r="D166" s="22">
        <f>SUM(OSRRefD22x_0)</f>
        <v>269056.45000000007</v>
      </c>
      <c r="E166" s="22"/>
      <c r="F166" s="36">
        <f t="shared" ref="F166:F177" si="37">IF(D$12=0,0,D166/D$12)</f>
        <v>1.1516262730397853</v>
      </c>
      <c r="G166" s="22"/>
      <c r="H166" s="22">
        <f>SUM(OSRRefH22x_0)</f>
        <v>443824.78000000009</v>
      </c>
      <c r="I166" s="22"/>
      <c r="J166" s="36">
        <f t="shared" ref="J166:J177" si="38">IF(H$12=0,0,H166/H$12)</f>
        <v>0.68074137707733395</v>
      </c>
      <c r="K166" s="4"/>
      <c r="L166" s="22">
        <f t="shared" ref="L166:L177" si="39">+D166-H166</f>
        <v>-174768.33000000002</v>
      </c>
      <c r="M166" s="4"/>
      <c r="N166" s="36">
        <f t="shared" ref="N166:N177" si="40">IF(H166=0,0,L166/H166)</f>
        <v>-0.39377776518021362</v>
      </c>
      <c r="O166" s="10"/>
      <c r="P166" s="22">
        <f>SUM(OSRRefP22x_0)</f>
        <v>1779436.0699999994</v>
      </c>
      <c r="Q166" s="22"/>
      <c r="R166" s="36">
        <f t="shared" ref="R166:R177" si="41">IF(P$12=0,0,P166/P$12)</f>
        <v>0.65875733955434845</v>
      </c>
      <c r="S166" s="22"/>
      <c r="T166" s="22">
        <f>SUM(OSRRefT22x_0)</f>
        <v>2878760.8899999992</v>
      </c>
      <c r="U166" s="22"/>
      <c r="V166" s="36">
        <f t="shared" ref="V166:V177" si="42">IF(T$12=0,0,T166/T$12)</f>
        <v>0.40307618431144426</v>
      </c>
      <c r="W166" s="4"/>
      <c r="X166" s="22">
        <f t="shared" ref="X166:X177" si="43">+P166-T166</f>
        <v>-1099324.8199999998</v>
      </c>
      <c r="Y166" s="4"/>
      <c r="Z166" s="36">
        <f t="shared" ref="Z166:Z177" si="44">IF(T166=0,0,X166/T166)</f>
        <v>-0.38187430703909558</v>
      </c>
    </row>
    <row r="167" spans="1:26" s="25" customFormat="1" outlineLevel="1" collapsed="1" x14ac:dyDescent="0.25">
      <c r="A167" s="26"/>
      <c r="B167" s="13" t="str">
        <f>CONCATENATE("     ","*Benefits                                         ")</f>
        <v xml:space="preserve">     *Benefits                                         </v>
      </c>
      <c r="C167" s="13"/>
      <c r="D167" s="1">
        <f>SUM(OSRRefD22_0x_0)</f>
        <v>45950.22</v>
      </c>
      <c r="E167" s="1"/>
      <c r="F167" s="5">
        <f t="shared" si="37"/>
        <v>0.19667798561959093</v>
      </c>
      <c r="G167" s="1"/>
      <c r="H167" s="1">
        <f>SUM(OSRRefH22_0x_0)</f>
        <v>52799.060000000005</v>
      </c>
      <c r="I167" s="1"/>
      <c r="J167" s="5">
        <f t="shared" si="38"/>
        <v>8.0983546733890743E-2</v>
      </c>
      <c r="K167" s="1"/>
      <c r="L167" s="1">
        <f t="shared" si="39"/>
        <v>-6848.8400000000038</v>
      </c>
      <c r="M167" s="1"/>
      <c r="N167" s="5">
        <f t="shared" si="40"/>
        <v>-0.12971518811130356</v>
      </c>
      <c r="O167" s="13"/>
      <c r="P167" s="1">
        <f>SUM(OSRRefP22_0x_0)</f>
        <v>302889.86</v>
      </c>
      <c r="Q167" s="1"/>
      <c r="R167" s="5">
        <f t="shared" si="41"/>
        <v>0.11213154645763089</v>
      </c>
      <c r="S167" s="1"/>
      <c r="T167" s="1">
        <f>SUM(OSRRefT22_0x_0)</f>
        <v>385790.86000000004</v>
      </c>
      <c r="U167" s="1"/>
      <c r="V167" s="5">
        <f t="shared" si="42"/>
        <v>5.4017375437885234E-2</v>
      </c>
      <c r="W167" s="1"/>
      <c r="X167" s="1">
        <f t="shared" si="43"/>
        <v>-82901.000000000058</v>
      </c>
      <c r="Y167" s="1"/>
      <c r="Z167" s="5">
        <f t="shared" si="44"/>
        <v>-0.21488585810457006</v>
      </c>
    </row>
    <row r="168" spans="1:26" s="24" customFormat="1" hidden="1" outlineLevel="2" x14ac:dyDescent="0.25">
      <c r="A168" s="27"/>
      <c r="B168" s="11" t="str">
        <f>CONCATENATE("          ", "6111", " - ", "F.I.C.A.")</f>
        <v xml:space="preserve">          6111 - F.I.C.A.</v>
      </c>
      <c r="C168" s="11"/>
      <c r="D168" s="7">
        <v>7317.04</v>
      </c>
      <c r="E168" s="2"/>
      <c r="F168" s="6">
        <f t="shared" si="37"/>
        <v>3.1318689832126413E-2</v>
      </c>
      <c r="G168" s="2"/>
      <c r="H168" s="7">
        <v>7919.71</v>
      </c>
      <c r="I168" s="2"/>
      <c r="J168" s="6">
        <f t="shared" si="38"/>
        <v>1.2147303472900118E-2</v>
      </c>
      <c r="K168" s="2"/>
      <c r="L168" s="7">
        <f t="shared" si="39"/>
        <v>-602.67000000000007</v>
      </c>
      <c r="M168" s="2"/>
      <c r="N168" s="6">
        <f t="shared" si="40"/>
        <v>-7.6097483367446539E-2</v>
      </c>
      <c r="O168" s="11"/>
      <c r="P168" s="7">
        <v>59426.919999999991</v>
      </c>
      <c r="Q168" s="2"/>
      <c r="R168" s="6">
        <f t="shared" si="41"/>
        <v>2.2000183303640185E-2</v>
      </c>
      <c r="S168" s="2"/>
      <c r="T168" s="7">
        <v>74928.08</v>
      </c>
      <c r="U168" s="2"/>
      <c r="V168" s="6">
        <f t="shared" si="42"/>
        <v>1.0491223737648683E-2</v>
      </c>
      <c r="W168" s="2"/>
      <c r="X168" s="7">
        <f t="shared" si="43"/>
        <v>-15501.160000000011</v>
      </c>
      <c r="Y168" s="2"/>
      <c r="Z168" s="6">
        <f t="shared" si="44"/>
        <v>-0.20688051795802068</v>
      </c>
    </row>
    <row r="169" spans="1:26" s="24" customFormat="1" hidden="1" outlineLevel="2" x14ac:dyDescent="0.25">
      <c r="A169" s="27"/>
      <c r="B169" s="11" t="str">
        <f>CONCATENATE("          ", "6112", " - ", "COMPENSATION INSURANCE")</f>
        <v xml:space="preserve">          6112 - COMPENSATION INSURANCE</v>
      </c>
      <c r="C169" s="11"/>
      <c r="D169" s="7">
        <v>2948.75</v>
      </c>
      <c r="E169" s="2"/>
      <c r="F169" s="6">
        <f t="shared" si="37"/>
        <v>1.2621358724632195E-2</v>
      </c>
      <c r="G169" s="2"/>
      <c r="H169" s="7">
        <v>4389.6899999999996</v>
      </c>
      <c r="I169" s="2"/>
      <c r="J169" s="6">
        <f t="shared" si="38"/>
        <v>6.7329354966223411E-3</v>
      </c>
      <c r="K169" s="2"/>
      <c r="L169" s="7">
        <f t="shared" si="39"/>
        <v>-1440.9399999999996</v>
      </c>
      <c r="M169" s="2"/>
      <c r="N169" s="6">
        <f t="shared" si="40"/>
        <v>-0.32825552601664348</v>
      </c>
      <c r="O169" s="11"/>
      <c r="P169" s="7">
        <v>16516.080000000002</v>
      </c>
      <c r="Q169" s="2"/>
      <c r="R169" s="6">
        <f t="shared" si="41"/>
        <v>6.1143466203125735E-3</v>
      </c>
      <c r="S169" s="2"/>
      <c r="T169" s="7">
        <v>18835.580000000002</v>
      </c>
      <c r="U169" s="2"/>
      <c r="V169" s="6">
        <f t="shared" si="42"/>
        <v>2.6373061208612419E-3</v>
      </c>
      <c r="W169" s="2"/>
      <c r="X169" s="7">
        <f t="shared" si="43"/>
        <v>-2319.5</v>
      </c>
      <c r="Y169" s="2"/>
      <c r="Z169" s="6">
        <f t="shared" si="44"/>
        <v>-0.12314460186519341</v>
      </c>
    </row>
    <row r="170" spans="1:26" s="24" customFormat="1" hidden="1" outlineLevel="2" x14ac:dyDescent="0.25">
      <c r="A170" s="27"/>
      <c r="B170" s="11" t="str">
        <f>CONCATENATE("          ", "6113", " - ", "GROUP INSURANCE")</f>
        <v xml:space="preserve">          6113 - GROUP INSURANCE</v>
      </c>
      <c r="C170" s="11"/>
      <c r="D170" s="7">
        <v>17637.66</v>
      </c>
      <c r="E170" s="2"/>
      <c r="F170" s="6">
        <f t="shared" si="37"/>
        <v>7.549342396713736E-2</v>
      </c>
      <c r="G170" s="2"/>
      <c r="H170" s="7">
        <v>21144.53</v>
      </c>
      <c r="I170" s="2"/>
      <c r="J170" s="6">
        <f t="shared" si="38"/>
        <v>3.2431619680751027E-2</v>
      </c>
      <c r="K170" s="2"/>
      <c r="L170" s="7">
        <f t="shared" si="39"/>
        <v>-3506.869999999999</v>
      </c>
      <c r="M170" s="2"/>
      <c r="N170" s="6">
        <f t="shared" si="40"/>
        <v>-0.16585235046605432</v>
      </c>
      <c r="O170" s="11"/>
      <c r="P170" s="7">
        <v>106465.42</v>
      </c>
      <c r="Q170" s="2"/>
      <c r="R170" s="6">
        <f t="shared" si="41"/>
        <v>3.9414103162321724E-2</v>
      </c>
      <c r="S170" s="2"/>
      <c r="T170" s="7">
        <v>147755.35999999999</v>
      </c>
      <c r="U170" s="2"/>
      <c r="V170" s="6">
        <f t="shared" si="42"/>
        <v>2.0688299235704779E-2</v>
      </c>
      <c r="W170" s="2"/>
      <c r="X170" s="7">
        <f t="shared" si="43"/>
        <v>-41289.939999999988</v>
      </c>
      <c r="Y170" s="2"/>
      <c r="Z170" s="6">
        <f t="shared" si="44"/>
        <v>-0.27944800107420803</v>
      </c>
    </row>
    <row r="171" spans="1:26" s="24" customFormat="1" hidden="1" outlineLevel="2" x14ac:dyDescent="0.25">
      <c r="A171" s="27"/>
      <c r="B171" s="11" t="str">
        <f>CONCATENATE("          ", "6114", " - ", "STATE UNEMPLOYMENT INSURANCE")</f>
        <v xml:space="preserve">          6114 - STATE UNEMPLOYMENT INSURANCE</v>
      </c>
      <c r="C171" s="11"/>
      <c r="D171" s="7"/>
      <c r="E171" s="2"/>
      <c r="F171" s="6">
        <f t="shared" si="37"/>
        <v>0</v>
      </c>
      <c r="G171" s="2"/>
      <c r="H171" s="7">
        <v>737.07</v>
      </c>
      <c r="I171" s="2"/>
      <c r="J171" s="6">
        <f t="shared" si="38"/>
        <v>1.1305228311100396E-3</v>
      </c>
      <c r="K171" s="2"/>
      <c r="L171" s="7">
        <f t="shared" si="39"/>
        <v>-737.07</v>
      </c>
      <c r="M171" s="2"/>
      <c r="N171" s="6">
        <f t="shared" si="40"/>
        <v>-1</v>
      </c>
      <c r="O171" s="11"/>
      <c r="P171" s="7">
        <v>2080.42</v>
      </c>
      <c r="Q171" s="2"/>
      <c r="R171" s="6">
        <f t="shared" si="41"/>
        <v>7.7018329990110755E-4</v>
      </c>
      <c r="S171" s="2"/>
      <c r="T171" s="7">
        <v>3827.42</v>
      </c>
      <c r="U171" s="2"/>
      <c r="V171" s="6">
        <f t="shared" si="42"/>
        <v>5.3590482443899962E-4</v>
      </c>
      <c r="W171" s="2"/>
      <c r="X171" s="7">
        <f t="shared" si="43"/>
        <v>-1747</v>
      </c>
      <c r="Y171" s="2"/>
      <c r="Z171" s="6">
        <f t="shared" si="44"/>
        <v>-0.45644324375166562</v>
      </c>
    </row>
    <row r="172" spans="1:26" s="24" customFormat="1" hidden="1" outlineLevel="2" x14ac:dyDescent="0.25">
      <c r="A172" s="27"/>
      <c r="B172" s="11" t="str">
        <f>CONCATENATE("          ", "6115", " - ", "P.E.R.S.")</f>
        <v xml:space="preserve">          6115 - P.E.R.S.</v>
      </c>
      <c r="C172" s="11"/>
      <c r="D172" s="7">
        <v>6456.79</v>
      </c>
      <c r="E172" s="2"/>
      <c r="F172" s="6">
        <f t="shared" si="37"/>
        <v>2.7636613073206581E-2</v>
      </c>
      <c r="G172" s="2"/>
      <c r="H172" s="7">
        <v>7308.37</v>
      </c>
      <c r="I172" s="2"/>
      <c r="J172" s="6">
        <f t="shared" si="38"/>
        <v>1.1209626145684506E-2</v>
      </c>
      <c r="K172" s="2"/>
      <c r="L172" s="7">
        <f t="shared" si="39"/>
        <v>-851.57999999999993</v>
      </c>
      <c r="M172" s="2"/>
      <c r="N172" s="6">
        <f t="shared" si="40"/>
        <v>-0.11652119419241225</v>
      </c>
      <c r="O172" s="11"/>
      <c r="P172" s="7">
        <v>45543.539999999994</v>
      </c>
      <c r="Q172" s="2"/>
      <c r="R172" s="6">
        <f t="shared" si="41"/>
        <v>1.686047717594432E-2</v>
      </c>
      <c r="S172" s="2"/>
      <c r="T172" s="7">
        <v>51418.71</v>
      </c>
      <c r="U172" s="2"/>
      <c r="V172" s="6">
        <f t="shared" si="42"/>
        <v>7.1995063921466247E-3</v>
      </c>
      <c r="W172" s="2"/>
      <c r="X172" s="7">
        <f t="shared" si="43"/>
        <v>-5875.1700000000055</v>
      </c>
      <c r="Y172" s="2"/>
      <c r="Z172" s="6">
        <f t="shared" si="44"/>
        <v>-0.11426132627598019</v>
      </c>
    </row>
    <row r="173" spans="1:26" s="24" customFormat="1" hidden="1" outlineLevel="2" x14ac:dyDescent="0.25">
      <c r="A173" s="27"/>
      <c r="B173" s="11" t="str">
        <f>CONCATENATE("          ", "6116", " - ", "EDUCATIONAL BENEFITS")</f>
        <v xml:space="preserve">          6116 - EDUCATIONAL BENEFITS</v>
      </c>
      <c r="C173" s="11"/>
      <c r="D173" s="7"/>
      <c r="E173" s="2"/>
      <c r="F173" s="6">
        <f t="shared" si="37"/>
        <v>0</v>
      </c>
      <c r="G173" s="2"/>
      <c r="H173" s="7"/>
      <c r="I173" s="2"/>
      <c r="J173" s="6">
        <f t="shared" si="38"/>
        <v>0</v>
      </c>
      <c r="K173" s="2"/>
      <c r="L173" s="7">
        <f t="shared" si="39"/>
        <v>0</v>
      </c>
      <c r="M173" s="2"/>
      <c r="N173" s="6">
        <f t="shared" si="40"/>
        <v>0</v>
      </c>
      <c r="O173" s="11"/>
      <c r="P173" s="7">
        <v>0</v>
      </c>
      <c r="Q173" s="2"/>
      <c r="R173" s="6">
        <f t="shared" si="41"/>
        <v>0</v>
      </c>
      <c r="S173" s="2"/>
      <c r="T173" s="7"/>
      <c r="U173" s="2"/>
      <c r="V173" s="6">
        <f t="shared" si="42"/>
        <v>0</v>
      </c>
      <c r="W173" s="2"/>
      <c r="X173" s="7">
        <f t="shared" si="43"/>
        <v>0</v>
      </c>
      <c r="Y173" s="2"/>
      <c r="Z173" s="6">
        <f t="shared" si="44"/>
        <v>0</v>
      </c>
    </row>
    <row r="174" spans="1:26" s="24" customFormat="1" hidden="1" outlineLevel="2" x14ac:dyDescent="0.25">
      <c r="A174" s="27"/>
      <c r="B174" s="11" t="str">
        <f>CONCATENATE("          ", "6117", " - ", "RETIREMENT STAFF HOURLY")</f>
        <v xml:space="preserve">          6117 - RETIREMENT STAFF HOURLY</v>
      </c>
      <c r="C174" s="11"/>
      <c r="D174" s="7">
        <v>440.47</v>
      </c>
      <c r="E174" s="2"/>
      <c r="F174" s="6">
        <f t="shared" si="37"/>
        <v>1.8853174658545972E-3</v>
      </c>
      <c r="G174" s="2"/>
      <c r="H174" s="7">
        <v>92.54</v>
      </c>
      <c r="I174" s="2"/>
      <c r="J174" s="6">
        <f t="shared" si="38"/>
        <v>1.4193846282025189E-4</v>
      </c>
      <c r="K174" s="2"/>
      <c r="L174" s="7">
        <f t="shared" si="39"/>
        <v>347.93</v>
      </c>
      <c r="M174" s="2"/>
      <c r="N174" s="6">
        <f t="shared" si="40"/>
        <v>3.7597795547871189</v>
      </c>
      <c r="O174" s="11"/>
      <c r="P174" s="7">
        <v>1734.12</v>
      </c>
      <c r="Q174" s="2"/>
      <c r="R174" s="6">
        <f t="shared" si="41"/>
        <v>6.4198107306433726E-4</v>
      </c>
      <c r="S174" s="2"/>
      <c r="T174" s="7">
        <v>738.74</v>
      </c>
      <c r="U174" s="2"/>
      <c r="V174" s="6">
        <f t="shared" si="42"/>
        <v>1.0343634354371002E-4</v>
      </c>
      <c r="W174" s="2"/>
      <c r="X174" s="7">
        <f t="shared" si="43"/>
        <v>995.37999999999988</v>
      </c>
      <c r="Y174" s="2"/>
      <c r="Z174" s="6">
        <f t="shared" si="44"/>
        <v>1.3474023337033325</v>
      </c>
    </row>
    <row r="175" spans="1:26" s="24" customFormat="1" hidden="1" outlineLevel="2" x14ac:dyDescent="0.25">
      <c r="A175" s="27"/>
      <c r="B175" s="11" t="str">
        <f>CONCATENATE("          ", "6118", " - ", "VACATION")</f>
        <v xml:space="preserve">          6118 - VACATION</v>
      </c>
      <c r="C175" s="11"/>
      <c r="D175" s="7">
        <v>5850.94</v>
      </c>
      <c r="E175" s="2"/>
      <c r="F175" s="6">
        <f t="shared" si="37"/>
        <v>2.504342945868571E-2</v>
      </c>
      <c r="G175" s="2"/>
      <c r="H175" s="7">
        <v>5041.07</v>
      </c>
      <c r="I175" s="2"/>
      <c r="J175" s="6">
        <f t="shared" si="38"/>
        <v>7.7320264401262925E-3</v>
      </c>
      <c r="K175" s="2"/>
      <c r="L175" s="7">
        <f t="shared" si="39"/>
        <v>809.86999999999989</v>
      </c>
      <c r="M175" s="2"/>
      <c r="N175" s="6">
        <f t="shared" si="40"/>
        <v>0.16065438488257452</v>
      </c>
      <c r="O175" s="11"/>
      <c r="P175" s="7">
        <v>35672.25</v>
      </c>
      <c r="Q175" s="2"/>
      <c r="R175" s="6">
        <f t="shared" si="41"/>
        <v>1.320606955321391E-2</v>
      </c>
      <c r="S175" s="2"/>
      <c r="T175" s="7">
        <v>41438.879999999997</v>
      </c>
      <c r="U175" s="2"/>
      <c r="V175" s="6">
        <f t="shared" si="42"/>
        <v>5.8021580363139588E-3</v>
      </c>
      <c r="W175" s="2"/>
      <c r="X175" s="7">
        <f t="shared" si="43"/>
        <v>-5766.6299999999974</v>
      </c>
      <c r="Y175" s="2"/>
      <c r="Z175" s="6">
        <f t="shared" si="44"/>
        <v>-0.13915989042174878</v>
      </c>
    </row>
    <row r="176" spans="1:26" s="24" customFormat="1" hidden="1" outlineLevel="2" x14ac:dyDescent="0.25">
      <c r="A176" s="27"/>
      <c r="B176" s="11" t="str">
        <f>CONCATENATE("          ", "6119", " - ", "SICK LEAVE")</f>
        <v xml:space="preserve">          6119 - SICK LEAVE</v>
      </c>
      <c r="C176" s="11"/>
      <c r="D176" s="7">
        <v>4031.99</v>
      </c>
      <c r="E176" s="2"/>
      <c r="F176" s="6">
        <f t="shared" si="37"/>
        <v>1.7257886278636628E-2</v>
      </c>
      <c r="G176" s="2"/>
      <c r="H176" s="7">
        <v>3745.75</v>
      </c>
      <c r="I176" s="2"/>
      <c r="J176" s="6">
        <f t="shared" si="38"/>
        <v>5.7452560742269126E-3</v>
      </c>
      <c r="K176" s="2"/>
      <c r="L176" s="7">
        <f t="shared" si="39"/>
        <v>286.23999999999978</v>
      </c>
      <c r="M176" s="2"/>
      <c r="N176" s="6">
        <f t="shared" si="40"/>
        <v>7.6417272909297146E-2</v>
      </c>
      <c r="O176" s="11"/>
      <c r="P176" s="7">
        <v>25828.289999999997</v>
      </c>
      <c r="Q176" s="2"/>
      <c r="R176" s="6">
        <f t="shared" si="41"/>
        <v>9.5617796517062769E-3</v>
      </c>
      <c r="S176" s="2"/>
      <c r="T176" s="7">
        <v>31539.329999999998</v>
      </c>
      <c r="U176" s="2"/>
      <c r="V176" s="6">
        <f t="shared" si="42"/>
        <v>4.4160502653415807E-3</v>
      </c>
      <c r="W176" s="2"/>
      <c r="X176" s="7">
        <f t="shared" si="43"/>
        <v>-5711.0400000000009</v>
      </c>
      <c r="Y176" s="2"/>
      <c r="Z176" s="6">
        <f t="shared" si="44"/>
        <v>-0.18107676986162993</v>
      </c>
    </row>
    <row r="177" spans="1:26" s="24" customFormat="1" hidden="1" outlineLevel="2" x14ac:dyDescent="0.25">
      <c r="A177" s="27"/>
      <c r="B177" s="11" t="str">
        <f>CONCATENATE("          ", "6156", " - ", "EMPLOYEE MEALS")</f>
        <v xml:space="preserve">          6156 - EMPLOYEE MEALS</v>
      </c>
      <c r="C177" s="11"/>
      <c r="D177" s="7">
        <v>1266.58</v>
      </c>
      <c r="E177" s="2"/>
      <c r="F177" s="6">
        <f t="shared" si="37"/>
        <v>5.4212668193114521E-3</v>
      </c>
      <c r="G177" s="2"/>
      <c r="H177" s="7">
        <v>2420.33</v>
      </c>
      <c r="I177" s="2"/>
      <c r="J177" s="6">
        <f t="shared" si="38"/>
        <v>3.712318129649235E-3</v>
      </c>
      <c r="K177" s="2"/>
      <c r="L177" s="7">
        <f t="shared" si="39"/>
        <v>-1153.75</v>
      </c>
      <c r="M177" s="2"/>
      <c r="N177" s="6">
        <f t="shared" si="40"/>
        <v>-0.47669119500233442</v>
      </c>
      <c r="O177" s="11"/>
      <c r="P177" s="7">
        <v>9622.82</v>
      </c>
      <c r="Q177" s="2"/>
      <c r="R177" s="6">
        <f t="shared" si="41"/>
        <v>3.5624226175264488E-3</v>
      </c>
      <c r="S177" s="2"/>
      <c r="T177" s="7">
        <v>15308.76</v>
      </c>
      <c r="U177" s="2"/>
      <c r="V177" s="6">
        <f t="shared" si="42"/>
        <v>2.1434904818856517E-3</v>
      </c>
      <c r="W177" s="2"/>
      <c r="X177" s="7">
        <f t="shared" si="43"/>
        <v>-5685.9400000000005</v>
      </c>
      <c r="Y177" s="2"/>
      <c r="Z177" s="6">
        <f t="shared" si="44"/>
        <v>-0.37141741068512413</v>
      </c>
    </row>
    <row r="178" spans="1:26" s="25" customFormat="1" outlineLevel="1" collapsed="1" x14ac:dyDescent="0.25">
      <c r="A178" s="26"/>
      <c r="B178" s="13" t="str">
        <f>CONCATENATE("     ","*Payroll                                          ")</f>
        <v xml:space="preserve">     *Payroll                                          </v>
      </c>
      <c r="C178" s="13"/>
      <c r="D178" s="1">
        <f>SUM(OSRRefD22_1x_0)</f>
        <v>119812.64000000001</v>
      </c>
      <c r="E178" s="1"/>
      <c r="F178" s="5">
        <f t="shared" ref="F178:F185" si="45">IF(D$12=0,0,D178/D$12)</f>
        <v>0.51282689586611829</v>
      </c>
      <c r="G178" s="1"/>
      <c r="H178" s="1">
        <f>SUM(OSRRefH22_1x_0)</f>
        <v>187908.85</v>
      </c>
      <c r="I178" s="1"/>
      <c r="J178" s="5">
        <f t="shared" ref="J178:J185" si="46">IF(H$12=0,0,H178/H$12)</f>
        <v>0.28821583444263332</v>
      </c>
      <c r="K178" s="1"/>
      <c r="L178" s="1">
        <f t="shared" ref="L178:L185" si="47">+D178-H178</f>
        <v>-68096.209999999992</v>
      </c>
      <c r="M178" s="1"/>
      <c r="N178" s="5">
        <f t="shared" ref="N178:N185" si="48">IF(H178=0,0,L178/H178)</f>
        <v>-0.36238958409888616</v>
      </c>
      <c r="O178" s="13"/>
      <c r="P178" s="1">
        <f>SUM(OSRRefP22_1x_0)</f>
        <v>772182.87999999989</v>
      </c>
      <c r="Q178" s="1"/>
      <c r="R178" s="5">
        <f t="shared" ref="R178:R185" si="49">IF(P$12=0,0,P178/P$12)</f>
        <v>0.28586648784646407</v>
      </c>
      <c r="S178" s="1"/>
      <c r="T178" s="1">
        <f>SUM(OSRRefT22_1x_0)</f>
        <v>1351809.29</v>
      </c>
      <c r="U178" s="1"/>
      <c r="V178" s="5">
        <f t="shared" ref="V178:V185" si="50">IF(T$12=0,0,T178/T$12)</f>
        <v>0.18927661982025981</v>
      </c>
      <c r="W178" s="1"/>
      <c r="X178" s="1">
        <f t="shared" ref="X178:X185" si="51">+P178-T178</f>
        <v>-579626.41000000015</v>
      </c>
      <c r="Y178" s="1"/>
      <c r="Z178" s="5">
        <f t="shared" ref="Z178:Z185" si="52">IF(T178=0,0,X178/T178)</f>
        <v>-0.42877824134497561</v>
      </c>
    </row>
    <row r="179" spans="1:26" s="24" customFormat="1" hidden="1" outlineLevel="2" x14ac:dyDescent="0.25">
      <c r="A179" s="27"/>
      <c r="B179" s="11" t="str">
        <f>CONCATENATE("          ", "6001", " - ", "ADMINISTRATIVE SALARIES")</f>
        <v xml:space="preserve">          6001 - ADMINISTRATIVE SALARIES</v>
      </c>
      <c r="C179" s="11"/>
      <c r="D179" s="7">
        <v>3745.16</v>
      </c>
      <c r="E179" s="2"/>
      <c r="F179" s="6">
        <f t="shared" si="45"/>
        <v>1.6030184939768887E-2</v>
      </c>
      <c r="G179" s="2"/>
      <c r="H179" s="7">
        <v>10181.280000000001</v>
      </c>
      <c r="I179" s="2"/>
      <c r="J179" s="6">
        <f t="shared" si="46"/>
        <v>1.5616114466636851E-2</v>
      </c>
      <c r="K179" s="2"/>
      <c r="L179" s="7">
        <f t="shared" si="47"/>
        <v>-6436.1200000000008</v>
      </c>
      <c r="M179" s="2"/>
      <c r="N179" s="6">
        <f t="shared" si="48"/>
        <v>-0.63215234233809503</v>
      </c>
      <c r="O179" s="11"/>
      <c r="P179" s="7">
        <v>24883.11</v>
      </c>
      <c r="Q179" s="2"/>
      <c r="R179" s="6">
        <f t="shared" si="49"/>
        <v>9.2118686474857228E-3</v>
      </c>
      <c r="S179" s="2"/>
      <c r="T179" s="7">
        <v>66982.11</v>
      </c>
      <c r="U179" s="2"/>
      <c r="V179" s="6">
        <f t="shared" si="50"/>
        <v>9.378650866668347E-3</v>
      </c>
      <c r="W179" s="2"/>
      <c r="X179" s="7">
        <f t="shared" si="51"/>
        <v>-42099</v>
      </c>
      <c r="Y179" s="2"/>
      <c r="Z179" s="6">
        <f t="shared" si="52"/>
        <v>-0.62851110542800159</v>
      </c>
    </row>
    <row r="180" spans="1:26" s="24" customFormat="1" hidden="1" outlineLevel="2" x14ac:dyDescent="0.25">
      <c r="A180" s="27"/>
      <c r="B180" s="11" t="str">
        <f>CONCATENATE("          ", "6002", " - ", "STAFF SALARIES")</f>
        <v xml:space="preserve">          6002 - STAFF SALARIES</v>
      </c>
      <c r="C180" s="11"/>
      <c r="D180" s="7">
        <v>60554.25</v>
      </c>
      <c r="E180" s="2"/>
      <c r="F180" s="6">
        <f t="shared" si="45"/>
        <v>0.25918674406140196</v>
      </c>
      <c r="G180" s="2"/>
      <c r="H180" s="7">
        <v>64347.6</v>
      </c>
      <c r="I180" s="2"/>
      <c r="J180" s="6">
        <f t="shared" si="46"/>
        <v>9.8696773613274683E-2</v>
      </c>
      <c r="K180" s="2"/>
      <c r="L180" s="7">
        <f t="shared" si="47"/>
        <v>-3793.3499999999985</v>
      </c>
      <c r="M180" s="2"/>
      <c r="N180" s="6">
        <f t="shared" si="48"/>
        <v>-5.8950916584301488E-2</v>
      </c>
      <c r="O180" s="11"/>
      <c r="P180" s="7">
        <v>375340.61000000004</v>
      </c>
      <c r="Q180" s="2"/>
      <c r="R180" s="6">
        <f t="shared" si="49"/>
        <v>0.13895322559708839</v>
      </c>
      <c r="S180" s="2"/>
      <c r="T180" s="7">
        <v>448129.45</v>
      </c>
      <c r="U180" s="2"/>
      <c r="V180" s="6">
        <f t="shared" si="50"/>
        <v>6.2745853402081678E-2</v>
      </c>
      <c r="W180" s="2"/>
      <c r="X180" s="7">
        <f t="shared" si="51"/>
        <v>-72788.839999999967</v>
      </c>
      <c r="Y180" s="2"/>
      <c r="Z180" s="6">
        <f t="shared" si="52"/>
        <v>-0.16242815552515008</v>
      </c>
    </row>
    <row r="181" spans="1:26" s="24" customFormat="1" hidden="1" outlineLevel="2" x14ac:dyDescent="0.25">
      <c r="A181" s="27"/>
      <c r="B181" s="11" t="str">
        <f>CONCATENATE("          ", "6004", " - ", "STAFF HOURLY")</f>
        <v xml:space="preserve">          6004 - STAFF HOURLY</v>
      </c>
      <c r="C181" s="11"/>
      <c r="D181" s="7">
        <v>15520.769999999999</v>
      </c>
      <c r="E181" s="2"/>
      <c r="F181" s="6">
        <f t="shared" si="45"/>
        <v>6.6432625977960014E-2</v>
      </c>
      <c r="G181" s="2"/>
      <c r="H181" s="7">
        <v>3238.83</v>
      </c>
      <c r="I181" s="2"/>
      <c r="J181" s="6">
        <f t="shared" si="46"/>
        <v>4.9677388322467734E-3</v>
      </c>
      <c r="K181" s="2"/>
      <c r="L181" s="7">
        <f t="shared" si="47"/>
        <v>12281.939999999999</v>
      </c>
      <c r="M181" s="2"/>
      <c r="N181" s="6">
        <f t="shared" si="48"/>
        <v>3.7920915886292268</v>
      </c>
      <c r="O181" s="11"/>
      <c r="P181" s="7">
        <v>91036.909999999989</v>
      </c>
      <c r="Q181" s="2"/>
      <c r="R181" s="6">
        <f t="shared" si="49"/>
        <v>3.3702381132944367E-2</v>
      </c>
      <c r="S181" s="2"/>
      <c r="T181" s="7">
        <v>16198.88</v>
      </c>
      <c r="U181" s="2"/>
      <c r="V181" s="6">
        <f t="shared" si="50"/>
        <v>2.2681226367914737E-3</v>
      </c>
      <c r="W181" s="2"/>
      <c r="X181" s="7">
        <f t="shared" si="51"/>
        <v>74838.029999999984</v>
      </c>
      <c r="Y181" s="2"/>
      <c r="Z181" s="6">
        <f t="shared" si="52"/>
        <v>4.6199508854933171</v>
      </c>
    </row>
    <row r="182" spans="1:26" s="24" customFormat="1" hidden="1" outlineLevel="2" x14ac:dyDescent="0.25">
      <c r="A182" s="27"/>
      <c r="B182" s="11" t="str">
        <f>CONCATENATE("          ", "6005", " - ", "TEMPORARY WAGES-HOURLY")</f>
        <v xml:space="preserve">          6005 - TEMPORARY WAGES-HOURLY</v>
      </c>
      <c r="C182" s="11"/>
      <c r="D182" s="7">
        <v>9577.32</v>
      </c>
      <c r="E182" s="2"/>
      <c r="F182" s="6">
        <f t="shared" si="45"/>
        <v>4.0993231484728922E-2</v>
      </c>
      <c r="G182" s="2"/>
      <c r="H182" s="7">
        <v>23411.83</v>
      </c>
      <c r="I182" s="2"/>
      <c r="J182" s="6">
        <f t="shared" si="46"/>
        <v>3.5909219386309248E-2</v>
      </c>
      <c r="K182" s="2"/>
      <c r="L182" s="7">
        <f t="shared" si="47"/>
        <v>-13834.510000000002</v>
      </c>
      <c r="M182" s="2"/>
      <c r="N182" s="6">
        <f t="shared" si="48"/>
        <v>-0.59091963336484166</v>
      </c>
      <c r="O182" s="11"/>
      <c r="P182" s="7">
        <v>99775.41</v>
      </c>
      <c r="Q182" s="2"/>
      <c r="R182" s="6">
        <f t="shared" si="49"/>
        <v>3.6937423463909193E-2</v>
      </c>
      <c r="S182" s="2"/>
      <c r="T182" s="7">
        <v>147658</v>
      </c>
      <c r="U182" s="2"/>
      <c r="V182" s="6">
        <f t="shared" si="50"/>
        <v>2.0674667156208047E-2</v>
      </c>
      <c r="W182" s="2"/>
      <c r="X182" s="7">
        <f t="shared" si="51"/>
        <v>-47882.59</v>
      </c>
      <c r="Y182" s="2"/>
      <c r="Z182" s="6">
        <f t="shared" si="52"/>
        <v>-0.32428036408457378</v>
      </c>
    </row>
    <row r="183" spans="1:26" s="24" customFormat="1" hidden="1" outlineLevel="2" x14ac:dyDescent="0.25">
      <c r="A183" s="27"/>
      <c r="B183" s="11" t="str">
        <f>CONCATENATE("          ", "6006", " - ", "TEMPORARY PART TIME")</f>
        <v xml:space="preserve">          6006 - TEMPORARY PART TIME</v>
      </c>
      <c r="C183" s="11"/>
      <c r="D183" s="7">
        <v>1432.35</v>
      </c>
      <c r="E183" s="2"/>
      <c r="F183" s="6">
        <f t="shared" si="45"/>
        <v>6.1308022617132425E-3</v>
      </c>
      <c r="G183" s="2"/>
      <c r="H183" s="7">
        <v>2224.13</v>
      </c>
      <c r="I183" s="2"/>
      <c r="J183" s="6">
        <f t="shared" si="46"/>
        <v>3.4113852746099722E-3</v>
      </c>
      <c r="K183" s="2"/>
      <c r="L183" s="7">
        <f t="shared" si="47"/>
        <v>-791.7800000000002</v>
      </c>
      <c r="M183" s="2"/>
      <c r="N183" s="6">
        <f t="shared" si="48"/>
        <v>-0.35599537796801456</v>
      </c>
      <c r="O183" s="11"/>
      <c r="P183" s="7">
        <v>9987.9599999999991</v>
      </c>
      <c r="Q183" s="2"/>
      <c r="R183" s="6">
        <f t="shared" si="49"/>
        <v>3.697599519366409E-3</v>
      </c>
      <c r="S183" s="2"/>
      <c r="T183" s="7">
        <v>30541.180000000004</v>
      </c>
      <c r="U183" s="2"/>
      <c r="V183" s="6">
        <f t="shared" si="50"/>
        <v>4.276292046877502E-3</v>
      </c>
      <c r="W183" s="2"/>
      <c r="X183" s="7">
        <f t="shared" si="51"/>
        <v>-20553.220000000005</v>
      </c>
      <c r="Y183" s="2"/>
      <c r="Z183" s="6">
        <f t="shared" si="52"/>
        <v>-0.67296744919482487</v>
      </c>
    </row>
    <row r="184" spans="1:26" s="24" customFormat="1" hidden="1" outlineLevel="2" x14ac:dyDescent="0.25">
      <c r="A184" s="27"/>
      <c r="B184" s="11" t="str">
        <f>CONCATENATE("          ", "6007", " - ", "STUDENT HOURLY")</f>
        <v xml:space="preserve">          6007 - STUDENT HOURLY</v>
      </c>
      <c r="C184" s="11"/>
      <c r="D184" s="7">
        <v>27899.63</v>
      </c>
      <c r="E184" s="2"/>
      <c r="F184" s="6">
        <f t="shared" si="45"/>
        <v>0.11941712200576859</v>
      </c>
      <c r="G184" s="2"/>
      <c r="H184" s="7">
        <v>82297.929999999993</v>
      </c>
      <c r="I184" s="2"/>
      <c r="J184" s="6">
        <f t="shared" si="46"/>
        <v>0.12622910825036407</v>
      </c>
      <c r="K184" s="2"/>
      <c r="L184" s="7">
        <f t="shared" si="47"/>
        <v>-54398.299999999988</v>
      </c>
      <c r="M184" s="2"/>
      <c r="N184" s="6">
        <f t="shared" si="48"/>
        <v>-0.66099232386525386</v>
      </c>
      <c r="O184" s="11"/>
      <c r="P184" s="7">
        <v>166228.43</v>
      </c>
      <c r="Q184" s="2"/>
      <c r="R184" s="6">
        <f t="shared" si="49"/>
        <v>6.1538708892810226E-2</v>
      </c>
      <c r="S184" s="2"/>
      <c r="T184" s="7">
        <v>627025.63</v>
      </c>
      <c r="U184" s="2"/>
      <c r="V184" s="6">
        <f t="shared" si="50"/>
        <v>8.7794404628680198E-2</v>
      </c>
      <c r="W184" s="2"/>
      <c r="X184" s="7">
        <f t="shared" si="51"/>
        <v>-460797.2</v>
      </c>
      <c r="Y184" s="2"/>
      <c r="Z184" s="6">
        <f t="shared" si="52"/>
        <v>-0.73489372356278326</v>
      </c>
    </row>
    <row r="185" spans="1:26" s="24" customFormat="1" hidden="1" outlineLevel="2" x14ac:dyDescent="0.25">
      <c r="A185" s="27"/>
      <c r="B185" s="11" t="str">
        <f>CONCATENATE("          ", "6008", " - ", "STUDENT HOURLY-FICA EXEMPT")</f>
        <v xml:space="preserve">          6008 - STUDENT HOURLY-FICA EXEMPT</v>
      </c>
      <c r="C185" s="11"/>
      <c r="D185" s="7">
        <v>1083.1600000000001</v>
      </c>
      <c r="E185" s="2"/>
      <c r="F185" s="6">
        <f t="shared" si="45"/>
        <v>4.636185134776637E-3</v>
      </c>
      <c r="G185" s="2"/>
      <c r="H185" s="7">
        <v>2207.25</v>
      </c>
      <c r="I185" s="2"/>
      <c r="J185" s="6">
        <f t="shared" si="46"/>
        <v>3.3854946191917111E-3</v>
      </c>
      <c r="K185" s="2"/>
      <c r="L185" s="7">
        <f t="shared" si="47"/>
        <v>-1124.0899999999999</v>
      </c>
      <c r="M185" s="2"/>
      <c r="N185" s="6">
        <f t="shared" si="48"/>
        <v>-0.50927171820138173</v>
      </c>
      <c r="O185" s="11"/>
      <c r="P185" s="7">
        <v>4930.45</v>
      </c>
      <c r="Q185" s="2"/>
      <c r="R185" s="6">
        <f t="shared" si="49"/>
        <v>1.8252805928598145E-3</v>
      </c>
      <c r="S185" s="2"/>
      <c r="T185" s="7">
        <v>15274.04</v>
      </c>
      <c r="U185" s="2"/>
      <c r="V185" s="6">
        <f t="shared" si="50"/>
        <v>2.1386290829525523E-3</v>
      </c>
      <c r="W185" s="2"/>
      <c r="X185" s="7">
        <f t="shared" si="51"/>
        <v>-10343.59</v>
      </c>
      <c r="Y185" s="2"/>
      <c r="Z185" s="6">
        <f t="shared" si="52"/>
        <v>-0.67720066203833429</v>
      </c>
    </row>
    <row r="186" spans="1:26" s="25" customFormat="1" outlineLevel="1" collapsed="1" x14ac:dyDescent="0.25">
      <c r="A186" s="26"/>
      <c r="B186" s="13" t="str">
        <f>CONCATENATE("     ","Advertising/Promo                                 ")</f>
        <v xml:space="preserve">     Advertising/Promo                                 </v>
      </c>
      <c r="C186" s="13"/>
      <c r="D186" s="1">
        <f>SUM(OSRRefD22_2x_0)</f>
        <v>343.98</v>
      </c>
      <c r="E186" s="1"/>
      <c r="F186" s="5">
        <f t="shared" ref="F186:F190" si="53">IF(D$12=0,0,D186/D$12)</f>
        <v>1.472317074726234E-3</v>
      </c>
      <c r="G186" s="1"/>
      <c r="H186" s="1">
        <f>SUM(OSRRefH22_2x_0)</f>
        <v>5299.49</v>
      </c>
      <c r="I186" s="1"/>
      <c r="J186" s="5">
        <f t="shared" ref="J186:J190" si="54">IF(H$12=0,0,H186/H$12)</f>
        <v>8.1283927418553774E-3</v>
      </c>
      <c r="K186" s="1"/>
      <c r="L186" s="1">
        <f t="shared" ref="L186:L190" si="55">+D186-H186</f>
        <v>-4955.51</v>
      </c>
      <c r="M186" s="1"/>
      <c r="N186" s="5">
        <f t="shared" ref="N186:N190" si="56">IF(H186=0,0,L186/H186)</f>
        <v>-0.93509186733062999</v>
      </c>
      <c r="O186" s="13"/>
      <c r="P186" s="1">
        <f>SUM(OSRRefP22_2x_0)</f>
        <v>14702.51</v>
      </c>
      <c r="Q186" s="1"/>
      <c r="R186" s="5">
        <f t="shared" ref="R186:R190" si="57">IF(P$12=0,0,P186/P$12)</f>
        <v>5.4429527060060141E-3</v>
      </c>
      <c r="S186" s="1"/>
      <c r="T186" s="1">
        <f>SUM(OSRRefT22_2x_0)</f>
        <v>39734.94</v>
      </c>
      <c r="U186" s="1"/>
      <c r="V186" s="5">
        <f t="shared" ref="V186:V190" si="58">IF(T$12=0,0,T186/T$12)</f>
        <v>5.5635770427061009E-3</v>
      </c>
      <c r="W186" s="1"/>
      <c r="X186" s="1">
        <f t="shared" ref="X186:X190" si="59">+P186-T186</f>
        <v>-25032.43</v>
      </c>
      <c r="Y186" s="1"/>
      <c r="Z186" s="5">
        <f t="shared" ref="Z186:Z190" si="60">IF(T186=0,0,X186/T186)</f>
        <v>-0.62998534790791172</v>
      </c>
    </row>
    <row r="187" spans="1:26" s="24" customFormat="1" hidden="1" outlineLevel="2" x14ac:dyDescent="0.25">
      <c r="A187" s="27"/>
      <c r="B187" s="11" t="str">
        <f>CONCATENATE("          ", "6362", " - ", "ADVERTISING EXPENSE")</f>
        <v xml:space="preserve">          6362 - ADVERTISING EXPENSE</v>
      </c>
      <c r="C187" s="11"/>
      <c r="D187" s="7">
        <v>343.98</v>
      </c>
      <c r="E187" s="2"/>
      <c r="F187" s="6">
        <f t="shared" si="53"/>
        <v>1.472317074726234E-3</v>
      </c>
      <c r="G187" s="2"/>
      <c r="H187" s="7">
        <v>5299.49</v>
      </c>
      <c r="I187" s="2"/>
      <c r="J187" s="6">
        <f t="shared" si="54"/>
        <v>8.1283927418553774E-3</v>
      </c>
      <c r="K187" s="2"/>
      <c r="L187" s="7">
        <f t="shared" si="55"/>
        <v>-4955.51</v>
      </c>
      <c r="M187" s="2"/>
      <c r="N187" s="6">
        <f t="shared" si="56"/>
        <v>-0.93509186733062999</v>
      </c>
      <c r="O187" s="11"/>
      <c r="P187" s="7">
        <v>14702.51</v>
      </c>
      <c r="Q187" s="2"/>
      <c r="R187" s="6">
        <f t="shared" si="57"/>
        <v>5.4429527060060141E-3</v>
      </c>
      <c r="S187" s="2"/>
      <c r="T187" s="7">
        <v>39734.94</v>
      </c>
      <c r="U187" s="2"/>
      <c r="V187" s="6">
        <f t="shared" si="58"/>
        <v>5.5635770427061009E-3</v>
      </c>
      <c r="W187" s="2"/>
      <c r="X187" s="7">
        <f t="shared" si="59"/>
        <v>-25032.43</v>
      </c>
      <c r="Y187" s="2"/>
      <c r="Z187" s="6">
        <f t="shared" si="60"/>
        <v>-0.62998534790791172</v>
      </c>
    </row>
    <row r="188" spans="1:26" s="25" customFormat="1" outlineLevel="1" collapsed="1" x14ac:dyDescent="0.25">
      <c r="A188" s="26"/>
      <c r="B188" s="13" t="str">
        <f>CONCATENATE("     ","Bad Debts/Over/Short                              ")</f>
        <v xml:space="preserve">     Bad Debts/Over/Short                              </v>
      </c>
      <c r="C188" s="13"/>
      <c r="D188" s="1">
        <f>SUM(OSRRefD22_3x_0)</f>
        <v>-5.34</v>
      </c>
      <c r="E188" s="1"/>
      <c r="F188" s="5">
        <f t="shared" si="53"/>
        <v>-2.2856483455544186E-5</v>
      </c>
      <c r="G188" s="1"/>
      <c r="H188" s="1">
        <f>SUM(OSRRefH22_3x_0)</f>
        <v>49.77</v>
      </c>
      <c r="I188" s="1"/>
      <c r="J188" s="5">
        <f t="shared" si="54"/>
        <v>7.6337554512253468E-5</v>
      </c>
      <c r="K188" s="1"/>
      <c r="L188" s="1">
        <f t="shared" si="55"/>
        <v>-55.11</v>
      </c>
      <c r="M188" s="1"/>
      <c r="N188" s="5">
        <f t="shared" si="56"/>
        <v>-1.1072935503315249</v>
      </c>
      <c r="O188" s="13"/>
      <c r="P188" s="1">
        <f>SUM(OSRRefP22_3x_0)</f>
        <v>49.27</v>
      </c>
      <c r="Q188" s="1"/>
      <c r="R188" s="5">
        <f t="shared" si="57"/>
        <v>1.8240033832652813E-5</v>
      </c>
      <c r="S188" s="1"/>
      <c r="T188" s="1">
        <f>SUM(OSRRefT22_3x_0)</f>
        <v>-132.86000000000001</v>
      </c>
      <c r="U188" s="1"/>
      <c r="V188" s="5">
        <f t="shared" si="58"/>
        <v>-1.8602691885125099E-5</v>
      </c>
      <c r="W188" s="1"/>
      <c r="X188" s="1">
        <f t="shared" si="59"/>
        <v>182.13000000000002</v>
      </c>
      <c r="Y188" s="1"/>
      <c r="Z188" s="5">
        <f t="shared" si="60"/>
        <v>-1.3708414872798436</v>
      </c>
    </row>
    <row r="189" spans="1:26" s="24" customFormat="1" hidden="1" outlineLevel="2" x14ac:dyDescent="0.25">
      <c r="A189" s="27"/>
      <c r="B189" s="11" t="str">
        <f>CONCATENATE("          ", "6272", " - ", "CASH (OVER/SHORT)")</f>
        <v xml:space="preserve">          6272 - CASH (OVER/SHORT)</v>
      </c>
      <c r="C189" s="11"/>
      <c r="D189" s="7">
        <v>-5.34</v>
      </c>
      <c r="E189" s="2"/>
      <c r="F189" s="6">
        <f t="shared" si="53"/>
        <v>-2.2856483455544186E-5</v>
      </c>
      <c r="G189" s="2"/>
      <c r="H189" s="7">
        <v>49.77</v>
      </c>
      <c r="I189" s="2"/>
      <c r="J189" s="6">
        <f t="shared" si="54"/>
        <v>7.6337554512253468E-5</v>
      </c>
      <c r="K189" s="2"/>
      <c r="L189" s="7">
        <f t="shared" si="55"/>
        <v>-55.11</v>
      </c>
      <c r="M189" s="2"/>
      <c r="N189" s="6">
        <f t="shared" si="56"/>
        <v>-1.1072935503315249</v>
      </c>
      <c r="O189" s="11"/>
      <c r="P189" s="7">
        <v>49.27</v>
      </c>
      <c r="Q189" s="2"/>
      <c r="R189" s="6">
        <f t="shared" si="57"/>
        <v>1.8240033832652813E-5</v>
      </c>
      <c r="S189" s="2"/>
      <c r="T189" s="7">
        <v>-177.66</v>
      </c>
      <c r="U189" s="2"/>
      <c r="V189" s="6">
        <f t="shared" si="58"/>
        <v>-2.4875464702027128E-5</v>
      </c>
      <c r="W189" s="2"/>
      <c r="X189" s="7">
        <f t="shared" si="59"/>
        <v>226.93</v>
      </c>
      <c r="Y189" s="2"/>
      <c r="Z189" s="6">
        <f t="shared" si="60"/>
        <v>-1.277327479455139</v>
      </c>
    </row>
    <row r="190" spans="1:26" s="24" customFormat="1" hidden="1" outlineLevel="2" x14ac:dyDescent="0.25">
      <c r="A190" s="27"/>
      <c r="B190" s="11" t="str">
        <f>CONCATENATE("          ", "6342", " - ", "BAD DEBT")</f>
        <v xml:space="preserve">          6342 - BAD DEBT</v>
      </c>
      <c r="C190" s="11"/>
      <c r="D190" s="7"/>
      <c r="E190" s="2"/>
      <c r="F190" s="6">
        <f t="shared" si="53"/>
        <v>0</v>
      </c>
      <c r="G190" s="2"/>
      <c r="H190" s="7"/>
      <c r="I190" s="2"/>
      <c r="J190" s="6">
        <f t="shared" si="54"/>
        <v>0</v>
      </c>
      <c r="K190" s="2"/>
      <c r="L190" s="7">
        <f t="shared" si="55"/>
        <v>0</v>
      </c>
      <c r="M190" s="2"/>
      <c r="N190" s="6">
        <f t="shared" si="56"/>
        <v>0</v>
      </c>
      <c r="O190" s="11"/>
      <c r="P190" s="7"/>
      <c r="Q190" s="2"/>
      <c r="R190" s="6">
        <f t="shared" si="57"/>
        <v>0</v>
      </c>
      <c r="S190" s="2"/>
      <c r="T190" s="7">
        <v>44.8</v>
      </c>
      <c r="U190" s="2"/>
      <c r="V190" s="6">
        <f t="shared" si="58"/>
        <v>6.2727728169020341E-6</v>
      </c>
      <c r="W190" s="2"/>
      <c r="X190" s="7">
        <f t="shared" si="59"/>
        <v>-44.8</v>
      </c>
      <c r="Y190" s="2"/>
      <c r="Z190" s="6">
        <f t="shared" si="60"/>
        <v>-1</v>
      </c>
    </row>
    <row r="191" spans="1:26" s="25" customFormat="1" outlineLevel="1" collapsed="1" x14ac:dyDescent="0.25">
      <c r="A191" s="26"/>
      <c r="B191" s="13" t="str">
        <f>CONCATENATE("     ","Bank/card Fees                                    ")</f>
        <v xml:space="preserve">     Bank/card Fees                                    </v>
      </c>
      <c r="C191" s="13"/>
      <c r="D191" s="1">
        <f>SUM(OSRRefD22_4x_0)</f>
        <v>5488.4</v>
      </c>
      <c r="E191" s="1"/>
      <c r="F191" s="5">
        <f t="shared" ref="F191:F195" si="61">IF(D$12=0,0,D191/D$12)</f>
        <v>2.3491671123110243E-2</v>
      </c>
      <c r="G191" s="1"/>
      <c r="H191" s="1">
        <f>SUM(OSRRefH22_4x_0)</f>
        <v>16826.95</v>
      </c>
      <c r="I191" s="1"/>
      <c r="J191" s="5">
        <f t="shared" ref="J191:J195" si="62">IF(H$12=0,0,H191/H$12)</f>
        <v>2.5809286978098523E-2</v>
      </c>
      <c r="K191" s="1"/>
      <c r="L191" s="1">
        <f t="shared" ref="L191:L195" si="63">+D191-H191</f>
        <v>-11338.550000000001</v>
      </c>
      <c r="M191" s="1"/>
      <c r="N191" s="5">
        <f t="shared" ref="N191:N195" si="64">IF(H191=0,0,L191/H191)</f>
        <v>-0.67383275043902791</v>
      </c>
      <c r="O191" s="13"/>
      <c r="P191" s="1">
        <f>SUM(OSRRefP22_4x_0)</f>
        <v>47710.11</v>
      </c>
      <c r="Q191" s="1"/>
      <c r="R191" s="5">
        <f t="shared" ref="R191:R195" si="65">IF(P$12=0,0,P191/P$12)</f>
        <v>1.7662553695140804E-2</v>
      </c>
      <c r="S191" s="1"/>
      <c r="T191" s="1">
        <f>SUM(OSRRefT22_4x_0)</f>
        <v>148383.18</v>
      </c>
      <c r="U191" s="1"/>
      <c r="V191" s="5">
        <f t="shared" ref="V191:V195" si="66">IF(T$12=0,0,T191/T$12)</f>
        <v>2.0776204865836641E-2</v>
      </c>
      <c r="W191" s="1"/>
      <c r="X191" s="1">
        <f t="shared" ref="X191:X195" si="67">+P191-T191</f>
        <v>-100673.06999999999</v>
      </c>
      <c r="Y191" s="1"/>
      <c r="Z191" s="5">
        <f t="shared" ref="Z191:Z195" si="68">IF(T191=0,0,X191/T191)</f>
        <v>-0.6784668585752105</v>
      </c>
    </row>
    <row r="192" spans="1:26" s="24" customFormat="1" hidden="1" outlineLevel="2" x14ac:dyDescent="0.25">
      <c r="A192" s="27"/>
      <c r="B192" s="11" t="str">
        <f>CONCATENATE("          ", "6381", " - ", "BANK/CREDIT CARD FEES")</f>
        <v xml:space="preserve">          6381 - BANK/CREDIT CARD FEES</v>
      </c>
      <c r="C192" s="11"/>
      <c r="D192" s="7">
        <v>5488.4</v>
      </c>
      <c r="E192" s="2"/>
      <c r="F192" s="6">
        <f t="shared" si="61"/>
        <v>2.3491671123110243E-2</v>
      </c>
      <c r="G192" s="2"/>
      <c r="H192" s="7">
        <v>16826.95</v>
      </c>
      <c r="I192" s="2"/>
      <c r="J192" s="6">
        <f t="shared" si="62"/>
        <v>2.5809286978098523E-2</v>
      </c>
      <c r="K192" s="2"/>
      <c r="L192" s="7">
        <f t="shared" si="63"/>
        <v>-11338.550000000001</v>
      </c>
      <c r="M192" s="2"/>
      <c r="N192" s="6">
        <f t="shared" si="64"/>
        <v>-0.67383275043902791</v>
      </c>
      <c r="O192" s="11"/>
      <c r="P192" s="7">
        <v>47710.11</v>
      </c>
      <c r="Q192" s="2"/>
      <c r="R192" s="6">
        <f t="shared" si="65"/>
        <v>1.7662553695140804E-2</v>
      </c>
      <c r="S192" s="2"/>
      <c r="T192" s="7">
        <v>148383.18</v>
      </c>
      <c r="U192" s="2"/>
      <c r="V192" s="6">
        <f t="shared" si="66"/>
        <v>2.0776204865836641E-2</v>
      </c>
      <c r="W192" s="2"/>
      <c r="X192" s="7">
        <f t="shared" si="67"/>
        <v>-100673.06999999999</v>
      </c>
      <c r="Y192" s="2"/>
      <c r="Z192" s="6">
        <f t="shared" si="68"/>
        <v>-0.6784668585752105</v>
      </c>
    </row>
    <row r="193" spans="1:26" s="25" customFormat="1" outlineLevel="1" collapsed="1" x14ac:dyDescent="0.25">
      <c r="A193" s="26"/>
      <c r="B193" s="13" t="str">
        <f>CONCATENATE("     ","Depreciation                                      ")</f>
        <v xml:space="preserve">     Depreciation                                      </v>
      </c>
      <c r="C193" s="13"/>
      <c r="D193" s="1">
        <f>SUM(OSRRefD22_5x_0)</f>
        <v>39887.94</v>
      </c>
      <c r="E193" s="1"/>
      <c r="F193" s="5">
        <f t="shared" si="61"/>
        <v>0.17072997016586877</v>
      </c>
      <c r="G193" s="1"/>
      <c r="H193" s="1">
        <f>SUM(OSRRefH22_5x_0)</f>
        <v>38324.210000000006</v>
      </c>
      <c r="I193" s="1"/>
      <c r="J193" s="5">
        <f t="shared" si="62"/>
        <v>5.8781926261081981E-2</v>
      </c>
      <c r="K193" s="1"/>
      <c r="L193" s="1">
        <f t="shared" si="63"/>
        <v>1563.7299999999959</v>
      </c>
      <c r="M193" s="1"/>
      <c r="N193" s="5">
        <f t="shared" si="64"/>
        <v>4.0802667556617489E-2</v>
      </c>
      <c r="O193" s="13"/>
      <c r="P193" s="1">
        <f>SUM(OSRRefP22_5x_0)</f>
        <v>239804.41</v>
      </c>
      <c r="Q193" s="1"/>
      <c r="R193" s="5">
        <f t="shared" si="65"/>
        <v>8.8776954569095734E-2</v>
      </c>
      <c r="S193" s="1"/>
      <c r="T193" s="1">
        <f>SUM(OSRRefT22_5x_0)</f>
        <v>228378.76</v>
      </c>
      <c r="U193" s="1"/>
      <c r="V193" s="5">
        <f t="shared" si="66"/>
        <v>3.1976966019772179E-2</v>
      </c>
      <c r="W193" s="1"/>
      <c r="X193" s="1">
        <f t="shared" si="67"/>
        <v>11425.649999999994</v>
      </c>
      <c r="Y193" s="1"/>
      <c r="Z193" s="5">
        <f t="shared" si="68"/>
        <v>5.0029389773374691E-2</v>
      </c>
    </row>
    <row r="194" spans="1:26" s="24" customFormat="1" hidden="1" outlineLevel="2" x14ac:dyDescent="0.25">
      <c r="A194" s="27"/>
      <c r="B194" s="11" t="str">
        <f>CONCATENATE("          ", "6321", " - ", "BUILDING DEPRECIATION")</f>
        <v xml:space="preserve">          6321 - BUILDING DEPRECIATION</v>
      </c>
      <c r="C194" s="11"/>
      <c r="D194" s="7">
        <v>21477.030000000002</v>
      </c>
      <c r="E194" s="2"/>
      <c r="F194" s="6">
        <f t="shared" si="61"/>
        <v>9.1926850350042361E-2</v>
      </c>
      <c r="G194" s="2"/>
      <c r="H194" s="7">
        <v>21477.030000000002</v>
      </c>
      <c r="I194" s="2"/>
      <c r="J194" s="6">
        <f t="shared" si="62"/>
        <v>3.2941610375453151E-2</v>
      </c>
      <c r="K194" s="2"/>
      <c r="L194" s="7">
        <f t="shared" si="63"/>
        <v>0</v>
      </c>
      <c r="M194" s="2"/>
      <c r="N194" s="6">
        <f t="shared" si="64"/>
        <v>0</v>
      </c>
      <c r="O194" s="11"/>
      <c r="P194" s="7">
        <v>128862.18000000001</v>
      </c>
      <c r="Q194" s="2"/>
      <c r="R194" s="6">
        <f t="shared" si="65"/>
        <v>4.7705510918396525E-2</v>
      </c>
      <c r="S194" s="2"/>
      <c r="T194" s="7">
        <v>128862.18000000001</v>
      </c>
      <c r="U194" s="2"/>
      <c r="V194" s="6">
        <f t="shared" si="66"/>
        <v>1.804292812122181E-2</v>
      </c>
      <c r="W194" s="2"/>
      <c r="X194" s="7">
        <f t="shared" si="67"/>
        <v>0</v>
      </c>
      <c r="Y194" s="2"/>
      <c r="Z194" s="6">
        <f t="shared" si="68"/>
        <v>0</v>
      </c>
    </row>
    <row r="195" spans="1:26" s="24" customFormat="1" hidden="1" outlineLevel="2" x14ac:dyDescent="0.25">
      <c r="A195" s="27"/>
      <c r="B195" s="11" t="str">
        <f>CONCATENATE("          ", "6322", " - ", "EQUIPMENT DEPRECIATION EXPENSE")</f>
        <v xml:space="preserve">          6322 - EQUIPMENT DEPRECIATION EXPENSE</v>
      </c>
      <c r="C195" s="11"/>
      <c r="D195" s="7">
        <v>18410.91</v>
      </c>
      <c r="E195" s="2"/>
      <c r="F195" s="6">
        <f t="shared" si="61"/>
        <v>7.8803119815826411E-2</v>
      </c>
      <c r="G195" s="2"/>
      <c r="H195" s="7">
        <v>16847.18</v>
      </c>
      <c r="I195" s="2"/>
      <c r="J195" s="6">
        <f t="shared" si="62"/>
        <v>2.5840315885628819E-2</v>
      </c>
      <c r="K195" s="2"/>
      <c r="L195" s="7">
        <f t="shared" si="63"/>
        <v>1563.7299999999996</v>
      </c>
      <c r="M195" s="2"/>
      <c r="N195" s="6">
        <f t="shared" si="64"/>
        <v>9.2818501375304327E-2</v>
      </c>
      <c r="O195" s="11"/>
      <c r="P195" s="7">
        <v>110942.23</v>
      </c>
      <c r="Q195" s="2"/>
      <c r="R195" s="6">
        <f t="shared" si="65"/>
        <v>4.1071443650699209E-2</v>
      </c>
      <c r="S195" s="2"/>
      <c r="T195" s="7">
        <v>99516.58</v>
      </c>
      <c r="U195" s="2"/>
      <c r="V195" s="6">
        <f t="shared" si="66"/>
        <v>1.3934037898550371E-2</v>
      </c>
      <c r="W195" s="2"/>
      <c r="X195" s="7">
        <f t="shared" si="67"/>
        <v>11425.649999999994</v>
      </c>
      <c r="Y195" s="2"/>
      <c r="Z195" s="6">
        <f t="shared" si="68"/>
        <v>0.11481152185897057</v>
      </c>
    </row>
    <row r="196" spans="1:26" s="25" customFormat="1" outlineLevel="1" collapsed="1" x14ac:dyDescent="0.25">
      <c r="A196" s="26"/>
      <c r="B196" s="13" t="str">
        <f>CONCATENATE("     ","Discounts and Markdowns                           ")</f>
        <v xml:space="preserve">     Discounts and Markdowns                           </v>
      </c>
      <c r="C196" s="13"/>
      <c r="D196" s="1">
        <f>SUM(OSRRefD22_6x_0)</f>
        <v>0</v>
      </c>
      <c r="E196" s="1"/>
      <c r="F196" s="5">
        <f t="shared" ref="F196:F198" si="69">IF(D$12=0,0,D196/D$12)</f>
        <v>0</v>
      </c>
      <c r="G196" s="1"/>
      <c r="H196" s="1">
        <f>SUM(OSRRefH22_6x_0)</f>
        <v>40836.03</v>
      </c>
      <c r="I196" s="1"/>
      <c r="J196" s="5">
        <f t="shared" ref="J196:J198" si="70">IF(H$12=0,0,H196/H$12)</f>
        <v>6.2634572356620816E-2</v>
      </c>
      <c r="K196" s="1"/>
      <c r="L196" s="1">
        <f t="shared" ref="L196:L198" si="71">+D196-H196</f>
        <v>-40836.03</v>
      </c>
      <c r="M196" s="1"/>
      <c r="N196" s="5">
        <f t="shared" ref="N196:N198" si="72">IF(H196=0,0,L196/H196)</f>
        <v>-1</v>
      </c>
      <c r="O196" s="13"/>
      <c r="P196" s="1">
        <f>SUM(OSRRefP22_6x_0)</f>
        <v>0</v>
      </c>
      <c r="Q196" s="1"/>
      <c r="R196" s="5">
        <f t="shared" ref="R196:R198" si="73">IF(P$12=0,0,P196/P$12)</f>
        <v>0</v>
      </c>
      <c r="S196" s="1"/>
      <c r="T196" s="1">
        <f>SUM(OSRRefT22_6x_0)</f>
        <v>187780.71000000002</v>
      </c>
      <c r="U196" s="1"/>
      <c r="V196" s="5">
        <f t="shared" ref="V196:V198" si="74">IF(T$12=0,0,T196/T$12)</f>
        <v>2.6292538688092948E-2</v>
      </c>
      <c r="W196" s="1"/>
      <c r="X196" s="1">
        <f t="shared" ref="X196:X198" si="75">+P196-T196</f>
        <v>-187780.71000000002</v>
      </c>
      <c r="Y196" s="1"/>
      <c r="Z196" s="5">
        <f t="shared" ref="Z196:Z198" si="76">IF(T196=0,0,X196/T196)</f>
        <v>-1</v>
      </c>
    </row>
    <row r="197" spans="1:26" s="24" customFormat="1" hidden="1" outlineLevel="2" x14ac:dyDescent="0.25">
      <c r="A197" s="27"/>
      <c r="B197" s="11" t="str">
        <f>CONCATENATE("          ", "6382", " - ", "DISCOUNTS/MARK DOWNS")</f>
        <v xml:space="preserve">          6382 - DISCOUNTS/MARK DOWNS</v>
      </c>
      <c r="C197" s="11"/>
      <c r="D197" s="7"/>
      <c r="E197" s="2"/>
      <c r="F197" s="6">
        <f t="shared" si="69"/>
        <v>0</v>
      </c>
      <c r="G197" s="2"/>
      <c r="H197" s="7">
        <v>40957.279999999999</v>
      </c>
      <c r="I197" s="2"/>
      <c r="J197" s="6">
        <f t="shared" si="70"/>
        <v>6.2820546406944525E-2</v>
      </c>
      <c r="K197" s="2"/>
      <c r="L197" s="7">
        <f t="shared" si="71"/>
        <v>-40957.279999999999</v>
      </c>
      <c r="M197" s="2"/>
      <c r="N197" s="6">
        <f t="shared" si="72"/>
        <v>-1</v>
      </c>
      <c r="O197" s="11"/>
      <c r="P197" s="7">
        <v>0</v>
      </c>
      <c r="Q197" s="2"/>
      <c r="R197" s="6">
        <f t="shared" si="73"/>
        <v>0</v>
      </c>
      <c r="S197" s="2"/>
      <c r="T197" s="7">
        <v>190267.21000000002</v>
      </c>
      <c r="U197" s="2"/>
      <c r="V197" s="6">
        <f t="shared" si="74"/>
        <v>2.6640691581156051E-2</v>
      </c>
      <c r="W197" s="2"/>
      <c r="X197" s="7">
        <f t="shared" si="75"/>
        <v>-190267.21000000002</v>
      </c>
      <c r="Y197" s="2"/>
      <c r="Z197" s="6">
        <f t="shared" si="76"/>
        <v>-1</v>
      </c>
    </row>
    <row r="198" spans="1:26" s="24" customFormat="1" hidden="1" outlineLevel="2" x14ac:dyDescent="0.25">
      <c r="A198" s="27"/>
      <c r="B198" s="11" t="str">
        <f>CONCATENATE("          ", "9175", " - ", "EARNED DISCOUNTS")</f>
        <v xml:space="preserve">          9175 - EARNED DISCOUNTS</v>
      </c>
      <c r="C198" s="11"/>
      <c r="D198" s="7"/>
      <c r="E198" s="2"/>
      <c r="F198" s="6">
        <f t="shared" si="69"/>
        <v>0</v>
      </c>
      <c r="G198" s="2"/>
      <c r="H198" s="7">
        <v>-121.25</v>
      </c>
      <c r="I198" s="2"/>
      <c r="J198" s="6">
        <f t="shared" si="70"/>
        <v>-1.8597405032370369E-4</v>
      </c>
      <c r="K198" s="2"/>
      <c r="L198" s="7">
        <f t="shared" si="71"/>
        <v>121.25</v>
      </c>
      <c r="M198" s="2"/>
      <c r="N198" s="6">
        <f t="shared" si="72"/>
        <v>-1</v>
      </c>
      <c r="O198" s="11"/>
      <c r="P198" s="7">
        <v>0</v>
      </c>
      <c r="Q198" s="2"/>
      <c r="R198" s="6">
        <f t="shared" si="73"/>
        <v>0</v>
      </c>
      <c r="S198" s="2"/>
      <c r="T198" s="7">
        <v>-2486.5</v>
      </c>
      <c r="U198" s="2"/>
      <c r="V198" s="6">
        <f t="shared" si="74"/>
        <v>-3.4815289306310064E-4</v>
      </c>
      <c r="W198" s="2"/>
      <c r="X198" s="7">
        <f t="shared" si="75"/>
        <v>2486.5</v>
      </c>
      <c r="Y198" s="2"/>
      <c r="Z198" s="6">
        <f t="shared" si="76"/>
        <v>-1</v>
      </c>
    </row>
    <row r="199" spans="1:26" s="25" customFormat="1" outlineLevel="1" collapsed="1" x14ac:dyDescent="0.25">
      <c r="A199" s="26"/>
      <c r="B199" s="13" t="str">
        <f>CONCATENATE("     ","Donations                                         ")</f>
        <v xml:space="preserve">     Donations                                         </v>
      </c>
      <c r="C199" s="13"/>
      <c r="D199" s="1">
        <f>SUM(OSRRefD22_7x_0)</f>
        <v>0</v>
      </c>
      <c r="E199" s="1"/>
      <c r="F199" s="5">
        <f t="shared" ref="F199:F207" si="77">IF(D$12=0,0,D199/D$12)</f>
        <v>0</v>
      </c>
      <c r="G199" s="1"/>
      <c r="H199" s="1">
        <f>SUM(OSRRefH22_7x_0)</f>
        <v>150.84</v>
      </c>
      <c r="I199" s="1"/>
      <c r="J199" s="5">
        <f t="shared" ref="J199:J207" si="78">IF(H$12=0,0,H199/H$12)</f>
        <v>2.3135938763569044E-4</v>
      </c>
      <c r="K199" s="1"/>
      <c r="L199" s="1">
        <f t="shared" ref="L199:L207" si="79">+D199-H199</f>
        <v>-150.84</v>
      </c>
      <c r="M199" s="1"/>
      <c r="N199" s="5">
        <f t="shared" ref="N199:N207" si="80">IF(H199=0,0,L199/H199)</f>
        <v>-1</v>
      </c>
      <c r="O199" s="13"/>
      <c r="P199" s="1">
        <f>SUM(OSRRefP22_7x_0)</f>
        <v>0</v>
      </c>
      <c r="Q199" s="1"/>
      <c r="R199" s="5">
        <f t="shared" ref="R199:R207" si="81">IF(P$12=0,0,P199/P$12)</f>
        <v>0</v>
      </c>
      <c r="S199" s="1"/>
      <c r="T199" s="1">
        <f>SUM(OSRRefT22_7x_0)</f>
        <v>9798.2199999999993</v>
      </c>
      <c r="U199" s="1"/>
      <c r="V199" s="5">
        <f t="shared" ref="V199:V207" si="82">IF(T$12=0,0,T199/T$12)</f>
        <v>1.3719198229916484E-3</v>
      </c>
      <c r="W199" s="1"/>
      <c r="X199" s="1">
        <f t="shared" ref="X199:X207" si="83">+P199-T199</f>
        <v>-9798.2199999999993</v>
      </c>
      <c r="Y199" s="1"/>
      <c r="Z199" s="5">
        <f t="shared" ref="Z199:Z207" si="84">IF(T199=0,0,X199/T199)</f>
        <v>-1</v>
      </c>
    </row>
    <row r="200" spans="1:26" s="24" customFormat="1" hidden="1" outlineLevel="2" x14ac:dyDescent="0.25">
      <c r="A200" s="27"/>
      <c r="B200" s="11" t="str">
        <f>CONCATENATE("          ", "6399", " - ", "DONATION-ON CAMPUS")</f>
        <v xml:space="preserve">          6399 - DONATION-ON CAMPUS</v>
      </c>
      <c r="C200" s="11"/>
      <c r="D200" s="7"/>
      <c r="E200" s="2"/>
      <c r="F200" s="6">
        <f t="shared" si="77"/>
        <v>0</v>
      </c>
      <c r="G200" s="2"/>
      <c r="H200" s="7">
        <v>150.84</v>
      </c>
      <c r="I200" s="2"/>
      <c r="J200" s="6">
        <f t="shared" si="78"/>
        <v>2.3135938763569044E-4</v>
      </c>
      <c r="K200" s="2"/>
      <c r="L200" s="7">
        <f t="shared" si="79"/>
        <v>-150.84</v>
      </c>
      <c r="M200" s="2"/>
      <c r="N200" s="6">
        <f t="shared" si="80"/>
        <v>-1</v>
      </c>
      <c r="O200" s="11"/>
      <c r="P200" s="7"/>
      <c r="Q200" s="2"/>
      <c r="R200" s="6">
        <f t="shared" si="81"/>
        <v>0</v>
      </c>
      <c r="S200" s="2"/>
      <c r="T200" s="7">
        <v>9798.2199999999993</v>
      </c>
      <c r="U200" s="2"/>
      <c r="V200" s="6">
        <f t="shared" si="82"/>
        <v>1.3719198229916484E-3</v>
      </c>
      <c r="W200" s="2"/>
      <c r="X200" s="7">
        <f t="shared" si="83"/>
        <v>-9798.2199999999993</v>
      </c>
      <c r="Y200" s="2"/>
      <c r="Z200" s="6">
        <f t="shared" si="84"/>
        <v>-1</v>
      </c>
    </row>
    <row r="201" spans="1:26" s="25" customFormat="1" outlineLevel="1" collapsed="1" x14ac:dyDescent="0.25">
      <c r="A201" s="26"/>
      <c r="B201" s="13" t="str">
        <f>CONCATENATE("     ","Employees' Appreciation                           ")</f>
        <v xml:space="preserve">     Employees' Appreciation                           </v>
      </c>
      <c r="C201" s="13"/>
      <c r="D201" s="1">
        <f>SUM(OSRRefD22_8x_0)</f>
        <v>0</v>
      </c>
      <c r="E201" s="1"/>
      <c r="F201" s="5">
        <f t="shared" si="77"/>
        <v>0</v>
      </c>
      <c r="G201" s="1"/>
      <c r="H201" s="1">
        <f>SUM(OSRRefH22_8x_0)</f>
        <v>187.38</v>
      </c>
      <c r="I201" s="1"/>
      <c r="J201" s="5">
        <f t="shared" si="78"/>
        <v>2.8740468082190184E-4</v>
      </c>
      <c r="K201" s="1"/>
      <c r="L201" s="1">
        <f t="shared" si="79"/>
        <v>-187.38</v>
      </c>
      <c r="M201" s="1"/>
      <c r="N201" s="5">
        <f t="shared" si="80"/>
        <v>-1</v>
      </c>
      <c r="O201" s="13"/>
      <c r="P201" s="1">
        <f>SUM(OSRRefP22_8x_0)</f>
        <v>107.7</v>
      </c>
      <c r="Q201" s="1"/>
      <c r="R201" s="5">
        <f t="shared" si="81"/>
        <v>3.9871151690211246E-5</v>
      </c>
      <c r="S201" s="1"/>
      <c r="T201" s="1">
        <f>SUM(OSRRefT22_8x_0)</f>
        <v>1290.96</v>
      </c>
      <c r="U201" s="1"/>
      <c r="V201" s="5">
        <f t="shared" si="82"/>
        <v>1.8075666954705022E-4</v>
      </c>
      <c r="W201" s="1"/>
      <c r="X201" s="1">
        <f t="shared" si="83"/>
        <v>-1183.26</v>
      </c>
      <c r="Y201" s="1"/>
      <c r="Z201" s="5">
        <f t="shared" si="84"/>
        <v>-0.91657371258598253</v>
      </c>
    </row>
    <row r="202" spans="1:26" s="24" customFormat="1" hidden="1" outlineLevel="2" x14ac:dyDescent="0.25">
      <c r="A202" s="27"/>
      <c r="B202" s="11" t="str">
        <f>CONCATENATE("          ", "6277", " - ", "EMPLOYEE APPRECIATION")</f>
        <v xml:space="preserve">          6277 - EMPLOYEE APPRECIATION</v>
      </c>
      <c r="C202" s="11"/>
      <c r="D202" s="7"/>
      <c r="E202" s="2"/>
      <c r="F202" s="6">
        <f t="shared" si="77"/>
        <v>0</v>
      </c>
      <c r="G202" s="2"/>
      <c r="H202" s="7">
        <v>187.38</v>
      </c>
      <c r="I202" s="2"/>
      <c r="J202" s="6">
        <f t="shared" si="78"/>
        <v>2.8740468082190184E-4</v>
      </c>
      <c r="K202" s="2"/>
      <c r="L202" s="7">
        <f t="shared" si="79"/>
        <v>-187.38</v>
      </c>
      <c r="M202" s="2"/>
      <c r="N202" s="6">
        <f t="shared" si="80"/>
        <v>-1</v>
      </c>
      <c r="O202" s="11"/>
      <c r="P202" s="7">
        <v>107.7</v>
      </c>
      <c r="Q202" s="2"/>
      <c r="R202" s="6">
        <f t="shared" si="81"/>
        <v>3.9871151690211246E-5</v>
      </c>
      <c r="S202" s="2"/>
      <c r="T202" s="7">
        <v>1290.96</v>
      </c>
      <c r="U202" s="2"/>
      <c r="V202" s="6">
        <f t="shared" si="82"/>
        <v>1.8075666954705022E-4</v>
      </c>
      <c r="W202" s="2"/>
      <c r="X202" s="7">
        <f t="shared" si="83"/>
        <v>-1183.26</v>
      </c>
      <c r="Y202" s="2"/>
      <c r="Z202" s="6">
        <f t="shared" si="84"/>
        <v>-0.91657371258598253</v>
      </c>
    </row>
    <row r="203" spans="1:26" s="25" customFormat="1" outlineLevel="1" collapsed="1" x14ac:dyDescent="0.25">
      <c r="A203" s="26"/>
      <c r="B203" s="13" t="str">
        <f>CONCATENATE("     ","Equipment Rental                                  ")</f>
        <v xml:space="preserve">     Equipment Rental                                  </v>
      </c>
      <c r="C203" s="13"/>
      <c r="D203" s="1">
        <f>SUM(OSRRefD22_9x_0)</f>
        <v>1385.05</v>
      </c>
      <c r="E203" s="1"/>
      <c r="F203" s="5">
        <f t="shared" si="77"/>
        <v>5.9283468932774296E-3</v>
      </c>
      <c r="G203" s="1"/>
      <c r="H203" s="1">
        <f>SUM(OSRRefH22_9x_0)</f>
        <v>107.04</v>
      </c>
      <c r="I203" s="1"/>
      <c r="J203" s="5">
        <f t="shared" si="78"/>
        <v>1.6417865852906595E-4</v>
      </c>
      <c r="K203" s="1"/>
      <c r="L203" s="1">
        <f t="shared" si="79"/>
        <v>1278.01</v>
      </c>
      <c r="M203" s="1"/>
      <c r="N203" s="5">
        <f t="shared" si="80"/>
        <v>11.939555306427502</v>
      </c>
      <c r="O203" s="13"/>
      <c r="P203" s="1">
        <f>SUM(OSRRefP22_9x_0)</f>
        <v>9064.89</v>
      </c>
      <c r="Q203" s="1"/>
      <c r="R203" s="5">
        <f t="shared" si="81"/>
        <v>3.3558737627212534E-3</v>
      </c>
      <c r="S203" s="1"/>
      <c r="T203" s="1">
        <f>SUM(OSRRefT22_9x_0)</f>
        <v>11771.11</v>
      </c>
      <c r="U203" s="1"/>
      <c r="V203" s="5">
        <f t="shared" si="82"/>
        <v>1.6481584560884756E-3</v>
      </c>
      <c r="W203" s="1"/>
      <c r="X203" s="1">
        <f t="shared" si="83"/>
        <v>-2706.2200000000012</v>
      </c>
      <c r="Y203" s="1"/>
      <c r="Z203" s="5">
        <f t="shared" si="84"/>
        <v>-0.22990355200146809</v>
      </c>
    </row>
    <row r="204" spans="1:26" s="24" customFormat="1" hidden="1" outlineLevel="2" x14ac:dyDescent="0.25">
      <c r="A204" s="27"/>
      <c r="B204" s="11" t="str">
        <f>CONCATENATE("          ", "6351", " - ", "EQUIPMENT RENTAL")</f>
        <v xml:space="preserve">          6351 - EQUIPMENT RENTAL</v>
      </c>
      <c r="C204" s="11"/>
      <c r="D204" s="7">
        <v>1385.05</v>
      </c>
      <c r="E204" s="2"/>
      <c r="F204" s="6">
        <f t="shared" si="77"/>
        <v>5.9283468932774296E-3</v>
      </c>
      <c r="G204" s="2"/>
      <c r="H204" s="7">
        <v>107.04</v>
      </c>
      <c r="I204" s="2"/>
      <c r="J204" s="6">
        <f t="shared" si="78"/>
        <v>1.6417865852906595E-4</v>
      </c>
      <c r="K204" s="2"/>
      <c r="L204" s="7">
        <f t="shared" si="79"/>
        <v>1278.01</v>
      </c>
      <c r="M204" s="2"/>
      <c r="N204" s="6">
        <f t="shared" si="80"/>
        <v>11.939555306427502</v>
      </c>
      <c r="O204" s="11"/>
      <c r="P204" s="7">
        <v>9064.89</v>
      </c>
      <c r="Q204" s="2"/>
      <c r="R204" s="6">
        <f t="shared" si="81"/>
        <v>3.3558737627212534E-3</v>
      </c>
      <c r="S204" s="2"/>
      <c r="T204" s="7">
        <v>11771.11</v>
      </c>
      <c r="U204" s="2"/>
      <c r="V204" s="6">
        <f t="shared" si="82"/>
        <v>1.6481584560884756E-3</v>
      </c>
      <c r="W204" s="2"/>
      <c r="X204" s="7">
        <f t="shared" si="83"/>
        <v>-2706.2200000000012</v>
      </c>
      <c r="Y204" s="2"/>
      <c r="Z204" s="6">
        <f t="shared" si="84"/>
        <v>-0.22990355200146809</v>
      </c>
    </row>
    <row r="205" spans="1:26" s="25" customFormat="1" outlineLevel="1" collapsed="1" x14ac:dyDescent="0.25">
      <c r="A205" s="26"/>
      <c r="B205" s="13" t="str">
        <f>CONCATENATE("     ","Freight out/Postage                               ")</f>
        <v xml:space="preserve">     Freight out/Postage                               </v>
      </c>
      <c r="C205" s="13"/>
      <c r="D205" s="1">
        <f>SUM(OSRRefD22_10x_0)</f>
        <v>4309.8500000000004</v>
      </c>
      <c r="E205" s="1"/>
      <c r="F205" s="5">
        <f t="shared" si="77"/>
        <v>1.8447193861587476E-2</v>
      </c>
      <c r="G205" s="1"/>
      <c r="H205" s="1">
        <f>SUM(OSRRefH22_10x_0)</f>
        <v>1921.3400000000001</v>
      </c>
      <c r="I205" s="1"/>
      <c r="J205" s="5">
        <f t="shared" si="78"/>
        <v>2.9469639740119166E-3</v>
      </c>
      <c r="K205" s="1"/>
      <c r="L205" s="1">
        <f t="shared" si="79"/>
        <v>2388.5100000000002</v>
      </c>
      <c r="M205" s="1"/>
      <c r="N205" s="5">
        <f t="shared" si="80"/>
        <v>1.2431480112837916</v>
      </c>
      <c r="O205" s="13"/>
      <c r="P205" s="1">
        <f>SUM(OSRRefP22_10x_0)</f>
        <v>-14939.599999999991</v>
      </c>
      <c r="Q205" s="1"/>
      <c r="R205" s="5">
        <f t="shared" si="81"/>
        <v>-5.5307247705764116E-3</v>
      </c>
      <c r="S205" s="1"/>
      <c r="T205" s="1">
        <f>SUM(OSRRefT22_10x_0)</f>
        <v>6784.27</v>
      </c>
      <c r="U205" s="1"/>
      <c r="V205" s="5">
        <f t="shared" si="82"/>
        <v>9.4991483121705282E-4</v>
      </c>
      <c r="W205" s="1"/>
      <c r="X205" s="1">
        <f t="shared" si="83"/>
        <v>-21723.869999999992</v>
      </c>
      <c r="Y205" s="1"/>
      <c r="Z205" s="5">
        <f t="shared" si="84"/>
        <v>-3.2020939614726402</v>
      </c>
    </row>
    <row r="206" spans="1:26" s="24" customFormat="1" hidden="1" outlineLevel="2" x14ac:dyDescent="0.25">
      <c r="A206" s="27"/>
      <c r="B206" s="11" t="str">
        <f>CONCATENATE("          ", "6305", " - ", "FREIGHT OUT")</f>
        <v xml:space="preserve">          6305 - FREIGHT OUT</v>
      </c>
      <c r="C206" s="11"/>
      <c r="D206" s="7">
        <v>13716.42</v>
      </c>
      <c r="E206" s="2"/>
      <c r="F206" s="6">
        <f t="shared" si="77"/>
        <v>5.8709574306984154E-2</v>
      </c>
      <c r="G206" s="2"/>
      <c r="H206" s="7">
        <v>6027.58</v>
      </c>
      <c r="I206" s="2"/>
      <c r="J206" s="6">
        <f t="shared" si="78"/>
        <v>9.2451419896919587E-3</v>
      </c>
      <c r="K206" s="2"/>
      <c r="L206" s="7">
        <f t="shared" si="79"/>
        <v>7688.84</v>
      </c>
      <c r="M206" s="2"/>
      <c r="N206" s="6">
        <f t="shared" si="80"/>
        <v>1.2756097803762041</v>
      </c>
      <c r="O206" s="11"/>
      <c r="P206" s="7">
        <v>116882.77</v>
      </c>
      <c r="Q206" s="2"/>
      <c r="R206" s="6">
        <f t="shared" si="81"/>
        <v>4.3270665298440786E-2</v>
      </c>
      <c r="S206" s="2"/>
      <c r="T206" s="7">
        <v>34938.11</v>
      </c>
      <c r="U206" s="2"/>
      <c r="V206" s="6">
        <f t="shared" si="82"/>
        <v>4.8919380955788645E-3</v>
      </c>
      <c r="W206" s="2"/>
      <c r="X206" s="7">
        <f t="shared" si="83"/>
        <v>81944.66</v>
      </c>
      <c r="Y206" s="2"/>
      <c r="Z206" s="6">
        <f t="shared" si="84"/>
        <v>2.3454233786544263</v>
      </c>
    </row>
    <row r="207" spans="1:26" s="24" customFormat="1" hidden="1" outlineLevel="2" x14ac:dyDescent="0.25">
      <c r="A207" s="27"/>
      <c r="B207" s="11" t="str">
        <f>CONCATENATE("          ", "6307", " - ", "POSTAGE")</f>
        <v xml:space="preserve">          6307 - POSTAGE</v>
      </c>
      <c r="C207" s="11"/>
      <c r="D207" s="7">
        <v>-9406.57</v>
      </c>
      <c r="E207" s="2"/>
      <c r="F207" s="6">
        <f t="shared" si="77"/>
        <v>-4.0262380445396678E-2</v>
      </c>
      <c r="G207" s="2"/>
      <c r="H207" s="7">
        <v>-4106.24</v>
      </c>
      <c r="I207" s="2"/>
      <c r="J207" s="6">
        <f t="shared" si="78"/>
        <v>-6.2981780156800412E-3</v>
      </c>
      <c r="K207" s="2"/>
      <c r="L207" s="7">
        <f t="shared" si="79"/>
        <v>-5300.33</v>
      </c>
      <c r="M207" s="2"/>
      <c r="N207" s="6">
        <f t="shared" si="80"/>
        <v>1.2907988817019951</v>
      </c>
      <c r="O207" s="11"/>
      <c r="P207" s="7">
        <v>-131822.37</v>
      </c>
      <c r="Q207" s="2"/>
      <c r="R207" s="6">
        <f t="shared" si="81"/>
        <v>-4.8801390069017195E-2</v>
      </c>
      <c r="S207" s="2"/>
      <c r="T207" s="7">
        <v>-28153.84</v>
      </c>
      <c r="U207" s="2"/>
      <c r="V207" s="6">
        <f t="shared" si="82"/>
        <v>-3.9420232643618122E-3</v>
      </c>
      <c r="W207" s="2"/>
      <c r="X207" s="7">
        <f t="shared" si="83"/>
        <v>-103668.53</v>
      </c>
      <c r="Y207" s="2"/>
      <c r="Z207" s="6">
        <f t="shared" si="84"/>
        <v>3.6822163513041204</v>
      </c>
    </row>
    <row r="208" spans="1:26" s="25" customFormat="1" outlineLevel="1" collapsed="1" x14ac:dyDescent="0.25">
      <c r="A208" s="26"/>
      <c r="B208" s="13" t="str">
        <f>CONCATENATE("     ","General                                           ")</f>
        <v xml:space="preserve">     General                                           </v>
      </c>
      <c r="C208" s="13"/>
      <c r="D208" s="1">
        <f>SUM(OSRRefD22_11x_0)</f>
        <v>3030.85</v>
      </c>
      <c r="E208" s="1"/>
      <c r="F208" s="5">
        <f t="shared" ref="F208:F224" si="85">IF(D$12=0,0,D208/D$12)</f>
        <v>1.2972766457160317E-2</v>
      </c>
      <c r="G208" s="1"/>
      <c r="H208" s="1">
        <f>SUM(OSRRefH22_11x_0)</f>
        <v>2971.17</v>
      </c>
      <c r="I208" s="1"/>
      <c r="J208" s="5">
        <f t="shared" ref="J208:J224" si="86">IF(H$12=0,0,H208/H$12)</f>
        <v>4.5572001575280721E-3</v>
      </c>
      <c r="K208" s="1"/>
      <c r="L208" s="1">
        <f t="shared" ref="L208:L224" si="87">+D208-H208</f>
        <v>59.679999999999836</v>
      </c>
      <c r="M208" s="1"/>
      <c r="N208" s="5">
        <f t="shared" ref="N208:N224" si="88">IF(H208=0,0,L208/H208)</f>
        <v>2.0086363284497297E-2</v>
      </c>
      <c r="O208" s="13"/>
      <c r="P208" s="1">
        <f>SUM(OSRRefP22_11x_0)</f>
        <v>5500.85</v>
      </c>
      <c r="Q208" s="1"/>
      <c r="R208" s="5">
        <f t="shared" ref="R208:R224" si="89">IF(P$12=0,0,P208/P$12)</f>
        <v>2.0364459124893085E-3</v>
      </c>
      <c r="S208" s="1"/>
      <c r="T208" s="1">
        <f>SUM(OSRRefT22_11x_0)</f>
        <v>5481.39</v>
      </c>
      <c r="U208" s="1"/>
      <c r="V208" s="5">
        <f t="shared" ref="V208:V224" si="90">IF(T$12=0,0,T208/T$12)</f>
        <v>7.674891560455054E-4</v>
      </c>
      <c r="W208" s="1"/>
      <c r="X208" s="1">
        <f t="shared" ref="X208:X224" si="91">+P208-T208</f>
        <v>19.460000000000036</v>
      </c>
      <c r="Y208" s="1"/>
      <c r="Z208" s="5">
        <f t="shared" ref="Z208:Z224" si="92">IF(T208=0,0,X208/T208)</f>
        <v>3.5501943850008914E-3</v>
      </c>
    </row>
    <row r="209" spans="1:26" s="24" customFormat="1" hidden="1" outlineLevel="2" x14ac:dyDescent="0.25">
      <c r="A209" s="27"/>
      <c r="B209" s="11" t="str">
        <f>CONCATENATE("          ", "6279", " - ", "GENERAL EXPENSE")</f>
        <v xml:space="preserve">          6279 - GENERAL EXPENSE</v>
      </c>
      <c r="C209" s="11"/>
      <c r="D209" s="7">
        <v>3030.85</v>
      </c>
      <c r="E209" s="2"/>
      <c r="F209" s="6">
        <f t="shared" si="85"/>
        <v>1.2972766457160317E-2</v>
      </c>
      <c r="G209" s="2"/>
      <c r="H209" s="7">
        <v>2971.17</v>
      </c>
      <c r="I209" s="2"/>
      <c r="J209" s="6">
        <f t="shared" si="86"/>
        <v>4.5572001575280721E-3</v>
      </c>
      <c r="K209" s="2"/>
      <c r="L209" s="7">
        <f t="shared" si="87"/>
        <v>59.679999999999836</v>
      </c>
      <c r="M209" s="2"/>
      <c r="N209" s="6">
        <f t="shared" si="88"/>
        <v>2.0086363284497297E-2</v>
      </c>
      <c r="O209" s="11"/>
      <c r="P209" s="7">
        <v>5500.85</v>
      </c>
      <c r="Q209" s="2"/>
      <c r="R209" s="6">
        <f t="shared" si="89"/>
        <v>2.0364459124893085E-3</v>
      </c>
      <c r="S209" s="2"/>
      <c r="T209" s="7">
        <v>5481.39</v>
      </c>
      <c r="U209" s="2"/>
      <c r="V209" s="6">
        <f t="shared" si="90"/>
        <v>7.674891560455054E-4</v>
      </c>
      <c r="W209" s="2"/>
      <c r="X209" s="7">
        <f t="shared" si="91"/>
        <v>19.460000000000036</v>
      </c>
      <c r="Y209" s="2"/>
      <c r="Z209" s="6">
        <f t="shared" si="92"/>
        <v>3.5501943850008914E-3</v>
      </c>
    </row>
    <row r="210" spans="1:26" s="25" customFormat="1" outlineLevel="1" collapsed="1" x14ac:dyDescent="0.25">
      <c r="A210" s="26"/>
      <c r="B210" s="13" t="str">
        <f>CONCATENATE("     ","Insurance                                         ")</f>
        <v xml:space="preserve">     Insurance                                         </v>
      </c>
      <c r="C210" s="13"/>
      <c r="D210" s="1">
        <f>SUM(OSRRefD22_12x_0)</f>
        <v>4288.28</v>
      </c>
      <c r="E210" s="1"/>
      <c r="F210" s="5">
        <f t="shared" si="85"/>
        <v>1.8354869077292325E-2</v>
      </c>
      <c r="G210" s="1"/>
      <c r="H210" s="1">
        <f>SUM(OSRRefH22_12x_0)</f>
        <v>4288.28</v>
      </c>
      <c r="I210" s="1"/>
      <c r="J210" s="5">
        <f t="shared" si="86"/>
        <v>6.5773921692546975E-3</v>
      </c>
      <c r="K210" s="1"/>
      <c r="L210" s="1">
        <f t="shared" si="87"/>
        <v>0</v>
      </c>
      <c r="M210" s="1"/>
      <c r="N210" s="5">
        <f t="shared" si="88"/>
        <v>0</v>
      </c>
      <c r="O210" s="13"/>
      <c r="P210" s="1">
        <f>SUM(OSRRefP22_12x_0)</f>
        <v>25729.68</v>
      </c>
      <c r="Q210" s="1"/>
      <c r="R210" s="5">
        <f t="shared" si="89"/>
        <v>9.5252736696434023E-3</v>
      </c>
      <c r="S210" s="1"/>
      <c r="T210" s="1">
        <f>SUM(OSRRefT22_12x_0)</f>
        <v>25729.68</v>
      </c>
      <c r="U210" s="1"/>
      <c r="V210" s="5">
        <f t="shared" si="90"/>
        <v>3.6025990466872306E-3</v>
      </c>
      <c r="W210" s="1"/>
      <c r="X210" s="1">
        <f t="shared" si="91"/>
        <v>0</v>
      </c>
      <c r="Y210" s="1"/>
      <c r="Z210" s="5">
        <f t="shared" si="92"/>
        <v>0</v>
      </c>
    </row>
    <row r="211" spans="1:26" s="24" customFormat="1" hidden="1" outlineLevel="2" x14ac:dyDescent="0.25">
      <c r="A211" s="27"/>
      <c r="B211" s="11" t="str">
        <f>CONCATENATE("          ", "6314", " - ", "LIABILITY INSURANCE")</f>
        <v xml:space="preserve">          6314 - LIABILITY INSURANCE</v>
      </c>
      <c r="C211" s="11"/>
      <c r="D211" s="7">
        <v>4288.28</v>
      </c>
      <c r="E211" s="2"/>
      <c r="F211" s="6">
        <f t="shared" si="85"/>
        <v>1.8354869077292325E-2</v>
      </c>
      <c r="G211" s="2"/>
      <c r="H211" s="7">
        <v>4288.28</v>
      </c>
      <c r="I211" s="2"/>
      <c r="J211" s="6">
        <f t="shared" si="86"/>
        <v>6.5773921692546975E-3</v>
      </c>
      <c r="K211" s="2"/>
      <c r="L211" s="7">
        <f t="shared" si="87"/>
        <v>0</v>
      </c>
      <c r="M211" s="2"/>
      <c r="N211" s="6">
        <f t="shared" si="88"/>
        <v>0</v>
      </c>
      <c r="O211" s="11"/>
      <c r="P211" s="7">
        <v>25729.68</v>
      </c>
      <c r="Q211" s="2"/>
      <c r="R211" s="6">
        <f t="shared" si="89"/>
        <v>9.5252736696434023E-3</v>
      </c>
      <c r="S211" s="2"/>
      <c r="T211" s="7">
        <v>25729.68</v>
      </c>
      <c r="U211" s="2"/>
      <c r="V211" s="6">
        <f t="shared" si="90"/>
        <v>3.6025990466872306E-3</v>
      </c>
      <c r="W211" s="2"/>
      <c r="X211" s="7">
        <f t="shared" si="91"/>
        <v>0</v>
      </c>
      <c r="Y211" s="2"/>
      <c r="Z211" s="6">
        <f t="shared" si="92"/>
        <v>0</v>
      </c>
    </row>
    <row r="212" spans="1:26" s="25" customFormat="1" outlineLevel="1" collapsed="1" x14ac:dyDescent="0.25">
      <c r="A212" s="26"/>
      <c r="B212" s="13" t="str">
        <f>CONCATENATE("     ","Interest                                          ")</f>
        <v xml:space="preserve">     Interest                                          </v>
      </c>
      <c r="C212" s="13"/>
      <c r="D212" s="1">
        <f>SUM(OSRRefD22_13x_0)</f>
        <v>4044</v>
      </c>
      <c r="E212" s="1"/>
      <c r="F212" s="5">
        <f t="shared" si="85"/>
        <v>1.7309291965209868E-2</v>
      </c>
      <c r="G212" s="1"/>
      <c r="H212" s="1">
        <f>SUM(OSRRefH22_13x_0)</f>
        <v>4175</v>
      </c>
      <c r="I212" s="1"/>
      <c r="J212" s="5">
        <f t="shared" si="86"/>
        <v>6.403642557537839E-3</v>
      </c>
      <c r="K212" s="1"/>
      <c r="L212" s="1">
        <f t="shared" si="87"/>
        <v>-131</v>
      </c>
      <c r="M212" s="1"/>
      <c r="N212" s="5">
        <f t="shared" si="88"/>
        <v>-3.1377245508982035E-2</v>
      </c>
      <c r="O212" s="13"/>
      <c r="P212" s="1">
        <f>SUM(OSRRefP22_13x_0)</f>
        <v>24001.85</v>
      </c>
      <c r="Q212" s="1"/>
      <c r="R212" s="5">
        <f t="shared" si="89"/>
        <v>8.8856211903035904E-3</v>
      </c>
      <c r="S212" s="1"/>
      <c r="T212" s="1">
        <f>SUM(OSRRefT22_13x_0)</f>
        <v>24843.95</v>
      </c>
      <c r="U212" s="1"/>
      <c r="V212" s="5">
        <f t="shared" si="90"/>
        <v>3.4785815675105647E-3</v>
      </c>
      <c r="W212" s="1"/>
      <c r="X212" s="1">
        <f t="shared" si="91"/>
        <v>-842.10000000000218</v>
      </c>
      <c r="Y212" s="1"/>
      <c r="Z212" s="5">
        <f t="shared" si="92"/>
        <v>-3.3895576186556572E-2</v>
      </c>
    </row>
    <row r="213" spans="1:26" s="24" customFormat="1" hidden="1" outlineLevel="2" x14ac:dyDescent="0.25">
      <c r="A213" s="27"/>
      <c r="B213" s="11" t="str">
        <f>CONCATENATE("          ", "6401", " - ", "INTEREST EXPENSE")</f>
        <v xml:space="preserve">          6401 - INTEREST EXPENSE</v>
      </c>
      <c r="C213" s="11"/>
      <c r="D213" s="7">
        <v>4044</v>
      </c>
      <c r="E213" s="2"/>
      <c r="F213" s="6">
        <f t="shared" si="85"/>
        <v>1.7309291965209868E-2</v>
      </c>
      <c r="G213" s="2"/>
      <c r="H213" s="7">
        <v>4175</v>
      </c>
      <c r="I213" s="2"/>
      <c r="J213" s="6">
        <f t="shared" si="86"/>
        <v>6.403642557537839E-3</v>
      </c>
      <c r="K213" s="2"/>
      <c r="L213" s="7">
        <f t="shared" si="87"/>
        <v>-131</v>
      </c>
      <c r="M213" s="2"/>
      <c r="N213" s="6">
        <f t="shared" si="88"/>
        <v>-3.1377245508982035E-2</v>
      </c>
      <c r="O213" s="11"/>
      <c r="P213" s="7">
        <v>24001.85</v>
      </c>
      <c r="Q213" s="2"/>
      <c r="R213" s="6">
        <f t="shared" si="89"/>
        <v>8.8856211903035904E-3</v>
      </c>
      <c r="S213" s="2"/>
      <c r="T213" s="7">
        <v>24843.95</v>
      </c>
      <c r="U213" s="2"/>
      <c r="V213" s="6">
        <f t="shared" si="90"/>
        <v>3.4785815675105647E-3</v>
      </c>
      <c r="W213" s="2"/>
      <c r="X213" s="7">
        <f t="shared" si="91"/>
        <v>-842.10000000000218</v>
      </c>
      <c r="Y213" s="2"/>
      <c r="Z213" s="6">
        <f t="shared" si="92"/>
        <v>-3.3895576186556572E-2</v>
      </c>
    </row>
    <row r="214" spans="1:26" s="25" customFormat="1" outlineLevel="1" collapsed="1" x14ac:dyDescent="0.25">
      <c r="A214" s="26"/>
      <c r="B214" s="13" t="str">
        <f>CONCATENATE("     ","Inventory Adjustment                              ")</f>
        <v xml:space="preserve">     Inventory Adjustment                              </v>
      </c>
      <c r="C214" s="13"/>
      <c r="D214" s="1">
        <f>SUM(OSRRefD22_14x_0)</f>
        <v>7100</v>
      </c>
      <c r="E214" s="1"/>
      <c r="F214" s="5">
        <f t="shared" si="85"/>
        <v>3.0389706467109312E-2</v>
      </c>
      <c r="G214" s="1"/>
      <c r="H214" s="1">
        <f>SUM(OSRRefH22_14x_0)</f>
        <v>10050</v>
      </c>
      <c r="I214" s="1"/>
      <c r="J214" s="5">
        <f t="shared" si="86"/>
        <v>1.5414756336109049E-2</v>
      </c>
      <c r="K214" s="1"/>
      <c r="L214" s="1">
        <f t="shared" si="87"/>
        <v>-2950</v>
      </c>
      <c r="M214" s="1"/>
      <c r="N214" s="5">
        <f t="shared" si="88"/>
        <v>-0.29353233830845771</v>
      </c>
      <c r="O214" s="13"/>
      <c r="P214" s="1">
        <f>SUM(OSRRefP22_14x_0)</f>
        <v>17600</v>
      </c>
      <c r="Q214" s="1"/>
      <c r="R214" s="5">
        <f t="shared" si="89"/>
        <v>6.5156199605173439E-3</v>
      </c>
      <c r="S214" s="1"/>
      <c r="T214" s="1">
        <f>SUM(OSRRefT22_14x_0)</f>
        <v>31200</v>
      </c>
      <c r="U214" s="1"/>
      <c r="V214" s="5">
        <f t="shared" si="90"/>
        <v>4.3685382117710598E-3</v>
      </c>
      <c r="W214" s="1"/>
      <c r="X214" s="1">
        <f t="shared" si="91"/>
        <v>-13600</v>
      </c>
      <c r="Y214" s="1"/>
      <c r="Z214" s="5">
        <f t="shared" si="92"/>
        <v>-0.4358974358974359</v>
      </c>
    </row>
    <row r="215" spans="1:26" s="24" customFormat="1" hidden="1" outlineLevel="2" x14ac:dyDescent="0.25">
      <c r="A215" s="27"/>
      <c r="B215" s="11" t="str">
        <f>CONCATENATE("          ", "6408", " - ", "INVENTORY ADJUSTMENT")</f>
        <v xml:space="preserve">          6408 - INVENTORY ADJUSTMENT</v>
      </c>
      <c r="C215" s="11"/>
      <c r="D215" s="7">
        <v>7100</v>
      </c>
      <c r="E215" s="2"/>
      <c r="F215" s="6">
        <f t="shared" si="85"/>
        <v>3.0389706467109312E-2</v>
      </c>
      <c r="G215" s="2"/>
      <c r="H215" s="7">
        <v>10050</v>
      </c>
      <c r="I215" s="2"/>
      <c r="J215" s="6">
        <f t="shared" si="86"/>
        <v>1.5414756336109049E-2</v>
      </c>
      <c r="K215" s="2"/>
      <c r="L215" s="7">
        <f t="shared" si="87"/>
        <v>-2950</v>
      </c>
      <c r="M215" s="2"/>
      <c r="N215" s="6">
        <f t="shared" si="88"/>
        <v>-0.29353233830845771</v>
      </c>
      <c r="O215" s="11"/>
      <c r="P215" s="7">
        <v>17600</v>
      </c>
      <c r="Q215" s="2"/>
      <c r="R215" s="6">
        <f t="shared" si="89"/>
        <v>6.5156199605173439E-3</v>
      </c>
      <c r="S215" s="2"/>
      <c r="T215" s="7">
        <v>31200</v>
      </c>
      <c r="U215" s="2"/>
      <c r="V215" s="6">
        <f t="shared" si="90"/>
        <v>4.3685382117710598E-3</v>
      </c>
      <c r="W215" s="2"/>
      <c r="X215" s="7">
        <f t="shared" si="91"/>
        <v>-13600</v>
      </c>
      <c r="Y215" s="2"/>
      <c r="Z215" s="6">
        <f t="shared" si="92"/>
        <v>-0.4358974358974359</v>
      </c>
    </row>
    <row r="216" spans="1:26" s="25" customFormat="1" outlineLevel="1" collapsed="1" x14ac:dyDescent="0.25">
      <c r="A216" s="26"/>
      <c r="B216" s="13" t="str">
        <f>CONCATENATE("     ","Professional Services                             ")</f>
        <v xml:space="preserve">     Professional Services                             </v>
      </c>
      <c r="C216" s="13"/>
      <c r="D216" s="1">
        <f>SUM(OSRRefD22_15x_0)</f>
        <v>0</v>
      </c>
      <c r="E216" s="1"/>
      <c r="F216" s="5">
        <f t="shared" si="85"/>
        <v>0</v>
      </c>
      <c r="G216" s="1"/>
      <c r="H216" s="1">
        <f>SUM(OSRRefH22_15x_0)</f>
        <v>41.15</v>
      </c>
      <c r="I216" s="1"/>
      <c r="J216" s="5">
        <f t="shared" si="86"/>
        <v>6.3116141615013671E-5</v>
      </c>
      <c r="K216" s="1"/>
      <c r="L216" s="1">
        <f t="shared" si="87"/>
        <v>-41.15</v>
      </c>
      <c r="M216" s="1"/>
      <c r="N216" s="5">
        <f t="shared" si="88"/>
        <v>-1</v>
      </c>
      <c r="O216" s="13"/>
      <c r="P216" s="1">
        <f>SUM(OSRRefP22_15x_0)</f>
        <v>0</v>
      </c>
      <c r="Q216" s="1"/>
      <c r="R216" s="5">
        <f t="shared" si="89"/>
        <v>0</v>
      </c>
      <c r="S216" s="1"/>
      <c r="T216" s="1">
        <f>SUM(OSRRefT22_15x_0)</f>
        <v>6199.56</v>
      </c>
      <c r="U216" s="1"/>
      <c r="V216" s="5">
        <f t="shared" si="90"/>
        <v>8.6804534474895488E-4</v>
      </c>
      <c r="W216" s="1"/>
      <c r="X216" s="1">
        <f t="shared" si="91"/>
        <v>-6199.56</v>
      </c>
      <c r="Y216" s="1"/>
      <c r="Z216" s="5">
        <f t="shared" si="92"/>
        <v>-1</v>
      </c>
    </row>
    <row r="217" spans="1:26" s="24" customFormat="1" hidden="1" outlineLevel="2" x14ac:dyDescent="0.25">
      <c r="A217" s="27"/>
      <c r="B217" s="11" t="str">
        <f>CONCATENATE("          ", "6336", " - ", "PROFESSIONAL SERVICES")</f>
        <v xml:space="preserve">          6336 - PROFESSIONAL SERVICES</v>
      </c>
      <c r="C217" s="11"/>
      <c r="D217" s="7"/>
      <c r="E217" s="2"/>
      <c r="F217" s="6">
        <f t="shared" si="85"/>
        <v>0</v>
      </c>
      <c r="G217" s="2"/>
      <c r="H217" s="7">
        <v>41.15</v>
      </c>
      <c r="I217" s="2"/>
      <c r="J217" s="6">
        <f t="shared" si="86"/>
        <v>6.3116141615013671E-5</v>
      </c>
      <c r="K217" s="2"/>
      <c r="L217" s="7">
        <f t="shared" si="87"/>
        <v>-41.15</v>
      </c>
      <c r="M217" s="2"/>
      <c r="N217" s="6">
        <f t="shared" si="88"/>
        <v>-1</v>
      </c>
      <c r="O217" s="11"/>
      <c r="P217" s="7"/>
      <c r="Q217" s="2"/>
      <c r="R217" s="6">
        <f t="shared" si="89"/>
        <v>0</v>
      </c>
      <c r="S217" s="2"/>
      <c r="T217" s="7">
        <v>6199.56</v>
      </c>
      <c r="U217" s="2"/>
      <c r="V217" s="6">
        <f t="shared" si="90"/>
        <v>8.6804534474895488E-4</v>
      </c>
      <c r="W217" s="2"/>
      <c r="X217" s="7">
        <f t="shared" si="91"/>
        <v>-6199.56</v>
      </c>
      <c r="Y217" s="2"/>
      <c r="Z217" s="6">
        <f t="shared" si="92"/>
        <v>-1</v>
      </c>
    </row>
    <row r="218" spans="1:26" s="25" customFormat="1" outlineLevel="1" collapsed="1" x14ac:dyDescent="0.25">
      <c r="A218" s="26"/>
      <c r="B218" s="13" t="str">
        <f>CONCATENATE("     ","Rent                                              ")</f>
        <v xml:space="preserve">     Rent                                              </v>
      </c>
      <c r="C218" s="13"/>
      <c r="D218" s="1">
        <f>SUM(OSRRefD22_16x_0)</f>
        <v>6100</v>
      </c>
      <c r="E218" s="1"/>
      <c r="F218" s="5">
        <f t="shared" si="85"/>
        <v>2.6109466119629127E-2</v>
      </c>
      <c r="G218" s="1"/>
      <c r="H218" s="1">
        <f>SUM(OSRRefH22_16x_0)</f>
        <v>7250</v>
      </c>
      <c r="I218" s="1"/>
      <c r="J218" s="5">
        <f t="shared" si="86"/>
        <v>1.1120097854407025E-2</v>
      </c>
      <c r="K218" s="1"/>
      <c r="L218" s="1">
        <f t="shared" si="87"/>
        <v>-1150</v>
      </c>
      <c r="M218" s="1"/>
      <c r="N218" s="5">
        <f t="shared" si="88"/>
        <v>-0.15862068965517243</v>
      </c>
      <c r="O218" s="13"/>
      <c r="P218" s="1">
        <f>SUM(OSRRefP22_16x_0)</f>
        <v>36600</v>
      </c>
      <c r="Q218" s="1"/>
      <c r="R218" s="5">
        <f t="shared" si="89"/>
        <v>1.3549527872439475E-2</v>
      </c>
      <c r="S218" s="1"/>
      <c r="T218" s="1">
        <f>SUM(OSRRefT22_16x_0)</f>
        <v>43500</v>
      </c>
      <c r="U218" s="1"/>
      <c r="V218" s="5">
        <f t="shared" si="90"/>
        <v>6.0907503914115731E-3</v>
      </c>
      <c r="W218" s="1"/>
      <c r="X218" s="1">
        <f t="shared" si="91"/>
        <v>-6900</v>
      </c>
      <c r="Y218" s="1"/>
      <c r="Z218" s="5">
        <f t="shared" si="92"/>
        <v>-0.15862068965517243</v>
      </c>
    </row>
    <row r="219" spans="1:26" s="24" customFormat="1" hidden="1" outlineLevel="2" x14ac:dyDescent="0.25">
      <c r="A219" s="27"/>
      <c r="B219" s="11" t="str">
        <f>CONCATENATE("          ", "6273", " - ", "RENT")</f>
        <v xml:space="preserve">          6273 - RENT</v>
      </c>
      <c r="C219" s="11"/>
      <c r="D219" s="7">
        <v>6100</v>
      </c>
      <c r="E219" s="2"/>
      <c r="F219" s="6">
        <f t="shared" si="85"/>
        <v>2.6109466119629127E-2</v>
      </c>
      <c r="G219" s="2"/>
      <c r="H219" s="7">
        <v>7250</v>
      </c>
      <c r="I219" s="2"/>
      <c r="J219" s="6">
        <f t="shared" si="86"/>
        <v>1.1120097854407025E-2</v>
      </c>
      <c r="K219" s="2"/>
      <c r="L219" s="7">
        <f t="shared" si="87"/>
        <v>-1150</v>
      </c>
      <c r="M219" s="2"/>
      <c r="N219" s="6">
        <f t="shared" si="88"/>
        <v>-0.15862068965517243</v>
      </c>
      <c r="O219" s="11"/>
      <c r="P219" s="7">
        <v>36600</v>
      </c>
      <c r="Q219" s="2"/>
      <c r="R219" s="6">
        <f t="shared" si="89"/>
        <v>1.3549527872439475E-2</v>
      </c>
      <c r="S219" s="2"/>
      <c r="T219" s="7">
        <v>43500</v>
      </c>
      <c r="U219" s="2"/>
      <c r="V219" s="6">
        <f t="shared" si="90"/>
        <v>6.0907503914115731E-3</v>
      </c>
      <c r="W219" s="2"/>
      <c r="X219" s="7">
        <f t="shared" si="91"/>
        <v>-6900</v>
      </c>
      <c r="Y219" s="2"/>
      <c r="Z219" s="6">
        <f t="shared" si="92"/>
        <v>-0.15862068965517243</v>
      </c>
    </row>
    <row r="220" spans="1:26" s="25" customFormat="1" outlineLevel="1" collapsed="1" x14ac:dyDescent="0.25">
      <c r="A220" s="26"/>
      <c r="B220" s="13" t="str">
        <f>CONCATENATE("     ","Repair and Maintenance                            ")</f>
        <v xml:space="preserve">     Repair and Maintenance                            </v>
      </c>
      <c r="C220" s="13"/>
      <c r="D220" s="1">
        <f>SUM(OSRRefD22_17x_0)</f>
        <v>8252.6200000000008</v>
      </c>
      <c r="E220" s="1"/>
      <c r="F220" s="5">
        <f t="shared" si="85"/>
        <v>3.5323197096421927E-2</v>
      </c>
      <c r="G220" s="1"/>
      <c r="H220" s="1">
        <f>SUM(OSRRefH22_17x_0)</f>
        <v>15170.16</v>
      </c>
      <c r="I220" s="1"/>
      <c r="J220" s="5">
        <f t="shared" si="86"/>
        <v>2.3268091540277418E-2</v>
      </c>
      <c r="K220" s="1"/>
      <c r="L220" s="1">
        <f t="shared" si="87"/>
        <v>-6917.5399999999991</v>
      </c>
      <c r="M220" s="1"/>
      <c r="N220" s="5">
        <f t="shared" si="88"/>
        <v>-0.45599650893596372</v>
      </c>
      <c r="O220" s="13"/>
      <c r="P220" s="1">
        <f>SUM(OSRRefP22_17x_0)</f>
        <v>111422.17</v>
      </c>
      <c r="Q220" s="1"/>
      <c r="R220" s="5">
        <f t="shared" si="89"/>
        <v>4.1249120164554356E-2</v>
      </c>
      <c r="S220" s="1"/>
      <c r="T220" s="1">
        <f>SUM(OSRRefT22_17x_0)</f>
        <v>96541.109999999986</v>
      </c>
      <c r="U220" s="1"/>
      <c r="V220" s="5">
        <f t="shared" si="90"/>
        <v>1.3517420770570292E-2</v>
      </c>
      <c r="W220" s="1"/>
      <c r="X220" s="1">
        <f t="shared" si="91"/>
        <v>14881.060000000012</v>
      </c>
      <c r="Y220" s="1"/>
      <c r="Z220" s="5">
        <f t="shared" si="92"/>
        <v>0.15414220946910612</v>
      </c>
    </row>
    <row r="221" spans="1:26" s="24" customFormat="1" hidden="1" outlineLevel="2" x14ac:dyDescent="0.25">
      <c r="A221" s="27"/>
      <c r="B221" s="11" t="str">
        <f>CONCATENATE("          ", "6371", " - ", "COMPUTER SOFTWARE MAINTENANCE")</f>
        <v xml:space="preserve">          6371 - COMPUTER SOFTWARE MAINTENANCE</v>
      </c>
      <c r="C221" s="11"/>
      <c r="D221" s="7"/>
      <c r="E221" s="2"/>
      <c r="F221" s="6">
        <f t="shared" si="85"/>
        <v>0</v>
      </c>
      <c r="G221" s="2"/>
      <c r="H221" s="7">
        <v>601</v>
      </c>
      <c r="I221" s="2"/>
      <c r="J221" s="6">
        <f t="shared" si="86"/>
        <v>9.218177669653272E-4</v>
      </c>
      <c r="K221" s="2"/>
      <c r="L221" s="7">
        <f t="shared" si="87"/>
        <v>-601</v>
      </c>
      <c r="M221" s="2"/>
      <c r="N221" s="6">
        <f t="shared" si="88"/>
        <v>-1</v>
      </c>
      <c r="O221" s="11"/>
      <c r="P221" s="7">
        <v>58436.47</v>
      </c>
      <c r="Q221" s="2"/>
      <c r="R221" s="6">
        <f t="shared" si="89"/>
        <v>2.163351308830528E-2</v>
      </c>
      <c r="S221" s="2"/>
      <c r="T221" s="7">
        <v>15265.329999999998</v>
      </c>
      <c r="U221" s="2"/>
      <c r="V221" s="6">
        <f t="shared" si="90"/>
        <v>2.1374095327017662E-3</v>
      </c>
      <c r="W221" s="2"/>
      <c r="X221" s="7">
        <f t="shared" si="91"/>
        <v>43171.14</v>
      </c>
      <c r="Y221" s="2"/>
      <c r="Z221" s="6">
        <f t="shared" si="92"/>
        <v>2.8280515390102936</v>
      </c>
    </row>
    <row r="222" spans="1:26" s="24" customFormat="1" hidden="1" outlineLevel="2" x14ac:dyDescent="0.25">
      <c r="A222" s="27"/>
      <c r="B222" s="11" t="str">
        <f>CONCATENATE("          ", "6372", " - ", "COMPUTER HARDWARE MAINTENANCE")</f>
        <v xml:space="preserve">          6372 - COMPUTER HARDWARE MAINTENANCE</v>
      </c>
      <c r="C222" s="11"/>
      <c r="D222" s="7"/>
      <c r="E222" s="2"/>
      <c r="F222" s="6">
        <f t="shared" si="85"/>
        <v>0</v>
      </c>
      <c r="G222" s="2"/>
      <c r="H222" s="7"/>
      <c r="I222" s="2"/>
      <c r="J222" s="6">
        <f t="shared" si="86"/>
        <v>0</v>
      </c>
      <c r="K222" s="2"/>
      <c r="L222" s="7">
        <f t="shared" si="87"/>
        <v>0</v>
      </c>
      <c r="M222" s="2"/>
      <c r="N222" s="6">
        <f t="shared" si="88"/>
        <v>0</v>
      </c>
      <c r="O222" s="11"/>
      <c r="P222" s="7">
        <v>0</v>
      </c>
      <c r="Q222" s="2"/>
      <c r="R222" s="6">
        <f t="shared" si="89"/>
        <v>0</v>
      </c>
      <c r="S222" s="2"/>
      <c r="T222" s="7"/>
      <c r="U222" s="2"/>
      <c r="V222" s="6">
        <f t="shared" si="90"/>
        <v>0</v>
      </c>
      <c r="W222" s="2"/>
      <c r="X222" s="7">
        <f t="shared" si="91"/>
        <v>0</v>
      </c>
      <c r="Y222" s="2"/>
      <c r="Z222" s="6">
        <f t="shared" si="92"/>
        <v>0</v>
      </c>
    </row>
    <row r="223" spans="1:26" s="24" customFormat="1" hidden="1" outlineLevel="2" x14ac:dyDescent="0.25">
      <c r="A223" s="27"/>
      <c r="B223" s="11" t="str">
        <f>CONCATENATE("          ", "6373", " - ", "MAINTENANCE CONTRACTS")</f>
        <v xml:space="preserve">          6373 - MAINTENANCE CONTRACTS</v>
      </c>
      <c r="C223" s="11"/>
      <c r="D223" s="7">
        <v>8207.6200000000008</v>
      </c>
      <c r="E223" s="2"/>
      <c r="F223" s="6">
        <f t="shared" si="85"/>
        <v>3.5130586280785317E-2</v>
      </c>
      <c r="G223" s="2"/>
      <c r="H223" s="7">
        <v>8157.77</v>
      </c>
      <c r="I223" s="2"/>
      <c r="J223" s="6">
        <f t="shared" si="86"/>
        <v>1.2512441472240829E-2</v>
      </c>
      <c r="K223" s="2"/>
      <c r="L223" s="7">
        <f t="shared" si="87"/>
        <v>49.850000000000364</v>
      </c>
      <c r="M223" s="2"/>
      <c r="N223" s="6">
        <f t="shared" si="88"/>
        <v>6.110738596454713E-3</v>
      </c>
      <c r="O223" s="11"/>
      <c r="P223" s="7">
        <v>39888.780000000006</v>
      </c>
      <c r="Q223" s="2"/>
      <c r="R223" s="6">
        <f t="shared" si="89"/>
        <v>1.476705290731165E-2</v>
      </c>
      <c r="S223" s="2"/>
      <c r="T223" s="7">
        <v>40281.009999999995</v>
      </c>
      <c r="U223" s="2"/>
      <c r="V223" s="6">
        <f t="shared" si="90"/>
        <v>5.6400362626196198E-3</v>
      </c>
      <c r="W223" s="2"/>
      <c r="X223" s="7">
        <f t="shared" si="91"/>
        <v>-392.22999999998865</v>
      </c>
      <c r="Y223" s="2"/>
      <c r="Z223" s="6">
        <f t="shared" si="92"/>
        <v>-9.7373427329649556E-3</v>
      </c>
    </row>
    <row r="224" spans="1:26" s="24" customFormat="1" hidden="1" outlineLevel="2" x14ac:dyDescent="0.25">
      <c r="A224" s="27"/>
      <c r="B224" s="11" t="str">
        <f>CONCATENATE("          ", "6375", " - ", "OUTSIDE REPAIRS &amp; MAINTENANCE")</f>
        <v xml:space="preserve">          6375 - OUTSIDE REPAIRS &amp; MAINTENANCE</v>
      </c>
      <c r="C224" s="11"/>
      <c r="D224" s="7">
        <v>45</v>
      </c>
      <c r="E224" s="2"/>
      <c r="F224" s="6">
        <f t="shared" si="85"/>
        <v>1.9261081563660832E-4</v>
      </c>
      <c r="G224" s="2"/>
      <c r="H224" s="7">
        <v>6411.39</v>
      </c>
      <c r="I224" s="2"/>
      <c r="J224" s="6">
        <f t="shared" si="86"/>
        <v>9.8338323010712641E-3</v>
      </c>
      <c r="K224" s="2"/>
      <c r="L224" s="7">
        <f t="shared" si="87"/>
        <v>-6366.39</v>
      </c>
      <c r="M224" s="2"/>
      <c r="N224" s="6">
        <f t="shared" si="88"/>
        <v>-0.99298124119730669</v>
      </c>
      <c r="O224" s="11"/>
      <c r="P224" s="7">
        <v>13096.92</v>
      </c>
      <c r="Q224" s="2"/>
      <c r="R224" s="6">
        <f t="shared" si="89"/>
        <v>4.8485541689374323E-3</v>
      </c>
      <c r="S224" s="2"/>
      <c r="T224" s="7">
        <v>40994.769999999997</v>
      </c>
      <c r="U224" s="2"/>
      <c r="V224" s="6">
        <f t="shared" si="90"/>
        <v>5.7399749752489061E-3</v>
      </c>
      <c r="W224" s="2"/>
      <c r="X224" s="7">
        <f t="shared" si="91"/>
        <v>-27897.85</v>
      </c>
      <c r="Y224" s="2"/>
      <c r="Z224" s="6">
        <f t="shared" si="92"/>
        <v>-0.6805221739260886</v>
      </c>
    </row>
    <row r="225" spans="1:26" s="25" customFormat="1" outlineLevel="1" collapsed="1" x14ac:dyDescent="0.25">
      <c r="A225" s="26"/>
      <c r="B225" s="13" t="str">
        <f>CONCATENATE("     ","Royalty &amp; Commissions                             ")</f>
        <v xml:space="preserve">     Royalty &amp; Commissions                             </v>
      </c>
      <c r="C225" s="13"/>
      <c r="D225" s="1">
        <f>SUM(OSRRefD22_18x_0)</f>
        <v>5.97</v>
      </c>
      <c r="E225" s="1"/>
      <c r="F225" s="5">
        <f t="shared" ref="F225:F228" si="93">IF(D$12=0,0,D225/D$12)</f>
        <v>2.55530348744567E-5</v>
      </c>
      <c r="G225" s="1"/>
      <c r="H225" s="1">
        <f>SUM(OSRRefH22_18x_0)</f>
        <v>22616.36</v>
      </c>
      <c r="I225" s="1"/>
      <c r="J225" s="5">
        <f t="shared" ref="J225:J228" si="94">IF(H$12=0,0,H225/H$12)</f>
        <v>3.468912224972371E-2</v>
      </c>
      <c r="K225" s="1"/>
      <c r="L225" s="1">
        <f t="shared" ref="L225:L228" si="95">+D225-H225</f>
        <v>-22610.39</v>
      </c>
      <c r="M225" s="1"/>
      <c r="N225" s="5">
        <f t="shared" ref="N225:N228" si="96">IF(H225=0,0,L225/H225)</f>
        <v>-0.99973603179291448</v>
      </c>
      <c r="O225" s="13"/>
      <c r="P225" s="1">
        <f>SUM(OSRRefP22_18x_0)</f>
        <v>28761.760000000002</v>
      </c>
      <c r="Q225" s="1"/>
      <c r="R225" s="5">
        <f t="shared" ref="R225:R228" si="97">IF(P$12=0,0,P225/P$12)</f>
        <v>1.0647766906568712E-2</v>
      </c>
      <c r="S225" s="1"/>
      <c r="T225" s="1">
        <f>SUM(OSRRefT22_18x_0)</f>
        <v>78825.56</v>
      </c>
      <c r="U225" s="1"/>
      <c r="V225" s="5">
        <f t="shared" ref="V225:V228" si="98">IF(T$12=0,0,T225/T$12)</f>
        <v>1.1036938170649114E-2</v>
      </c>
      <c r="W225" s="1"/>
      <c r="X225" s="1">
        <f t="shared" ref="X225:X228" si="99">+P225-T225</f>
        <v>-50063.799999999996</v>
      </c>
      <c r="Y225" s="1"/>
      <c r="Z225" s="5">
        <f t="shared" ref="Z225:Z228" si="100">IF(T225=0,0,X225/T225)</f>
        <v>-0.63512139970841941</v>
      </c>
    </row>
    <row r="226" spans="1:26" s="24" customFormat="1" hidden="1" outlineLevel="2" x14ac:dyDescent="0.25">
      <c r="A226" s="27"/>
      <c r="B226" s="11" t="str">
        <f>CONCATENATE("          ", "6253", " - ", "ROYALTY DUE ATHLETICS-LRG")</f>
        <v xml:space="preserve">          6253 - ROYALTY DUE ATHLETICS-LRG</v>
      </c>
      <c r="C226" s="11"/>
      <c r="D226" s="7"/>
      <c r="E226" s="2"/>
      <c r="F226" s="6">
        <f t="shared" si="93"/>
        <v>0</v>
      </c>
      <c r="G226" s="2"/>
      <c r="H226" s="7"/>
      <c r="I226" s="2"/>
      <c r="J226" s="6">
        <f t="shared" si="94"/>
        <v>0</v>
      </c>
      <c r="K226" s="2"/>
      <c r="L226" s="7">
        <f t="shared" si="95"/>
        <v>0</v>
      </c>
      <c r="M226" s="2"/>
      <c r="N226" s="6">
        <f t="shared" si="96"/>
        <v>0</v>
      </c>
      <c r="O226" s="11"/>
      <c r="P226" s="7">
        <v>18411.8</v>
      </c>
      <c r="Q226" s="2"/>
      <c r="R226" s="6">
        <f t="shared" si="97"/>
        <v>6.8161529311962059E-3</v>
      </c>
      <c r="S226" s="2"/>
      <c r="T226" s="7">
        <v>4366.95</v>
      </c>
      <c r="U226" s="2"/>
      <c r="V226" s="6">
        <f t="shared" si="98"/>
        <v>6.1144833153505213E-4</v>
      </c>
      <c r="W226" s="2"/>
      <c r="X226" s="7">
        <f t="shared" si="99"/>
        <v>14044.849999999999</v>
      </c>
      <c r="Y226" s="2"/>
      <c r="Z226" s="6">
        <f t="shared" si="100"/>
        <v>3.216169179862375</v>
      </c>
    </row>
    <row r="227" spans="1:26" s="24" customFormat="1" hidden="1" outlineLevel="2" x14ac:dyDescent="0.25">
      <c r="A227" s="27"/>
      <c r="B227" s="11" t="str">
        <f>CONCATENATE("          ", "6254", " - ", "ROYALTY &amp; COMMISSIONS")</f>
        <v xml:space="preserve">          6254 - ROYALTY &amp; COMMISSIONS</v>
      </c>
      <c r="C227" s="11"/>
      <c r="D227" s="7"/>
      <c r="E227" s="2"/>
      <c r="F227" s="6">
        <f t="shared" si="93"/>
        <v>0</v>
      </c>
      <c r="G227" s="2"/>
      <c r="H227" s="7">
        <v>9924.06</v>
      </c>
      <c r="I227" s="2"/>
      <c r="J227" s="6">
        <f t="shared" si="94"/>
        <v>1.5221588732828494E-2</v>
      </c>
      <c r="K227" s="2"/>
      <c r="L227" s="7">
        <f t="shared" si="95"/>
        <v>-9924.06</v>
      </c>
      <c r="M227" s="2"/>
      <c r="N227" s="6">
        <f t="shared" si="96"/>
        <v>-1</v>
      </c>
      <c r="O227" s="11"/>
      <c r="P227" s="7">
        <v>185.7</v>
      </c>
      <c r="Q227" s="2"/>
      <c r="R227" s="6">
        <f t="shared" si="97"/>
        <v>6.8747194697049469E-5</v>
      </c>
      <c r="S227" s="2"/>
      <c r="T227" s="7">
        <v>17898.63</v>
      </c>
      <c r="U227" s="2"/>
      <c r="V227" s="6">
        <f t="shared" si="98"/>
        <v>2.5061169581202516E-3</v>
      </c>
      <c r="W227" s="2"/>
      <c r="X227" s="7">
        <f t="shared" si="99"/>
        <v>-17712.93</v>
      </c>
      <c r="Y227" s="2"/>
      <c r="Z227" s="6">
        <f t="shared" si="100"/>
        <v>-0.98962490425244831</v>
      </c>
    </row>
    <row r="228" spans="1:26" s="24" customFormat="1" hidden="1" outlineLevel="2" x14ac:dyDescent="0.25">
      <c r="A228" s="27"/>
      <c r="B228" s="11" t="str">
        <f>CONCATENATE("          ", "6259", " - ", "ROYALTY &amp; COMMISSIONS")</f>
        <v xml:space="preserve">          6259 - ROYALTY &amp; COMMISSIONS</v>
      </c>
      <c r="C228" s="11"/>
      <c r="D228" s="7">
        <v>5.97</v>
      </c>
      <c r="E228" s="2"/>
      <c r="F228" s="6">
        <f t="shared" si="93"/>
        <v>2.55530348744567E-5</v>
      </c>
      <c r="G228" s="2"/>
      <c r="H228" s="7">
        <v>12692.3</v>
      </c>
      <c r="I228" s="2"/>
      <c r="J228" s="6">
        <f t="shared" si="94"/>
        <v>1.9467533516895209E-2</v>
      </c>
      <c r="K228" s="2"/>
      <c r="L228" s="7">
        <f t="shared" si="95"/>
        <v>-12686.33</v>
      </c>
      <c r="M228" s="2"/>
      <c r="N228" s="6">
        <f t="shared" si="96"/>
        <v>-0.99952963607856737</v>
      </c>
      <c r="O228" s="11"/>
      <c r="P228" s="7">
        <v>10164.26</v>
      </c>
      <c r="Q228" s="2"/>
      <c r="R228" s="6">
        <f t="shared" si="97"/>
        <v>3.7628667806754554E-3</v>
      </c>
      <c r="S228" s="2"/>
      <c r="T228" s="7">
        <v>56559.98</v>
      </c>
      <c r="U228" s="2"/>
      <c r="V228" s="6">
        <f t="shared" si="98"/>
        <v>7.9193728809938118E-3</v>
      </c>
      <c r="W228" s="2"/>
      <c r="X228" s="7">
        <f t="shared" si="99"/>
        <v>-46395.72</v>
      </c>
      <c r="Y228" s="2"/>
      <c r="Z228" s="6">
        <f t="shared" si="100"/>
        <v>-0.82029236926887172</v>
      </c>
    </row>
    <row r="229" spans="1:26" s="25" customFormat="1" outlineLevel="1" collapsed="1" x14ac:dyDescent="0.25">
      <c r="A229" s="26"/>
      <c r="B229" s="13" t="str">
        <f>CONCATENATE("     ","Services                                          ")</f>
        <v xml:space="preserve">     Services                                          </v>
      </c>
      <c r="C229" s="13"/>
      <c r="D229" s="1">
        <f>SUM(OSRRefD22_19x_0)</f>
        <v>3492.68</v>
      </c>
      <c r="E229" s="1"/>
      <c r="F229" s="5">
        <f t="shared" ref="F229:F234" si="101">IF(D$12=0,0,D229/D$12)</f>
        <v>1.4949509856837091E-2</v>
      </c>
      <c r="G229" s="1"/>
      <c r="H229" s="1">
        <f>SUM(OSRRefH22_19x_0)</f>
        <v>7236.7699999999995</v>
      </c>
      <c r="I229" s="1"/>
      <c r="J229" s="5">
        <f t="shared" ref="J229:J234" si="102">IF(H$12=0,0,H229/H$12)</f>
        <v>1.1099805593080983E-2</v>
      </c>
      <c r="K229" s="1"/>
      <c r="L229" s="1">
        <f t="shared" ref="L229:L234" si="103">+D229-H229</f>
        <v>-3744.0899999999997</v>
      </c>
      <c r="M229" s="1"/>
      <c r="N229" s="5">
        <f t="shared" ref="N229:N234" si="104">IF(H229=0,0,L229/H229)</f>
        <v>-0.51737031852608273</v>
      </c>
      <c r="O229" s="13"/>
      <c r="P229" s="1">
        <f>SUM(OSRRefP22_19x_0)</f>
        <v>19537.64</v>
      </c>
      <c r="Q229" s="1"/>
      <c r="R229" s="5">
        <f t="shared" ref="R229:R234" si="105">IF(P$12=0,0,P229/P$12)</f>
        <v>7.2329452934887534E-3</v>
      </c>
      <c r="S229" s="1"/>
      <c r="T229" s="1">
        <f>SUM(OSRRefT22_19x_0)</f>
        <v>38188.229999999996</v>
      </c>
      <c r="U229" s="1"/>
      <c r="V229" s="5">
        <f t="shared" ref="V229:V234" si="106">IF(T$12=0,0,T229/T$12)</f>
        <v>5.3470109613750613E-3</v>
      </c>
      <c r="W229" s="1"/>
      <c r="X229" s="1">
        <f t="shared" ref="X229:X234" si="107">+P229-T229</f>
        <v>-18650.589999999997</v>
      </c>
      <c r="Y229" s="1"/>
      <c r="Z229" s="5">
        <f t="shared" ref="Z229:Z234" si="108">IF(T229=0,0,X229/T229)</f>
        <v>-0.4883858194003754</v>
      </c>
    </row>
    <row r="230" spans="1:26" s="24" customFormat="1" hidden="1" outlineLevel="2" x14ac:dyDescent="0.25">
      <c r="A230" s="27"/>
      <c r="B230" s="11" t="str">
        <f>CONCATENATE("          ", "6282", " - ", "JANITORIAL/EXTERMINATOR EXPENS")</f>
        <v xml:space="preserve">          6282 - JANITORIAL/EXTERMINATOR EXPENS</v>
      </c>
      <c r="C230" s="11"/>
      <c r="D230" s="7">
        <v>709.65</v>
      </c>
      <c r="E230" s="2"/>
      <c r="F230" s="6">
        <f t="shared" si="101"/>
        <v>3.0374725625893131E-3</v>
      </c>
      <c r="G230" s="2"/>
      <c r="H230" s="7">
        <v>1538.99</v>
      </c>
      <c r="I230" s="2"/>
      <c r="J230" s="6">
        <f t="shared" si="102"/>
        <v>2.360513020269499E-3</v>
      </c>
      <c r="K230" s="2"/>
      <c r="L230" s="7">
        <f t="shared" si="103"/>
        <v>-829.34</v>
      </c>
      <c r="M230" s="2"/>
      <c r="N230" s="6">
        <f t="shared" si="104"/>
        <v>-0.53888589269585896</v>
      </c>
      <c r="O230" s="11"/>
      <c r="P230" s="7">
        <v>5920.61</v>
      </c>
      <c r="Q230" s="2"/>
      <c r="R230" s="6">
        <f t="shared" si="105"/>
        <v>2.1918434485476471E-3</v>
      </c>
      <c r="S230" s="2"/>
      <c r="T230" s="7">
        <v>5750.63</v>
      </c>
      <c r="U230" s="2"/>
      <c r="V230" s="6">
        <f t="shared" si="106"/>
        <v>8.051874005370836E-4</v>
      </c>
      <c r="W230" s="2"/>
      <c r="X230" s="7">
        <f t="shared" si="107"/>
        <v>169.97999999999956</v>
      </c>
      <c r="Y230" s="2"/>
      <c r="Z230" s="6">
        <f t="shared" si="108"/>
        <v>2.9558500546896526E-2</v>
      </c>
    </row>
    <row r="231" spans="1:26" s="24" customFormat="1" hidden="1" outlineLevel="2" x14ac:dyDescent="0.25">
      <c r="A231" s="27"/>
      <c r="B231" s="11" t="str">
        <f>CONCATENATE("          ", "6283", " - ", "PLANT SERVICE")</f>
        <v xml:space="preserve">          6283 - PLANT SERVICE</v>
      </c>
      <c r="C231" s="11"/>
      <c r="D231" s="7"/>
      <c r="E231" s="2"/>
      <c r="F231" s="6">
        <f t="shared" si="101"/>
        <v>0</v>
      </c>
      <c r="G231" s="2"/>
      <c r="H231" s="7"/>
      <c r="I231" s="2"/>
      <c r="J231" s="6">
        <f t="shared" si="102"/>
        <v>0</v>
      </c>
      <c r="K231" s="2"/>
      <c r="L231" s="7">
        <f t="shared" si="103"/>
        <v>0</v>
      </c>
      <c r="M231" s="2"/>
      <c r="N231" s="6">
        <f t="shared" si="104"/>
        <v>0</v>
      </c>
      <c r="O231" s="11"/>
      <c r="P231" s="7">
        <v>171.31</v>
      </c>
      <c r="Q231" s="2"/>
      <c r="R231" s="6">
        <f t="shared" si="105"/>
        <v>6.3419934967967397E-5</v>
      </c>
      <c r="S231" s="2"/>
      <c r="T231" s="7">
        <v>541.98</v>
      </c>
      <c r="U231" s="2"/>
      <c r="V231" s="6">
        <f t="shared" si="106"/>
        <v>7.5886549359476893E-5</v>
      </c>
      <c r="W231" s="2"/>
      <c r="X231" s="7">
        <f t="shared" si="107"/>
        <v>-370.67</v>
      </c>
      <c r="Y231" s="2"/>
      <c r="Z231" s="6">
        <f t="shared" si="108"/>
        <v>-0.68391822576478833</v>
      </c>
    </row>
    <row r="232" spans="1:26" s="24" customFormat="1" hidden="1" outlineLevel="2" x14ac:dyDescent="0.25">
      <c r="A232" s="27"/>
      <c r="B232" s="11" t="str">
        <f>CONCATENATE("          ", "6284", " - ", "TRASH REMOVAL EXPENSE")</f>
        <v xml:space="preserve">          6284 - TRASH REMOVAL EXPENSE</v>
      </c>
      <c r="C232" s="11"/>
      <c r="D232" s="7">
        <v>574.14</v>
      </c>
      <c r="E232" s="2"/>
      <c r="F232" s="6">
        <f t="shared" si="101"/>
        <v>2.457457193102273E-3</v>
      </c>
      <c r="G232" s="2"/>
      <c r="H232" s="7">
        <v>919.82</v>
      </c>
      <c r="I232" s="2"/>
      <c r="J232" s="6">
        <f t="shared" si="102"/>
        <v>1.410825987371127E-3</v>
      </c>
      <c r="K232" s="2"/>
      <c r="L232" s="7">
        <f t="shared" si="103"/>
        <v>-345.68000000000006</v>
      </c>
      <c r="M232" s="2"/>
      <c r="N232" s="6">
        <f t="shared" si="104"/>
        <v>-0.37581265899849975</v>
      </c>
      <c r="O232" s="11"/>
      <c r="P232" s="7">
        <v>1448.44</v>
      </c>
      <c r="Q232" s="2"/>
      <c r="R232" s="6">
        <f t="shared" si="105"/>
        <v>5.3622071452339435E-4</v>
      </c>
      <c r="S232" s="2"/>
      <c r="T232" s="7">
        <v>2541.92</v>
      </c>
      <c r="U232" s="2"/>
      <c r="V232" s="6">
        <f t="shared" si="106"/>
        <v>3.5591264907900935E-4</v>
      </c>
      <c r="W232" s="2"/>
      <c r="X232" s="7">
        <f t="shared" si="107"/>
        <v>-1093.48</v>
      </c>
      <c r="Y232" s="2"/>
      <c r="Z232" s="6">
        <f t="shared" si="108"/>
        <v>-0.43017876251022846</v>
      </c>
    </row>
    <row r="233" spans="1:26" s="24" customFormat="1" hidden="1" outlineLevel="2" x14ac:dyDescent="0.25">
      <c r="A233" s="27"/>
      <c r="B233" s="11" t="str">
        <f>CONCATENATE("          ", "6285", " - ", "JANITORIAL SERVICES")</f>
        <v xml:space="preserve">          6285 - JANITORIAL SERVICES</v>
      </c>
      <c r="C233" s="11"/>
      <c r="D233" s="7">
        <v>2208.89</v>
      </c>
      <c r="E233" s="2"/>
      <c r="F233" s="6">
        <f t="shared" si="101"/>
        <v>9.4545801011455041E-3</v>
      </c>
      <c r="G233" s="2"/>
      <c r="H233" s="7">
        <v>4249.32</v>
      </c>
      <c r="I233" s="2"/>
      <c r="J233" s="6">
        <f t="shared" si="102"/>
        <v>6.5176350640950148E-3</v>
      </c>
      <c r="K233" s="2"/>
      <c r="L233" s="7">
        <f t="shared" si="103"/>
        <v>-2040.4299999999998</v>
      </c>
      <c r="M233" s="2"/>
      <c r="N233" s="6">
        <f t="shared" si="104"/>
        <v>-0.48017800495138047</v>
      </c>
      <c r="O233" s="11"/>
      <c r="P233" s="7">
        <v>11997.28</v>
      </c>
      <c r="Q233" s="2"/>
      <c r="R233" s="6">
        <f t="shared" si="105"/>
        <v>4.4414611954497456E-3</v>
      </c>
      <c r="S233" s="2"/>
      <c r="T233" s="7">
        <v>25093.360000000001</v>
      </c>
      <c r="U233" s="2"/>
      <c r="V233" s="6">
        <f t="shared" si="106"/>
        <v>3.5135032699271616E-3</v>
      </c>
      <c r="W233" s="2"/>
      <c r="X233" s="7">
        <f t="shared" si="107"/>
        <v>-13096.08</v>
      </c>
      <c r="Y233" s="2"/>
      <c r="Z233" s="6">
        <f t="shared" si="108"/>
        <v>-0.5218942381570264</v>
      </c>
    </row>
    <row r="234" spans="1:26" s="24" customFormat="1" hidden="1" outlineLevel="2" x14ac:dyDescent="0.25">
      <c r="A234" s="27"/>
      <c r="B234" s="11" t="str">
        <f>CONCATENATE("          ", "6286", " - ", "LAUNDRY EXPENSE")</f>
        <v xml:space="preserve">          6286 - LAUNDRY EXPENSE</v>
      </c>
      <c r="C234" s="11"/>
      <c r="D234" s="7"/>
      <c r="E234" s="2"/>
      <c r="F234" s="6">
        <f t="shared" si="101"/>
        <v>0</v>
      </c>
      <c r="G234" s="2"/>
      <c r="H234" s="7">
        <v>528.64</v>
      </c>
      <c r="I234" s="2"/>
      <c r="J234" s="6">
        <f t="shared" si="102"/>
        <v>8.1083152134534204E-4</v>
      </c>
      <c r="K234" s="2"/>
      <c r="L234" s="7">
        <f t="shared" si="103"/>
        <v>-528.64</v>
      </c>
      <c r="M234" s="2"/>
      <c r="N234" s="6">
        <f t="shared" si="104"/>
        <v>-1</v>
      </c>
      <c r="O234" s="11"/>
      <c r="P234" s="7"/>
      <c r="Q234" s="2"/>
      <c r="R234" s="6">
        <f t="shared" si="105"/>
        <v>0</v>
      </c>
      <c r="S234" s="2"/>
      <c r="T234" s="7">
        <v>4260.34</v>
      </c>
      <c r="U234" s="2"/>
      <c r="V234" s="6">
        <f t="shared" si="106"/>
        <v>5.9652109247233071E-4</v>
      </c>
      <c r="W234" s="2"/>
      <c r="X234" s="7">
        <f t="shared" si="107"/>
        <v>-4260.34</v>
      </c>
      <c r="Y234" s="2"/>
      <c r="Z234" s="6">
        <f t="shared" si="108"/>
        <v>-1</v>
      </c>
    </row>
    <row r="235" spans="1:26" s="25" customFormat="1" outlineLevel="1" collapsed="1" x14ac:dyDescent="0.25">
      <c r="A235" s="26"/>
      <c r="B235" s="13" t="str">
        <f>CONCATENATE("     ","Subscriptions &amp; Dues                              ")</f>
        <v xml:space="preserve">     Subscriptions &amp; Dues                              </v>
      </c>
      <c r="C235" s="13"/>
      <c r="D235" s="1">
        <f>SUM(OSRRefD22_20x_0)</f>
        <v>80.430000000000007</v>
      </c>
      <c r="E235" s="1"/>
      <c r="F235" s="5">
        <f t="shared" ref="F235:F237" si="109">IF(D$12=0,0,D235/D$12)</f>
        <v>3.4425973114783127E-4</v>
      </c>
      <c r="G235" s="1"/>
      <c r="H235" s="1">
        <f>SUM(OSRRefH22_20x_0)</f>
        <v>602.79999999999995</v>
      </c>
      <c r="I235" s="1"/>
      <c r="J235" s="5">
        <f t="shared" ref="J235:J237" si="110">IF(H$12=0,0,H235/H$12)</f>
        <v>9.2457861884642127E-4</v>
      </c>
      <c r="K235" s="1"/>
      <c r="L235" s="1">
        <f t="shared" ref="L235:L237" si="111">+D235-H235</f>
        <v>-522.36999999999989</v>
      </c>
      <c r="M235" s="1"/>
      <c r="N235" s="5">
        <f t="shared" ref="N235:N237" si="112">IF(H235=0,0,L235/H235)</f>
        <v>-0.86657266091572649</v>
      </c>
      <c r="O235" s="13"/>
      <c r="P235" s="1">
        <f>SUM(OSRRefP22_20x_0)</f>
        <v>1455.44</v>
      </c>
      <c r="Q235" s="1"/>
      <c r="R235" s="5">
        <f t="shared" ref="R235:R237" si="113">IF(P$12=0,0,P235/P$12)</f>
        <v>5.3881215428041836E-4</v>
      </c>
      <c r="S235" s="1"/>
      <c r="T235" s="1">
        <f>SUM(OSRRefT22_20x_0)</f>
        <v>3526.16</v>
      </c>
      <c r="U235" s="1"/>
      <c r="V235" s="5">
        <f t="shared" ref="V235:V237" si="114">IF(T$12=0,0,T235/T$12)</f>
        <v>4.9372322759034094E-4</v>
      </c>
      <c r="W235" s="1"/>
      <c r="X235" s="1">
        <f t="shared" ref="X235:X237" si="115">+P235-T235</f>
        <v>-2070.7199999999998</v>
      </c>
      <c r="Y235" s="1"/>
      <c r="Z235" s="5">
        <f t="shared" ref="Z235:Z237" si="116">IF(T235=0,0,X235/T235)</f>
        <v>-0.58724504843796077</v>
      </c>
    </row>
    <row r="236" spans="1:26" s="24" customFormat="1" hidden="1" outlineLevel="2" x14ac:dyDescent="0.25">
      <c r="A236" s="27"/>
      <c r="B236" s="11" t="str">
        <f>CONCATENATE("          ", "6258", " - ", "MEMBERSHIP DUES")</f>
        <v xml:space="preserve">          6258 - MEMBERSHIP DUES</v>
      </c>
      <c r="C236" s="11"/>
      <c r="D236" s="7">
        <v>80.430000000000007</v>
      </c>
      <c r="E236" s="2"/>
      <c r="F236" s="6">
        <f t="shared" si="109"/>
        <v>3.4425973114783127E-4</v>
      </c>
      <c r="G236" s="2"/>
      <c r="H236" s="7">
        <v>250</v>
      </c>
      <c r="I236" s="2"/>
      <c r="J236" s="6">
        <f t="shared" si="110"/>
        <v>3.8345165015196637E-4</v>
      </c>
      <c r="K236" s="2"/>
      <c r="L236" s="7">
        <f t="shared" si="111"/>
        <v>-169.57</v>
      </c>
      <c r="M236" s="2"/>
      <c r="N236" s="6">
        <f t="shared" si="112"/>
        <v>-0.67827999999999999</v>
      </c>
      <c r="O236" s="11"/>
      <c r="P236" s="7">
        <v>1229.71</v>
      </c>
      <c r="Q236" s="2"/>
      <c r="R236" s="6">
        <f t="shared" si="113"/>
        <v>4.5524562622998763E-4</v>
      </c>
      <c r="S236" s="2"/>
      <c r="T236" s="7">
        <v>1677.4</v>
      </c>
      <c r="U236" s="2"/>
      <c r="V236" s="6">
        <f t="shared" si="114"/>
        <v>2.3486493578284538E-4</v>
      </c>
      <c r="W236" s="2"/>
      <c r="X236" s="7">
        <f t="shared" si="115"/>
        <v>-447.69000000000005</v>
      </c>
      <c r="Y236" s="2"/>
      <c r="Z236" s="6">
        <f t="shared" si="116"/>
        <v>-0.26689519494455705</v>
      </c>
    </row>
    <row r="237" spans="1:26" s="24" customFormat="1" hidden="1" outlineLevel="2" x14ac:dyDescent="0.25">
      <c r="A237" s="27"/>
      <c r="B237" s="11" t="str">
        <f>CONCATENATE("          ", "6275", " - ", "SUBSCRIPTIONS")</f>
        <v xml:space="preserve">          6275 - SUBSCRIPTIONS</v>
      </c>
      <c r="C237" s="11"/>
      <c r="D237" s="7"/>
      <c r="E237" s="2"/>
      <c r="F237" s="6">
        <f t="shared" si="109"/>
        <v>0</v>
      </c>
      <c r="G237" s="2"/>
      <c r="H237" s="7">
        <v>352.8</v>
      </c>
      <c r="I237" s="2"/>
      <c r="J237" s="6">
        <f t="shared" si="110"/>
        <v>5.4112696869445501E-4</v>
      </c>
      <c r="K237" s="2"/>
      <c r="L237" s="7">
        <f t="shared" si="111"/>
        <v>-352.8</v>
      </c>
      <c r="M237" s="2"/>
      <c r="N237" s="6">
        <f t="shared" si="112"/>
        <v>-1</v>
      </c>
      <c r="O237" s="11"/>
      <c r="P237" s="7">
        <v>225.73</v>
      </c>
      <c r="Q237" s="2"/>
      <c r="R237" s="6">
        <f t="shared" si="113"/>
        <v>8.3566528050430672E-5</v>
      </c>
      <c r="S237" s="2"/>
      <c r="T237" s="7">
        <v>1848.76</v>
      </c>
      <c r="U237" s="2"/>
      <c r="V237" s="6">
        <f t="shared" si="114"/>
        <v>2.5885829180749564E-4</v>
      </c>
      <c r="W237" s="2"/>
      <c r="X237" s="7">
        <f t="shared" si="115"/>
        <v>-1623.03</v>
      </c>
      <c r="Y237" s="2"/>
      <c r="Z237" s="6">
        <f t="shared" si="116"/>
        <v>-0.87790194508751807</v>
      </c>
    </row>
    <row r="238" spans="1:26" s="25" customFormat="1" outlineLevel="1" collapsed="1" x14ac:dyDescent="0.25">
      <c r="A238" s="26"/>
      <c r="B238" s="13" t="str">
        <f>CONCATENATE("     ","Supplies                                          ")</f>
        <v xml:space="preserve">     Supplies                                          </v>
      </c>
      <c r="C238" s="13"/>
      <c r="D238" s="1">
        <f>SUM(OSRRefD22_21x_0)</f>
        <v>5930.1799999999994</v>
      </c>
      <c r="E238" s="1"/>
      <c r="F238" s="5">
        <f t="shared" ref="F238:F245" si="117">IF(D$12=0,0,D238/D$12)</f>
        <v>2.5382595703820038E-2</v>
      </c>
      <c r="G238" s="1"/>
      <c r="H238" s="1">
        <f>SUM(OSRRefH22_21x_0)</f>
        <v>10374.570000000002</v>
      </c>
      <c r="I238" s="1"/>
      <c r="J238" s="5">
        <f t="shared" ref="J238:J245" si="118">IF(H$12=0,0,H238/H$12)</f>
        <v>1.5912583944468345E-2</v>
      </c>
      <c r="K238" s="1"/>
      <c r="L238" s="1">
        <f t="shared" ref="L238:L245" si="119">+D238-H238</f>
        <v>-4444.3900000000021</v>
      </c>
      <c r="M238" s="1"/>
      <c r="N238" s="5">
        <f t="shared" ref="N238:N245" si="120">IF(H238=0,0,L238/H238)</f>
        <v>-0.42839269482976178</v>
      </c>
      <c r="O238" s="13"/>
      <c r="P238" s="1">
        <f>SUM(OSRRefP22_21x_0)</f>
        <v>78420.19</v>
      </c>
      <c r="Q238" s="1"/>
      <c r="R238" s="5">
        <f t="shared" ref="R238:R245" si="121">IF(P$12=0,0,P238/P$12)</f>
        <v>2.9031599731338783E-2</v>
      </c>
      <c r="S238" s="1"/>
      <c r="T238" s="1">
        <f>SUM(OSRRefT22_21x_0)</f>
        <v>88647.59</v>
      </c>
      <c r="U238" s="1"/>
      <c r="V238" s="5">
        <f t="shared" ref="V238:V245" si="122">IF(T$12=0,0,T238/T$12)</f>
        <v>1.2412191804372245E-2</v>
      </c>
      <c r="W238" s="1"/>
      <c r="X238" s="1">
        <f t="shared" ref="X238:X245" si="123">+P238-T238</f>
        <v>-10227.399999999994</v>
      </c>
      <c r="Y238" s="1"/>
      <c r="Z238" s="5">
        <f t="shared" ref="Z238:Z245" si="124">IF(T238=0,0,X238/T238)</f>
        <v>-0.11537143874977306</v>
      </c>
    </row>
    <row r="239" spans="1:26" s="24" customFormat="1" hidden="1" outlineLevel="2" x14ac:dyDescent="0.25">
      <c r="A239" s="27"/>
      <c r="B239" s="11" t="str">
        <f>CONCATENATE("          ", "6234", " - ", "EXPENDABLE SUPPLIES &amp; EQUIPMEN")</f>
        <v xml:space="preserve">          6234 - EXPENDABLE SUPPLIES &amp; EQUIPMEN</v>
      </c>
      <c r="C239" s="11"/>
      <c r="D239" s="7"/>
      <c r="E239" s="2"/>
      <c r="F239" s="6">
        <f t="shared" si="117"/>
        <v>0</v>
      </c>
      <c r="G239" s="2"/>
      <c r="H239" s="7"/>
      <c r="I239" s="2"/>
      <c r="J239" s="6">
        <f t="shared" si="118"/>
        <v>0</v>
      </c>
      <c r="K239" s="2"/>
      <c r="L239" s="7">
        <f t="shared" si="119"/>
        <v>0</v>
      </c>
      <c r="M239" s="2"/>
      <c r="N239" s="6">
        <f t="shared" si="120"/>
        <v>0</v>
      </c>
      <c r="O239" s="11"/>
      <c r="P239" s="7">
        <v>-132.66999999999999</v>
      </c>
      <c r="Q239" s="2"/>
      <c r="R239" s="6">
        <f t="shared" si="121"/>
        <v>-4.9115187509195223E-5</v>
      </c>
      <c r="S239" s="2"/>
      <c r="T239" s="7">
        <v>2915.21</v>
      </c>
      <c r="U239" s="2"/>
      <c r="V239" s="6">
        <f t="shared" si="122"/>
        <v>4.0817968847234331E-4</v>
      </c>
      <c r="W239" s="2"/>
      <c r="X239" s="7">
        <f t="shared" si="123"/>
        <v>-3047.88</v>
      </c>
      <c r="Y239" s="2"/>
      <c r="Z239" s="6">
        <f t="shared" si="124"/>
        <v>-1.0455095859303447</v>
      </c>
    </row>
    <row r="240" spans="1:26" s="24" customFormat="1" hidden="1" outlineLevel="2" x14ac:dyDescent="0.25">
      <c r="A240" s="27"/>
      <c r="B240" s="11" t="str">
        <f>CONCATENATE("          ", "6235", " - ", "COVID-19 EXPENSES")</f>
        <v xml:space="preserve">          6235 - COVID-19 EXPENSES</v>
      </c>
      <c r="C240" s="11"/>
      <c r="D240" s="7">
        <v>2921.2</v>
      </c>
      <c r="E240" s="2"/>
      <c r="F240" s="6">
        <f t="shared" si="117"/>
        <v>1.2503438103059115E-2</v>
      </c>
      <c r="G240" s="2"/>
      <c r="H240" s="7"/>
      <c r="I240" s="2"/>
      <c r="J240" s="6">
        <f t="shared" si="118"/>
        <v>0</v>
      </c>
      <c r="K240" s="2"/>
      <c r="L240" s="7">
        <f t="shared" si="119"/>
        <v>2921.2</v>
      </c>
      <c r="M240" s="2"/>
      <c r="N240" s="6">
        <f t="shared" si="120"/>
        <v>0</v>
      </c>
      <c r="O240" s="11"/>
      <c r="P240" s="7">
        <v>31585.100000000002</v>
      </c>
      <c r="Q240" s="2"/>
      <c r="R240" s="6">
        <f t="shared" si="121"/>
        <v>1.1692983409939565E-2</v>
      </c>
      <c r="S240" s="2"/>
      <c r="T240" s="7"/>
      <c r="U240" s="2"/>
      <c r="V240" s="6">
        <f t="shared" si="122"/>
        <v>0</v>
      </c>
      <c r="W240" s="2"/>
      <c r="X240" s="7">
        <f t="shared" si="123"/>
        <v>31585.100000000002</v>
      </c>
      <c r="Y240" s="2"/>
      <c r="Z240" s="6">
        <f t="shared" si="124"/>
        <v>0</v>
      </c>
    </row>
    <row r="241" spans="1:26" s="24" customFormat="1" hidden="1" outlineLevel="2" x14ac:dyDescent="0.25">
      <c r="A241" s="27"/>
      <c r="B241" s="11" t="str">
        <f>CONCATENATE("          ", "6237", " - ", "JANITORIAL SUPPLIES")</f>
        <v xml:space="preserve">          6237 - JANITORIAL SUPPLIES</v>
      </c>
      <c r="C241" s="11"/>
      <c r="D241" s="7">
        <v>438.53</v>
      </c>
      <c r="E241" s="2"/>
      <c r="F241" s="6">
        <f t="shared" si="117"/>
        <v>1.8770137995804852E-3</v>
      </c>
      <c r="G241" s="2"/>
      <c r="H241" s="7">
        <v>312.3</v>
      </c>
      <c r="I241" s="2"/>
      <c r="J241" s="6">
        <f t="shared" si="118"/>
        <v>4.7900780136983642E-4</v>
      </c>
      <c r="K241" s="2"/>
      <c r="L241" s="7">
        <f t="shared" si="119"/>
        <v>126.22999999999996</v>
      </c>
      <c r="M241" s="2"/>
      <c r="N241" s="6">
        <f t="shared" si="120"/>
        <v>0.40419468459814267</v>
      </c>
      <c r="O241" s="11"/>
      <c r="P241" s="7">
        <v>2251.4499999999998</v>
      </c>
      <c r="Q241" s="2"/>
      <c r="R241" s="6">
        <f t="shared" si="121"/>
        <v>8.3349957727879391E-4</v>
      </c>
      <c r="S241" s="2"/>
      <c r="T241" s="7">
        <v>5993.91</v>
      </c>
      <c r="U241" s="2"/>
      <c r="V241" s="6">
        <f t="shared" si="122"/>
        <v>8.3925079720886765E-4</v>
      </c>
      <c r="W241" s="2"/>
      <c r="X241" s="7">
        <f t="shared" si="123"/>
        <v>-3742.46</v>
      </c>
      <c r="Y241" s="2"/>
      <c r="Z241" s="6">
        <f t="shared" si="124"/>
        <v>-0.62437707606553983</v>
      </c>
    </row>
    <row r="242" spans="1:26" s="24" customFormat="1" hidden="1" outlineLevel="2" x14ac:dyDescent="0.25">
      <c r="A242" s="27"/>
      <c r="B242" s="11" t="str">
        <f>CONCATENATE("          ", "6241", " - ", "OFFICE EXPENSE")</f>
        <v xml:space="preserve">          6241 - OFFICE EXPENSE</v>
      </c>
      <c r="C242" s="11"/>
      <c r="D242" s="7">
        <v>308.81</v>
      </c>
      <c r="E242" s="2"/>
      <c r="F242" s="6">
        <f t="shared" si="117"/>
        <v>1.3217810217053558E-3</v>
      </c>
      <c r="G242" s="2"/>
      <c r="H242" s="7">
        <v>3144.3</v>
      </c>
      <c r="I242" s="2"/>
      <c r="J242" s="6">
        <f t="shared" si="118"/>
        <v>4.8227480942913117E-3</v>
      </c>
      <c r="K242" s="2"/>
      <c r="L242" s="7">
        <f t="shared" si="119"/>
        <v>-2835.4900000000002</v>
      </c>
      <c r="M242" s="2"/>
      <c r="N242" s="6">
        <f t="shared" si="120"/>
        <v>-0.90178736125687753</v>
      </c>
      <c r="O242" s="11"/>
      <c r="P242" s="7">
        <v>8918.9699999999993</v>
      </c>
      <c r="Q242" s="2"/>
      <c r="R242" s="6">
        <f t="shared" si="121"/>
        <v>3.3018533499576913E-3</v>
      </c>
      <c r="S242" s="2"/>
      <c r="T242" s="7">
        <v>19371.710000000003</v>
      </c>
      <c r="U242" s="2"/>
      <c r="V242" s="6">
        <f t="shared" si="122"/>
        <v>2.7123735693060117E-3</v>
      </c>
      <c r="W242" s="2"/>
      <c r="X242" s="7">
        <f t="shared" si="123"/>
        <v>-10452.740000000003</v>
      </c>
      <c r="Y242" s="2"/>
      <c r="Z242" s="6">
        <f t="shared" si="124"/>
        <v>-0.5395878835683583</v>
      </c>
    </row>
    <row r="243" spans="1:26" s="24" customFormat="1" hidden="1" outlineLevel="2" x14ac:dyDescent="0.25">
      <c r="A243" s="27"/>
      <c r="B243" s="11" t="str">
        <f>CONCATENATE("          ", "6243", " - ", "PAPER SUPPLIES")</f>
        <v xml:space="preserve">          6243 - PAPER SUPPLIES</v>
      </c>
      <c r="C243" s="11"/>
      <c r="D243" s="7">
        <v>411.1</v>
      </c>
      <c r="E243" s="2"/>
      <c r="F243" s="6">
        <f t="shared" si="117"/>
        <v>1.759606806849104E-3</v>
      </c>
      <c r="G243" s="2"/>
      <c r="H243" s="7">
        <v>3563.77</v>
      </c>
      <c r="I243" s="2"/>
      <c r="J243" s="6">
        <f t="shared" si="118"/>
        <v>5.4661339490482928E-3</v>
      </c>
      <c r="K243" s="2"/>
      <c r="L243" s="7">
        <f t="shared" si="119"/>
        <v>-3152.67</v>
      </c>
      <c r="M243" s="2"/>
      <c r="N243" s="6">
        <f t="shared" si="120"/>
        <v>-0.88464463194875098</v>
      </c>
      <c r="O243" s="11"/>
      <c r="P243" s="7">
        <v>5093.3999999999996</v>
      </c>
      <c r="Q243" s="2"/>
      <c r="R243" s="6">
        <f t="shared" si="121"/>
        <v>1.8856056083465362E-3</v>
      </c>
      <c r="S243" s="2"/>
      <c r="T243" s="7">
        <v>12911.1</v>
      </c>
      <c r="U243" s="2"/>
      <c r="V243" s="6">
        <f t="shared" si="122"/>
        <v>1.8077767213460683E-3</v>
      </c>
      <c r="W243" s="2"/>
      <c r="X243" s="7">
        <f t="shared" si="123"/>
        <v>-7817.7000000000007</v>
      </c>
      <c r="Y243" s="2"/>
      <c r="Z243" s="6">
        <f t="shared" si="124"/>
        <v>-0.60550224225666294</v>
      </c>
    </row>
    <row r="244" spans="1:26" s="24" customFormat="1" hidden="1" outlineLevel="2" x14ac:dyDescent="0.25">
      <c r="A244" s="27"/>
      <c r="B244" s="11" t="str">
        <f>CONCATENATE("          ", "6245", " - ", "PRINTING")</f>
        <v xml:space="preserve">          6245 - PRINTING</v>
      </c>
      <c r="C244" s="11"/>
      <c r="D244" s="7"/>
      <c r="E244" s="2"/>
      <c r="F244" s="6">
        <f t="shared" si="117"/>
        <v>0</v>
      </c>
      <c r="G244" s="2"/>
      <c r="H244" s="7">
        <v>748.76</v>
      </c>
      <c r="I244" s="2"/>
      <c r="J244" s="6">
        <f t="shared" si="118"/>
        <v>1.1484530302711454E-3</v>
      </c>
      <c r="K244" s="2"/>
      <c r="L244" s="7">
        <f t="shared" si="119"/>
        <v>-748.76</v>
      </c>
      <c r="M244" s="2"/>
      <c r="N244" s="6">
        <f t="shared" si="120"/>
        <v>-1</v>
      </c>
      <c r="O244" s="11"/>
      <c r="P244" s="7">
        <v>508.27</v>
      </c>
      <c r="Q244" s="2"/>
      <c r="R244" s="6">
        <f t="shared" si="121"/>
        <v>1.8816444075750853E-4</v>
      </c>
      <c r="S244" s="2"/>
      <c r="T244" s="7">
        <v>5675.55</v>
      </c>
      <c r="U244" s="2"/>
      <c r="V244" s="6">
        <f t="shared" si="122"/>
        <v>7.9467490537875763E-4</v>
      </c>
      <c r="W244" s="2"/>
      <c r="X244" s="7">
        <f t="shared" si="123"/>
        <v>-5167.2800000000007</v>
      </c>
      <c r="Y244" s="2"/>
      <c r="Z244" s="6">
        <f t="shared" si="124"/>
        <v>-0.91044568367823386</v>
      </c>
    </row>
    <row r="245" spans="1:26" s="24" customFormat="1" hidden="1" outlineLevel="2" x14ac:dyDescent="0.25">
      <c r="A245" s="27"/>
      <c r="B245" s="11" t="str">
        <f>CONCATENATE("          ", "6247", " - ", "STORE SUPPLIES")</f>
        <v xml:space="preserve">          6247 - STORE SUPPLIES</v>
      </c>
      <c r="C245" s="11"/>
      <c r="D245" s="7">
        <v>1850.54</v>
      </c>
      <c r="E245" s="2"/>
      <c r="F245" s="6">
        <f t="shared" si="117"/>
        <v>7.9207559726259813E-3</v>
      </c>
      <c r="G245" s="2"/>
      <c r="H245" s="7">
        <v>2605.44</v>
      </c>
      <c r="I245" s="2"/>
      <c r="J245" s="6">
        <f t="shared" si="118"/>
        <v>3.9962410694877578E-3</v>
      </c>
      <c r="K245" s="2"/>
      <c r="L245" s="7">
        <f t="shared" si="119"/>
        <v>-754.90000000000009</v>
      </c>
      <c r="M245" s="2"/>
      <c r="N245" s="6">
        <f t="shared" si="120"/>
        <v>-0.28973992876443139</v>
      </c>
      <c r="O245" s="11"/>
      <c r="P245" s="7">
        <v>30195.670000000002</v>
      </c>
      <c r="Q245" s="2"/>
      <c r="R245" s="6">
        <f t="shared" si="121"/>
        <v>1.1178608532567883E-2</v>
      </c>
      <c r="S245" s="2"/>
      <c r="T245" s="7">
        <v>41780.11</v>
      </c>
      <c r="U245" s="2"/>
      <c r="V245" s="6">
        <f t="shared" si="122"/>
        <v>5.849936122660198E-3</v>
      </c>
      <c r="W245" s="2"/>
      <c r="X245" s="7">
        <f t="shared" si="123"/>
        <v>-11584.439999999999</v>
      </c>
      <c r="Y245" s="2"/>
      <c r="Z245" s="6">
        <f t="shared" si="124"/>
        <v>-0.27727164911724739</v>
      </c>
    </row>
    <row r="246" spans="1:26" s="25" customFormat="1" outlineLevel="1" collapsed="1" x14ac:dyDescent="0.25">
      <c r="A246" s="26"/>
      <c r="B246" s="13" t="str">
        <f>CONCATENATE("     ","Telephone/Data Lines                              ")</f>
        <v xml:space="preserve">     Telephone/Data Lines                              </v>
      </c>
      <c r="C246" s="13"/>
      <c r="D246" s="1">
        <f>SUM(OSRRefD22_22x_0)</f>
        <v>2247.09</v>
      </c>
      <c r="E246" s="1"/>
      <c r="F246" s="5">
        <f t="shared" ref="F246:F248" si="125">IF(D$12=0,0,D246/D$12)</f>
        <v>9.6180852824192496E-3</v>
      </c>
      <c r="G246" s="1"/>
      <c r="H246" s="1">
        <f>SUM(OSRRefH22_22x_0)</f>
        <v>2949.45</v>
      </c>
      <c r="I246" s="1"/>
      <c r="J246" s="5">
        <f t="shared" ref="J246:J248" si="126">IF(H$12=0,0,H246/H$12)</f>
        <v>4.5238858781628689E-3</v>
      </c>
      <c r="K246" s="1"/>
      <c r="L246" s="1">
        <f t="shared" ref="L246:L248" si="127">+D246-H246</f>
        <v>-702.35999999999967</v>
      </c>
      <c r="M246" s="1"/>
      <c r="N246" s="5">
        <f t="shared" ref="N246:N248" si="128">IF(H246=0,0,L246/H246)</f>
        <v>-0.23813253318415289</v>
      </c>
      <c r="O246" s="13"/>
      <c r="P246" s="1">
        <f>SUM(OSRRefP22_22x_0)</f>
        <v>17688.48</v>
      </c>
      <c r="Q246" s="1"/>
      <c r="R246" s="5">
        <f t="shared" ref="R246:R248" si="129">IF(P$12=0,0,P246/P$12)</f>
        <v>6.5483757590461258E-3</v>
      </c>
      <c r="S246" s="1"/>
      <c r="T246" s="1">
        <f>SUM(OSRRefT22_22x_0)</f>
        <v>18101.52</v>
      </c>
      <c r="U246" s="1"/>
      <c r="V246" s="5">
        <f t="shared" ref="V246:V248" si="130">IF(T$12=0,0,T246/T$12)</f>
        <v>2.5345250580492973E-3</v>
      </c>
      <c r="W246" s="1"/>
      <c r="X246" s="1">
        <f t="shared" ref="X246:X248" si="131">+P246-T246</f>
        <v>-413.04000000000087</v>
      </c>
      <c r="Y246" s="1"/>
      <c r="Z246" s="5">
        <f t="shared" ref="Z246:Z248" si="132">IF(T246=0,0,X246/T246)</f>
        <v>-2.281797329727011E-2</v>
      </c>
    </row>
    <row r="247" spans="1:26" s="24" customFormat="1" hidden="1" outlineLevel="2" x14ac:dyDescent="0.25">
      <c r="A247" s="27"/>
      <c r="B247" s="11" t="str">
        <f>CONCATENATE("          ", "6303", " - ", "DATA PHONE LINES")</f>
        <v xml:space="preserve">          6303 - DATA PHONE LINES</v>
      </c>
      <c r="C247" s="11"/>
      <c r="D247" s="7"/>
      <c r="E247" s="2"/>
      <c r="F247" s="6">
        <f t="shared" si="125"/>
        <v>0</v>
      </c>
      <c r="G247" s="2"/>
      <c r="H247" s="7">
        <v>295</v>
      </c>
      <c r="I247" s="2"/>
      <c r="J247" s="6">
        <f t="shared" si="126"/>
        <v>4.5247294717932037E-4</v>
      </c>
      <c r="K247" s="2"/>
      <c r="L247" s="7">
        <f t="shared" si="127"/>
        <v>-295</v>
      </c>
      <c r="M247" s="2"/>
      <c r="N247" s="6">
        <f t="shared" si="128"/>
        <v>-1</v>
      </c>
      <c r="O247" s="11"/>
      <c r="P247" s="7">
        <v>2065</v>
      </c>
      <c r="Q247" s="2"/>
      <c r="R247" s="6">
        <f t="shared" si="129"/>
        <v>7.6447472832206337E-4</v>
      </c>
      <c r="S247" s="2"/>
      <c r="T247" s="7">
        <v>1770</v>
      </c>
      <c r="U247" s="2"/>
      <c r="V247" s="6">
        <f t="shared" si="130"/>
        <v>2.4783053316778129E-4</v>
      </c>
      <c r="W247" s="2"/>
      <c r="X247" s="7">
        <f t="shared" si="131"/>
        <v>295</v>
      </c>
      <c r="Y247" s="2"/>
      <c r="Z247" s="6">
        <f t="shared" si="132"/>
        <v>0.16666666666666666</v>
      </c>
    </row>
    <row r="248" spans="1:26" s="24" customFormat="1" hidden="1" outlineLevel="2" x14ac:dyDescent="0.25">
      <c r="A248" s="27"/>
      <c r="B248" s="11" t="str">
        <f>CONCATENATE("          ", "6309", " - ", "TELEPHONE")</f>
        <v xml:space="preserve">          6309 - TELEPHONE</v>
      </c>
      <c r="C248" s="11"/>
      <c r="D248" s="7">
        <v>2247.09</v>
      </c>
      <c r="E248" s="2"/>
      <c r="F248" s="6">
        <f t="shared" si="125"/>
        <v>9.6180852824192496E-3</v>
      </c>
      <c r="G248" s="2"/>
      <c r="H248" s="7">
        <v>2654.45</v>
      </c>
      <c r="I248" s="2"/>
      <c r="J248" s="6">
        <f t="shared" si="126"/>
        <v>4.0714129309835489E-3</v>
      </c>
      <c r="K248" s="2"/>
      <c r="L248" s="7">
        <f t="shared" si="127"/>
        <v>-407.35999999999967</v>
      </c>
      <c r="M248" s="2"/>
      <c r="N248" s="6">
        <f t="shared" si="128"/>
        <v>-0.15346305260976839</v>
      </c>
      <c r="O248" s="11"/>
      <c r="P248" s="7">
        <v>15623.48</v>
      </c>
      <c r="Q248" s="2"/>
      <c r="R248" s="6">
        <f t="shared" si="129"/>
        <v>5.7839010307240623E-3</v>
      </c>
      <c r="S248" s="2"/>
      <c r="T248" s="7">
        <v>16331.52</v>
      </c>
      <c r="U248" s="2"/>
      <c r="V248" s="6">
        <f t="shared" si="130"/>
        <v>2.286694524881516E-3</v>
      </c>
      <c r="W248" s="2"/>
      <c r="X248" s="7">
        <f t="shared" si="131"/>
        <v>-708.04000000000087</v>
      </c>
      <c r="Y248" s="2"/>
      <c r="Z248" s="6">
        <f t="shared" si="132"/>
        <v>-4.335420095618784E-2</v>
      </c>
    </row>
    <row r="249" spans="1:26" s="25" customFormat="1" outlineLevel="1" collapsed="1" x14ac:dyDescent="0.25">
      <c r="A249" s="26"/>
      <c r="B249" s="13" t="str">
        <f>CONCATENATE("     ","Training                                          ")</f>
        <v xml:space="preserve">     Training                                          </v>
      </c>
      <c r="C249" s="13"/>
      <c r="D249" s="1">
        <f>SUM(OSRRefD22_23x_0)</f>
        <v>0</v>
      </c>
      <c r="E249" s="1"/>
      <c r="F249" s="5">
        <f t="shared" ref="F249:F254" si="133">IF(D$12=0,0,D249/D$12)</f>
        <v>0</v>
      </c>
      <c r="G249" s="1"/>
      <c r="H249" s="1">
        <f>SUM(OSRRefH22_23x_0)</f>
        <v>0</v>
      </c>
      <c r="I249" s="1"/>
      <c r="J249" s="5">
        <f t="shared" ref="J249:J254" si="134">IF(H$12=0,0,H249/H$12)</f>
        <v>0</v>
      </c>
      <c r="K249" s="1"/>
      <c r="L249" s="1">
        <f t="shared" ref="L249:L254" si="135">+D249-H249</f>
        <v>0</v>
      </c>
      <c r="M249" s="1"/>
      <c r="N249" s="5">
        <f t="shared" ref="N249:N254" si="136">IF(H249=0,0,L249/H249)</f>
        <v>0</v>
      </c>
      <c r="O249" s="13"/>
      <c r="P249" s="1">
        <f>SUM(OSRRefP22_23x_0)</f>
        <v>145.63</v>
      </c>
      <c r="Q249" s="1"/>
      <c r="R249" s="5">
        <f t="shared" ref="R249:R254" si="137">IF(P$12=0,0,P249/P$12)</f>
        <v>5.3913053116485267E-5</v>
      </c>
      <c r="S249" s="1"/>
      <c r="T249" s="1">
        <f>SUM(OSRRefT22_23x_0)</f>
        <v>7659.8</v>
      </c>
      <c r="U249" s="1"/>
      <c r="V249" s="5">
        <f t="shared" ref="V249:V254" si="138">IF(T$12=0,0,T249/T$12)</f>
        <v>1.0725041344398706E-3</v>
      </c>
      <c r="W249" s="1"/>
      <c r="X249" s="1">
        <f t="shared" ref="X249:X254" si="139">+P249-T249</f>
        <v>-7514.17</v>
      </c>
      <c r="Y249" s="1"/>
      <c r="Z249" s="5">
        <f t="shared" ref="Z249:Z254" si="140">IF(T249=0,0,X249/T249)</f>
        <v>-0.98098775424945817</v>
      </c>
    </row>
    <row r="250" spans="1:26" s="24" customFormat="1" hidden="1" outlineLevel="2" x14ac:dyDescent="0.25">
      <c r="A250" s="27"/>
      <c r="B250" s="11" t="str">
        <f>CONCATENATE("          ", "6376", " - ", "TRAINING")</f>
        <v xml:space="preserve">          6376 - TRAINING</v>
      </c>
      <c r="C250" s="11"/>
      <c r="D250" s="7"/>
      <c r="E250" s="2"/>
      <c r="F250" s="6">
        <f t="shared" si="133"/>
        <v>0</v>
      </c>
      <c r="G250" s="2"/>
      <c r="H250" s="7"/>
      <c r="I250" s="2"/>
      <c r="J250" s="6">
        <f t="shared" si="134"/>
        <v>0</v>
      </c>
      <c r="K250" s="2"/>
      <c r="L250" s="7">
        <f t="shared" si="135"/>
        <v>0</v>
      </c>
      <c r="M250" s="2"/>
      <c r="N250" s="6">
        <f t="shared" si="136"/>
        <v>0</v>
      </c>
      <c r="O250" s="11"/>
      <c r="P250" s="7">
        <v>145.63</v>
      </c>
      <c r="Q250" s="2"/>
      <c r="R250" s="6">
        <f t="shared" si="137"/>
        <v>5.3913053116485267E-5</v>
      </c>
      <c r="S250" s="2"/>
      <c r="T250" s="7">
        <v>7659.8</v>
      </c>
      <c r="U250" s="2"/>
      <c r="V250" s="6">
        <f t="shared" si="138"/>
        <v>1.0725041344398706E-3</v>
      </c>
      <c r="W250" s="2"/>
      <c r="X250" s="7">
        <f t="shared" si="139"/>
        <v>-7514.17</v>
      </c>
      <c r="Y250" s="2"/>
      <c r="Z250" s="6">
        <f t="shared" si="140"/>
        <v>-0.98098775424945817</v>
      </c>
    </row>
    <row r="251" spans="1:26" s="25" customFormat="1" outlineLevel="1" collapsed="1" x14ac:dyDescent="0.25">
      <c r="A251" s="26"/>
      <c r="B251" s="13" t="str">
        <f>CONCATENATE("     ","Travel                                            ")</f>
        <v xml:space="preserve">     Travel                                            </v>
      </c>
      <c r="C251" s="13"/>
      <c r="D251" s="1">
        <f>SUM(OSRRefD22_24x_0)</f>
        <v>0</v>
      </c>
      <c r="E251" s="1"/>
      <c r="F251" s="5">
        <f t="shared" si="133"/>
        <v>0</v>
      </c>
      <c r="G251" s="1"/>
      <c r="H251" s="1">
        <f>SUM(OSRRefH22_24x_0)</f>
        <v>-159.65</v>
      </c>
      <c r="I251" s="1"/>
      <c r="J251" s="5">
        <f t="shared" si="134"/>
        <v>-2.4487222378704573E-4</v>
      </c>
      <c r="K251" s="1"/>
      <c r="L251" s="1">
        <f t="shared" si="135"/>
        <v>159.65</v>
      </c>
      <c r="M251" s="1"/>
      <c r="N251" s="5">
        <f t="shared" si="136"/>
        <v>-1</v>
      </c>
      <c r="O251" s="13"/>
      <c r="P251" s="1">
        <f>SUM(OSRRefP22_24x_0)</f>
        <v>680.93</v>
      </c>
      <c r="Q251" s="1"/>
      <c r="R251" s="5">
        <f t="shared" si="137"/>
        <v>2.5208415339290197E-4</v>
      </c>
      <c r="S251" s="1"/>
      <c r="T251" s="1">
        <f>SUM(OSRRefT22_24x_0)</f>
        <v>1442.1</v>
      </c>
      <c r="U251" s="1"/>
      <c r="V251" s="5">
        <f t="shared" si="138"/>
        <v>2.0191887676907194E-4</v>
      </c>
      <c r="W251" s="1"/>
      <c r="X251" s="1">
        <f t="shared" si="139"/>
        <v>-761.17</v>
      </c>
      <c r="Y251" s="1"/>
      <c r="Z251" s="5">
        <f t="shared" si="140"/>
        <v>-0.52782053949102004</v>
      </c>
    </row>
    <row r="252" spans="1:26" s="24" customFormat="1" hidden="1" outlineLevel="2" x14ac:dyDescent="0.25">
      <c r="A252" s="27"/>
      <c r="B252" s="11" t="str">
        <f>CONCATENATE("          ", "6292", " - ", "TRAVEL/CONFERENCE")</f>
        <v xml:space="preserve">          6292 - TRAVEL/CONFERENCE</v>
      </c>
      <c r="C252" s="11"/>
      <c r="D252" s="7"/>
      <c r="E252" s="2"/>
      <c r="F252" s="6">
        <f t="shared" si="133"/>
        <v>0</v>
      </c>
      <c r="G252" s="2"/>
      <c r="H252" s="7">
        <v>-323.01</v>
      </c>
      <c r="I252" s="2"/>
      <c r="J252" s="6">
        <f t="shared" si="134"/>
        <v>-4.9543487006234661E-4</v>
      </c>
      <c r="K252" s="2"/>
      <c r="L252" s="7">
        <f t="shared" si="135"/>
        <v>323.01</v>
      </c>
      <c r="M252" s="2"/>
      <c r="N252" s="6">
        <f t="shared" si="136"/>
        <v>-1</v>
      </c>
      <c r="O252" s="11"/>
      <c r="P252" s="7">
        <v>299.16000000000003</v>
      </c>
      <c r="Q252" s="2"/>
      <c r="R252" s="6">
        <f t="shared" si="137"/>
        <v>1.1075073110161185E-4</v>
      </c>
      <c r="S252" s="2"/>
      <c r="T252" s="7">
        <v>365.6</v>
      </c>
      <c r="U252" s="2"/>
      <c r="V252" s="6">
        <f t="shared" si="138"/>
        <v>5.1190306737932678E-5</v>
      </c>
      <c r="W252" s="2"/>
      <c r="X252" s="7">
        <f t="shared" si="139"/>
        <v>-66.44</v>
      </c>
      <c r="Y252" s="2"/>
      <c r="Z252" s="6">
        <f t="shared" si="140"/>
        <v>-0.18172866520787745</v>
      </c>
    </row>
    <row r="253" spans="1:26" s="24" customFormat="1" hidden="1" outlineLevel="2" x14ac:dyDescent="0.25">
      <c r="A253" s="27"/>
      <c r="B253" s="11" t="str">
        <f>CONCATENATE("          ", "6294", " - ", "TRAVEL OPERATIONAL")</f>
        <v xml:space="preserve">          6294 - TRAVEL OPERATIONAL</v>
      </c>
      <c r="C253" s="11"/>
      <c r="D253" s="7"/>
      <c r="E253" s="2"/>
      <c r="F253" s="6">
        <f t="shared" si="133"/>
        <v>0</v>
      </c>
      <c r="G253" s="2"/>
      <c r="H253" s="7">
        <v>125.14</v>
      </c>
      <c r="I253" s="2"/>
      <c r="J253" s="6">
        <f t="shared" si="134"/>
        <v>1.9194055800006831E-4</v>
      </c>
      <c r="K253" s="2"/>
      <c r="L253" s="7">
        <f t="shared" si="135"/>
        <v>-125.14</v>
      </c>
      <c r="M253" s="2"/>
      <c r="N253" s="6">
        <f t="shared" si="136"/>
        <v>-1</v>
      </c>
      <c r="O253" s="11"/>
      <c r="P253" s="7">
        <v>321.88</v>
      </c>
      <c r="Q253" s="2"/>
      <c r="R253" s="6">
        <f t="shared" si="137"/>
        <v>1.1916180414155241E-4</v>
      </c>
      <c r="S253" s="2"/>
      <c r="T253" s="7">
        <v>818.94</v>
      </c>
      <c r="U253" s="2"/>
      <c r="V253" s="6">
        <f t="shared" si="138"/>
        <v>1.1466572702396768E-4</v>
      </c>
      <c r="W253" s="2"/>
      <c r="X253" s="7">
        <f t="shared" si="139"/>
        <v>-497.06000000000006</v>
      </c>
      <c r="Y253" s="2"/>
      <c r="Z253" s="6">
        <f t="shared" si="140"/>
        <v>-0.60695533250299172</v>
      </c>
    </row>
    <row r="254" spans="1:26" s="24" customFormat="1" hidden="1" outlineLevel="2" x14ac:dyDescent="0.25">
      <c r="A254" s="27"/>
      <c r="B254" s="11" t="str">
        <f>CONCATENATE("          ", "6298", " - ", "VEHICLE MILEAGE")</f>
        <v xml:space="preserve">          6298 - VEHICLE MILEAGE</v>
      </c>
      <c r="C254" s="11"/>
      <c r="D254" s="7"/>
      <c r="E254" s="2"/>
      <c r="F254" s="6">
        <f t="shared" si="133"/>
        <v>0</v>
      </c>
      <c r="G254" s="2"/>
      <c r="H254" s="7">
        <v>38.22</v>
      </c>
      <c r="I254" s="2"/>
      <c r="J254" s="6">
        <f t="shared" si="134"/>
        <v>5.8622088275232619E-5</v>
      </c>
      <c r="K254" s="2"/>
      <c r="L254" s="7">
        <f t="shared" si="135"/>
        <v>-38.22</v>
      </c>
      <c r="M254" s="2"/>
      <c r="N254" s="6">
        <f t="shared" si="136"/>
        <v>-1</v>
      </c>
      <c r="O254" s="11"/>
      <c r="P254" s="7">
        <v>59.89</v>
      </c>
      <c r="Q254" s="2"/>
      <c r="R254" s="6">
        <f t="shared" si="137"/>
        <v>2.2171618149737711E-5</v>
      </c>
      <c r="S254" s="2"/>
      <c r="T254" s="7">
        <v>257.56</v>
      </c>
      <c r="U254" s="2"/>
      <c r="V254" s="6">
        <f t="shared" si="138"/>
        <v>3.6062843007171605E-5</v>
      </c>
      <c r="W254" s="2"/>
      <c r="X254" s="7">
        <f t="shared" si="139"/>
        <v>-197.67000000000002</v>
      </c>
      <c r="Y254" s="2"/>
      <c r="Z254" s="6">
        <f t="shared" si="140"/>
        <v>-0.76747165708961029</v>
      </c>
    </row>
    <row r="255" spans="1:26" s="25" customFormat="1" outlineLevel="1" collapsed="1" x14ac:dyDescent="0.25">
      <c r="A255" s="26"/>
      <c r="B255" s="13" t="str">
        <f>CONCATENATE("     ","Utilities                                         ")</f>
        <v xml:space="preserve">     Utilities                                         </v>
      </c>
      <c r="C255" s="13"/>
      <c r="D255" s="1">
        <f>SUM(OSRRefD22_25x_0)</f>
        <v>7311.61</v>
      </c>
      <c r="E255" s="1"/>
      <c r="F255" s="5">
        <f t="shared" ref="F255:F256" si="141">IF(D$12=0,0,D255/D$12)</f>
        <v>3.1295448127039591E-2</v>
      </c>
      <c r="G255" s="1"/>
      <c r="H255" s="1">
        <f>SUM(OSRRefH22_25x_0)</f>
        <v>11847.76</v>
      </c>
      <c r="I255" s="1"/>
      <c r="J255" s="5">
        <f t="shared" ref="J255:J256" si="142">IF(H$12=0,0,H255/H$12)</f>
        <v>1.8172172490417846E-2</v>
      </c>
      <c r="K255" s="1"/>
      <c r="L255" s="1">
        <f t="shared" ref="L255:L256" si="143">+D255-H255</f>
        <v>-4536.1500000000005</v>
      </c>
      <c r="M255" s="1"/>
      <c r="N255" s="5">
        <f t="shared" ref="N255:N256" si="144">IF(H255=0,0,L255/H255)</f>
        <v>-0.38286984206297225</v>
      </c>
      <c r="O255" s="13"/>
      <c r="P255" s="1">
        <f>SUM(OSRRefP22_25x_0)</f>
        <v>40319.420000000006</v>
      </c>
      <c r="Q255" s="1"/>
      <c r="R255" s="5">
        <f t="shared" ref="R255:R256" si="145">IF(P$12=0,0,P255/P$12)</f>
        <v>1.4926478281163762E-2</v>
      </c>
      <c r="S255" s="1"/>
      <c r="T255" s="1">
        <f>SUM(OSRRefT22_25x_0)</f>
        <v>37484.800000000003</v>
      </c>
      <c r="U255" s="1"/>
      <c r="V255" s="5">
        <f t="shared" ref="V255:V256" si="146">IF(T$12=0,0,T255/T$12)</f>
        <v>5.2485186269421742E-3</v>
      </c>
      <c r="W255" s="1"/>
      <c r="X255" s="1">
        <f t="shared" ref="X255:X256" si="147">+P255-T255</f>
        <v>2834.6200000000026</v>
      </c>
      <c r="Y255" s="1"/>
      <c r="Z255" s="5">
        <f t="shared" ref="Z255:Z256" si="148">IF(T255=0,0,X255/T255)</f>
        <v>7.5620518183370386E-2</v>
      </c>
    </row>
    <row r="256" spans="1:26" s="24" customFormat="1" hidden="1" outlineLevel="2" x14ac:dyDescent="0.25">
      <c r="A256" s="27"/>
      <c r="B256" s="11" t="str">
        <f>CONCATENATE("          ", "6274", " - ", "UTILITIES")</f>
        <v xml:space="preserve">          6274 - UTILITIES</v>
      </c>
      <c r="C256" s="11"/>
      <c r="D256" s="7">
        <v>7311.61</v>
      </c>
      <c r="E256" s="2"/>
      <c r="F256" s="6">
        <f t="shared" si="141"/>
        <v>3.1295448127039591E-2</v>
      </c>
      <c r="G256" s="2"/>
      <c r="H256" s="7">
        <v>11847.76</v>
      </c>
      <c r="I256" s="2"/>
      <c r="J256" s="6">
        <f t="shared" si="142"/>
        <v>1.8172172490417846E-2</v>
      </c>
      <c r="K256" s="2"/>
      <c r="L256" s="7">
        <f t="shared" si="143"/>
        <v>-4536.1500000000005</v>
      </c>
      <c r="M256" s="2"/>
      <c r="N256" s="6">
        <f t="shared" si="144"/>
        <v>-0.38286984206297225</v>
      </c>
      <c r="O256" s="11"/>
      <c r="P256" s="7">
        <v>40319.420000000006</v>
      </c>
      <c r="Q256" s="2"/>
      <c r="R256" s="6">
        <f t="shared" si="145"/>
        <v>1.4926478281163762E-2</v>
      </c>
      <c r="S256" s="2"/>
      <c r="T256" s="7">
        <v>37484.800000000003</v>
      </c>
      <c r="U256" s="2"/>
      <c r="V256" s="6">
        <f t="shared" si="146"/>
        <v>5.2485186269421742E-3</v>
      </c>
      <c r="W256" s="2"/>
      <c r="X256" s="7">
        <f t="shared" si="147"/>
        <v>2834.6200000000026</v>
      </c>
      <c r="Y256" s="2"/>
      <c r="Z256" s="6">
        <f t="shared" si="148"/>
        <v>7.5620518183370386E-2</v>
      </c>
    </row>
    <row r="257" spans="1:26" s="55" customFormat="1" x14ac:dyDescent="0.25">
      <c r="A257" s="37"/>
      <c r="B257" s="37"/>
      <c r="C257" s="37"/>
      <c r="D257" s="1"/>
      <c r="E257" s="1"/>
      <c r="F257" s="5"/>
      <c r="G257" s="1"/>
      <c r="H257" s="1"/>
      <c r="I257" s="1"/>
      <c r="J257" s="5"/>
      <c r="K257" s="1"/>
      <c r="L257" s="1"/>
      <c r="M257" s="1"/>
      <c r="N257" s="5"/>
      <c r="O257" s="37"/>
      <c r="P257" s="1"/>
      <c r="Q257" s="1"/>
      <c r="R257" s="5"/>
      <c r="S257" s="1"/>
      <c r="T257" s="1"/>
      <c r="U257" s="1"/>
      <c r="V257" s="5"/>
      <c r="W257" s="1"/>
      <c r="X257" s="1"/>
      <c r="Y257" s="1"/>
      <c r="Z257" s="5"/>
    </row>
    <row r="258" spans="1:26" s="23" customFormat="1" collapsed="1" x14ac:dyDescent="0.25">
      <c r="A258" s="10"/>
      <c r="B258" s="29" t="s">
        <v>0</v>
      </c>
      <c r="C258" s="10"/>
      <c r="D258" s="4">
        <f>SUM(OSRRefD25x_0)</f>
        <v>20009.02</v>
      </c>
      <c r="E258" s="4"/>
      <c r="F258" s="12">
        <f t="shared" ref="F258:F267" si="149">IF(D$12=0,0,D258/D$12)</f>
        <v>8.5643414717537961E-2</v>
      </c>
      <c r="G258" s="4"/>
      <c r="H258" s="4">
        <f>SUM(OSRRefH25x_0)</f>
        <v>23065.69</v>
      </c>
      <c r="I258" s="4"/>
      <c r="J258" s="12">
        <f t="shared" ref="J258:J267" si="150">IF(H$12=0,0,H258/H$12)</f>
        <v>3.5378307569574836E-2</v>
      </c>
      <c r="K258" s="4"/>
      <c r="L258" s="4">
        <f t="shared" ref="L258:L267" si="151">+D258-H258</f>
        <v>-3056.6699999999983</v>
      </c>
      <c r="M258" s="4"/>
      <c r="N258" s="12">
        <f t="shared" ref="N258:N267" si="152">IF(H258=0,0,L258/H258)</f>
        <v>-0.13252020641914455</v>
      </c>
      <c r="O258" s="10"/>
      <c r="P258" s="4">
        <f>SUM(OSRRefP25x_0)</f>
        <v>544389.27</v>
      </c>
      <c r="Q258" s="4"/>
      <c r="R258" s="12">
        <f t="shared" ref="R258:R267" si="153">IF(P$12=0,0,P258/P$12)</f>
        <v>0.201535999653606</v>
      </c>
      <c r="S258" s="4"/>
      <c r="T258" s="4">
        <f>SUM(OSRRefT25x_0)</f>
        <v>423466.33</v>
      </c>
      <c r="U258" s="4"/>
      <c r="V258" s="12">
        <f t="shared" ref="V258:V267" si="154">IF(T$12=0,0,T258/T$12)</f>
        <v>5.9292591153956846E-2</v>
      </c>
      <c r="W258" s="4"/>
      <c r="X258" s="4">
        <f t="shared" ref="X258:X267" si="155">+P258-T258</f>
        <v>120922.94</v>
      </c>
      <c r="Y258" s="4"/>
      <c r="Z258" s="12">
        <f t="shared" ref="Z258:Z267" si="156">IF(T258=0,0,X258/T258)</f>
        <v>0.28555502866072019</v>
      </c>
    </row>
    <row r="259" spans="1:26" s="24" customFormat="1" hidden="1" outlineLevel="1" x14ac:dyDescent="0.25">
      <c r="A259" s="44"/>
      <c r="B259" s="11" t="str">
        <f>CONCATENATE("          ", "4098", " - ", "TAXABLE SALES-GRAD RENTALS")</f>
        <v xml:space="preserve">          4098 - TAXABLE SALES-GRAD RENTALS</v>
      </c>
      <c r="C259" s="11"/>
      <c r="D259" s="2">
        <f t="shared" ref="D259:D261" si="157">0</f>
        <v>0</v>
      </c>
      <c r="E259" s="2"/>
      <c r="F259" s="19">
        <f t="shared" si="149"/>
        <v>0</v>
      </c>
      <c r="G259" s="2"/>
      <c r="H259" s="2">
        <f t="shared" ref="H259:H261" si="158">0</f>
        <v>0</v>
      </c>
      <c r="I259" s="2"/>
      <c r="J259" s="19">
        <f t="shared" si="150"/>
        <v>0</v>
      </c>
      <c r="K259" s="2"/>
      <c r="L259" s="2">
        <f t="shared" si="151"/>
        <v>0</v>
      </c>
      <c r="M259" s="2"/>
      <c r="N259" s="19">
        <f t="shared" si="152"/>
        <v>0</v>
      </c>
      <c r="O259" s="11"/>
      <c r="P259" s="2">
        <f t="shared" ref="P259:P261" si="159">0</f>
        <v>0</v>
      </c>
      <c r="Q259" s="2"/>
      <c r="R259" s="19">
        <f t="shared" si="153"/>
        <v>0</v>
      </c>
      <c r="S259" s="2"/>
      <c r="T259" s="2">
        <f>--1626.85</f>
        <v>1626.85</v>
      </c>
      <c r="U259" s="2"/>
      <c r="V259" s="19">
        <f t="shared" si="154"/>
        <v>2.2778706377627397E-4</v>
      </c>
      <c r="W259" s="2"/>
      <c r="X259" s="2">
        <f t="shared" si="155"/>
        <v>-1626.85</v>
      </c>
      <c r="Y259" s="2"/>
      <c r="Z259" s="19">
        <f t="shared" si="156"/>
        <v>-1</v>
      </c>
    </row>
    <row r="260" spans="1:26" s="24" customFormat="1" hidden="1" outlineLevel="1" x14ac:dyDescent="0.25">
      <c r="A260" s="44"/>
      <c r="B260" s="11" t="str">
        <f>CONCATENATE("          ", "4197", " - ", "NON-TAXABLE SALES-RETURNED CHE")</f>
        <v xml:space="preserve">          4197 - NON-TAXABLE SALES-RETURNED CHE</v>
      </c>
      <c r="C260" s="11"/>
      <c r="D260" s="2">
        <f t="shared" si="157"/>
        <v>0</v>
      </c>
      <c r="E260" s="2"/>
      <c r="F260" s="19">
        <f t="shared" si="149"/>
        <v>0</v>
      </c>
      <c r="G260" s="2"/>
      <c r="H260" s="2">
        <f t="shared" si="158"/>
        <v>0</v>
      </c>
      <c r="I260" s="2"/>
      <c r="J260" s="19">
        <f t="shared" si="150"/>
        <v>0</v>
      </c>
      <c r="K260" s="2"/>
      <c r="L260" s="2">
        <f t="shared" si="151"/>
        <v>0</v>
      </c>
      <c r="M260" s="2"/>
      <c r="N260" s="19">
        <f t="shared" si="152"/>
        <v>0</v>
      </c>
      <c r="O260" s="11"/>
      <c r="P260" s="2">
        <f t="shared" si="159"/>
        <v>0</v>
      </c>
      <c r="Q260" s="2"/>
      <c r="R260" s="19">
        <f t="shared" si="153"/>
        <v>0</v>
      </c>
      <c r="S260" s="2"/>
      <c r="T260" s="2">
        <f>--30</f>
        <v>30</v>
      </c>
      <c r="U260" s="2"/>
      <c r="V260" s="19">
        <f t="shared" si="154"/>
        <v>4.2005175113183264E-6</v>
      </c>
      <c r="W260" s="2"/>
      <c r="X260" s="2">
        <f t="shared" si="155"/>
        <v>-30</v>
      </c>
      <c r="Y260" s="2"/>
      <c r="Z260" s="19">
        <f t="shared" si="156"/>
        <v>-1</v>
      </c>
    </row>
    <row r="261" spans="1:26" s="24" customFormat="1" hidden="1" outlineLevel="1" x14ac:dyDescent="0.25">
      <c r="A261" s="44"/>
      <c r="B261" s="11" t="str">
        <f>CONCATENATE("          ", "4198", " - ", "NON-TAXABLE SALES-GRAD RENTALS")</f>
        <v xml:space="preserve">          4198 - NON-TAXABLE SALES-GRAD RENTALS</v>
      </c>
      <c r="C261" s="11"/>
      <c r="D261" s="2">
        <f t="shared" si="157"/>
        <v>0</v>
      </c>
      <c r="E261" s="2"/>
      <c r="F261" s="19">
        <f t="shared" si="149"/>
        <v>0</v>
      </c>
      <c r="G261" s="2"/>
      <c r="H261" s="2">
        <f t="shared" si="158"/>
        <v>0</v>
      </c>
      <c r="I261" s="2"/>
      <c r="J261" s="19">
        <f t="shared" si="150"/>
        <v>0</v>
      </c>
      <c r="K261" s="2"/>
      <c r="L261" s="2">
        <f t="shared" si="151"/>
        <v>0</v>
      </c>
      <c r="M261" s="2"/>
      <c r="N261" s="19">
        <f t="shared" si="152"/>
        <v>0</v>
      </c>
      <c r="O261" s="11"/>
      <c r="P261" s="2">
        <f t="shared" si="159"/>
        <v>0</v>
      </c>
      <c r="Q261" s="2"/>
      <c r="R261" s="19">
        <f t="shared" si="153"/>
        <v>0</v>
      </c>
      <c r="S261" s="2"/>
      <c r="T261" s="2">
        <f>--495</f>
        <v>495</v>
      </c>
      <c r="U261" s="2"/>
      <c r="V261" s="19">
        <f t="shared" si="154"/>
        <v>6.9308538936752384E-5</v>
      </c>
      <c r="W261" s="2"/>
      <c r="X261" s="2">
        <f t="shared" si="155"/>
        <v>-495</v>
      </c>
      <c r="Y261" s="2"/>
      <c r="Z261" s="19">
        <f t="shared" si="156"/>
        <v>-1</v>
      </c>
    </row>
    <row r="262" spans="1:26" s="24" customFormat="1" hidden="1" outlineLevel="1" x14ac:dyDescent="0.25">
      <c r="A262" s="44"/>
      <c r="B262" s="11" t="str">
        <f>CONCATENATE("          ", "9150", " - ", "MISC. INCOME")</f>
        <v xml:space="preserve">          9150 - MISC. INCOME</v>
      </c>
      <c r="C262" s="11"/>
      <c r="D262" s="2">
        <f>--19529.32</f>
        <v>19529.32</v>
      </c>
      <c r="E262" s="2"/>
      <c r="F262" s="19">
        <f t="shared" si="149"/>
        <v>8.3590183422851724E-2</v>
      </c>
      <c r="G262" s="2"/>
      <c r="H262" s="2">
        <f>--19415.01</f>
        <v>19415.009999999998</v>
      </c>
      <c r="I262" s="2"/>
      <c r="J262" s="19">
        <f t="shared" si="150"/>
        <v>2.9778870488867713E-2</v>
      </c>
      <c r="K262" s="2"/>
      <c r="L262" s="2">
        <f t="shared" si="151"/>
        <v>114.31000000000131</v>
      </c>
      <c r="M262" s="2"/>
      <c r="N262" s="19">
        <f t="shared" si="152"/>
        <v>5.8877126511910792E-3</v>
      </c>
      <c r="O262" s="11"/>
      <c r="P262" s="2">
        <f>--218612.11</f>
        <v>218612.11</v>
      </c>
      <c r="Q262" s="2"/>
      <c r="R262" s="19">
        <f t="shared" si="153"/>
        <v>8.0931444745841657E-2</v>
      </c>
      <c r="S262" s="2"/>
      <c r="T262" s="2">
        <f>--245559.66</f>
        <v>245559.66</v>
      </c>
      <c r="U262" s="2"/>
      <c r="V262" s="19">
        <f t="shared" si="154"/>
        <v>3.438258839677915E-2</v>
      </c>
      <c r="W262" s="2"/>
      <c r="X262" s="2">
        <f t="shared" si="155"/>
        <v>-26947.550000000017</v>
      </c>
      <c r="Y262" s="2"/>
      <c r="Z262" s="19">
        <f t="shared" si="156"/>
        <v>-0.10973931956087582</v>
      </c>
    </row>
    <row r="263" spans="1:26" s="24" customFormat="1" hidden="1" outlineLevel="1" x14ac:dyDescent="0.25">
      <c r="A263" s="44"/>
      <c r="B263" s="11" t="str">
        <f>CONCATENATE("          ", "9151", " - ", "MISC. INCOME")</f>
        <v xml:space="preserve">          9151 - MISC. INCOME</v>
      </c>
      <c r="C263" s="11"/>
      <c r="D263" s="2">
        <f>0</f>
        <v>0</v>
      </c>
      <c r="E263" s="2"/>
      <c r="F263" s="19">
        <f t="shared" si="149"/>
        <v>0</v>
      </c>
      <c r="G263" s="2"/>
      <c r="H263" s="2">
        <f>--268.24</f>
        <v>268.24</v>
      </c>
      <c r="I263" s="2"/>
      <c r="J263" s="19">
        <f t="shared" si="150"/>
        <v>4.1142828254705387E-4</v>
      </c>
      <c r="K263" s="2"/>
      <c r="L263" s="2">
        <f t="shared" si="151"/>
        <v>-268.24</v>
      </c>
      <c r="M263" s="2"/>
      <c r="N263" s="19">
        <f t="shared" si="152"/>
        <v>-1</v>
      </c>
      <c r="O263" s="11"/>
      <c r="P263" s="2">
        <f>--147285.39</f>
        <v>147285.39000000001</v>
      </c>
      <c r="Q263" s="2"/>
      <c r="R263" s="19">
        <f t="shared" si="153"/>
        <v>5.4525887896396681E-2</v>
      </c>
      <c r="S263" s="2"/>
      <c r="T263" s="2">
        <f>--87492.51</f>
        <v>87492.51</v>
      </c>
      <c r="U263" s="2"/>
      <c r="V263" s="19">
        <f t="shared" si="154"/>
        <v>1.2250460678806458E-2</v>
      </c>
      <c r="W263" s="2"/>
      <c r="X263" s="2">
        <f t="shared" si="155"/>
        <v>59792.880000000019</v>
      </c>
      <c r="Y263" s="2"/>
      <c r="Z263" s="19">
        <f t="shared" si="156"/>
        <v>0.68340569952787988</v>
      </c>
    </row>
    <row r="264" spans="1:26" s="24" customFormat="1" hidden="1" outlineLevel="1" x14ac:dyDescent="0.25">
      <c r="A264" s="44"/>
      <c r="B264" s="11" t="str">
        <f>CONCATENATE("          ", "9152", " - ", "MISC. INCOME")</f>
        <v xml:space="preserve">          9152 - MISC. INCOME</v>
      </c>
      <c r="C264" s="11"/>
      <c r="D264" s="2">
        <f>--479.7</f>
        <v>479.7</v>
      </c>
      <c r="E264" s="2"/>
      <c r="F264" s="19">
        <f t="shared" si="149"/>
        <v>2.0532312946862446E-3</v>
      </c>
      <c r="G264" s="2"/>
      <c r="H264" s="2">
        <f>--3382.44</f>
        <v>3382.44</v>
      </c>
      <c r="I264" s="2"/>
      <c r="J264" s="19">
        <f t="shared" si="150"/>
        <v>5.1880087981600693E-3</v>
      </c>
      <c r="K264" s="2"/>
      <c r="L264" s="2">
        <f t="shared" si="151"/>
        <v>-2902.7400000000002</v>
      </c>
      <c r="M264" s="2"/>
      <c r="N264" s="19">
        <f t="shared" si="152"/>
        <v>-0.85817930251534402</v>
      </c>
      <c r="O264" s="11"/>
      <c r="P264" s="2">
        <f>--3085.93</f>
        <v>3085.93</v>
      </c>
      <c r="Q264" s="2"/>
      <c r="R264" s="19">
        <f t="shared" si="153"/>
        <v>1.1424288127704139E-3</v>
      </c>
      <c r="S264" s="2"/>
      <c r="T264" s="2">
        <f>--4230.76</f>
        <v>4230.76</v>
      </c>
      <c r="U264" s="2"/>
      <c r="V264" s="19">
        <f t="shared" si="154"/>
        <v>5.9237938220617077E-4</v>
      </c>
      <c r="W264" s="2"/>
      <c r="X264" s="2">
        <f t="shared" si="155"/>
        <v>-1144.8300000000004</v>
      </c>
      <c r="Y264" s="2"/>
      <c r="Z264" s="19">
        <f t="shared" si="156"/>
        <v>-0.27059677221113942</v>
      </c>
    </row>
    <row r="265" spans="1:26" s="24" customFormat="1" hidden="1" outlineLevel="1" x14ac:dyDescent="0.25">
      <c r="A265" s="44"/>
      <c r="B265" s="11" t="str">
        <f>CONCATENATE("          ", "9153", " - ", "MISC. INCOME")</f>
        <v xml:space="preserve">          9153 - MISC. INCOME</v>
      </c>
      <c r="C265" s="11"/>
      <c r="D265" s="2">
        <f t="shared" ref="D265:D267" si="160">0</f>
        <v>0</v>
      </c>
      <c r="E265" s="2"/>
      <c r="F265" s="19">
        <f t="shared" si="149"/>
        <v>0</v>
      </c>
      <c r="G265" s="2"/>
      <c r="H265" s="2">
        <f t="shared" ref="H265:H267" si="161">0</f>
        <v>0</v>
      </c>
      <c r="I265" s="2"/>
      <c r="J265" s="19">
        <f t="shared" si="150"/>
        <v>0</v>
      </c>
      <c r="K265" s="2"/>
      <c r="L265" s="2">
        <f t="shared" si="151"/>
        <v>0</v>
      </c>
      <c r="M265" s="2"/>
      <c r="N265" s="19">
        <f t="shared" si="152"/>
        <v>0</v>
      </c>
      <c r="O265" s="11"/>
      <c r="P265" s="2">
        <f t="shared" ref="P265:P266" si="162">0</f>
        <v>0</v>
      </c>
      <c r="Q265" s="2"/>
      <c r="R265" s="19">
        <f t="shared" si="153"/>
        <v>0</v>
      </c>
      <c r="S265" s="2"/>
      <c r="T265" s="2">
        <f>--450</f>
        <v>450</v>
      </c>
      <c r="U265" s="2"/>
      <c r="V265" s="19">
        <f t="shared" si="154"/>
        <v>6.3007762669774897E-5</v>
      </c>
      <c r="W265" s="2"/>
      <c r="X265" s="2">
        <f t="shared" si="155"/>
        <v>-450</v>
      </c>
      <c r="Y265" s="2"/>
      <c r="Z265" s="19">
        <f t="shared" si="156"/>
        <v>-1</v>
      </c>
    </row>
    <row r="266" spans="1:26" s="24" customFormat="1" hidden="1" outlineLevel="1" x14ac:dyDescent="0.25">
      <c r="A266" s="44"/>
      <c r="B266" s="11" t="str">
        <f>CONCATENATE("          ", "9160", " - ", "MISC. INCOME")</f>
        <v xml:space="preserve">          9160 - MISC. INCOME</v>
      </c>
      <c r="C266" s="11"/>
      <c r="D266" s="2">
        <f t="shared" si="160"/>
        <v>0</v>
      </c>
      <c r="E266" s="2"/>
      <c r="F266" s="19">
        <f t="shared" si="149"/>
        <v>0</v>
      </c>
      <c r="G266" s="2"/>
      <c r="H266" s="2">
        <f t="shared" si="161"/>
        <v>0</v>
      </c>
      <c r="I266" s="2"/>
      <c r="J266" s="19">
        <f t="shared" si="150"/>
        <v>0</v>
      </c>
      <c r="K266" s="2"/>
      <c r="L266" s="2">
        <f t="shared" si="151"/>
        <v>0</v>
      </c>
      <c r="M266" s="2"/>
      <c r="N266" s="19">
        <f t="shared" si="152"/>
        <v>0</v>
      </c>
      <c r="O266" s="11"/>
      <c r="P266" s="2">
        <f t="shared" si="162"/>
        <v>0</v>
      </c>
      <c r="Q266" s="2"/>
      <c r="R266" s="19">
        <f t="shared" si="153"/>
        <v>0</v>
      </c>
      <c r="S266" s="2"/>
      <c r="T266" s="2">
        <f>--22475</f>
        <v>22475</v>
      </c>
      <c r="U266" s="2"/>
      <c r="V266" s="19">
        <f t="shared" si="154"/>
        <v>3.146887702229313E-3</v>
      </c>
      <c r="W266" s="2"/>
      <c r="X266" s="2">
        <f t="shared" si="155"/>
        <v>-22475</v>
      </c>
      <c r="Y266" s="2"/>
      <c r="Z266" s="19">
        <f t="shared" si="156"/>
        <v>-1</v>
      </c>
    </row>
    <row r="267" spans="1:26" s="24" customFormat="1" hidden="1" outlineLevel="1" x14ac:dyDescent="0.25">
      <c r="A267" s="44"/>
      <c r="B267" s="11" t="str">
        <f>CONCATENATE("          ", "9163", " - ", "MISC. INCOME")</f>
        <v xml:space="preserve">          9163 - MISC. INCOME</v>
      </c>
      <c r="C267" s="11"/>
      <c r="D267" s="2">
        <f t="shared" si="160"/>
        <v>0</v>
      </c>
      <c r="E267" s="2"/>
      <c r="F267" s="19">
        <f t="shared" si="149"/>
        <v>0</v>
      </c>
      <c r="G267" s="2"/>
      <c r="H267" s="2">
        <f t="shared" si="161"/>
        <v>0</v>
      </c>
      <c r="I267" s="2"/>
      <c r="J267" s="19">
        <f t="shared" si="150"/>
        <v>0</v>
      </c>
      <c r="K267" s="2"/>
      <c r="L267" s="2">
        <f t="shared" si="151"/>
        <v>0</v>
      </c>
      <c r="M267" s="2"/>
      <c r="N267" s="19">
        <f t="shared" si="152"/>
        <v>0</v>
      </c>
      <c r="O267" s="11"/>
      <c r="P267" s="2">
        <f>--175405.84</f>
        <v>175405.84</v>
      </c>
      <c r="Q267" s="2"/>
      <c r="R267" s="19">
        <f t="shared" si="153"/>
        <v>6.4936238198597243E-2</v>
      </c>
      <c r="S267" s="2"/>
      <c r="T267" s="2">
        <f>--61106.55</f>
        <v>61106.55</v>
      </c>
      <c r="U267" s="2"/>
      <c r="V267" s="19">
        <f t="shared" si="154"/>
        <v>8.5559711110416298E-3</v>
      </c>
      <c r="W267" s="2"/>
      <c r="X267" s="2">
        <f t="shared" si="155"/>
        <v>114299.29</v>
      </c>
      <c r="Y267" s="2"/>
      <c r="Z267" s="19">
        <f t="shared" si="156"/>
        <v>1.8704916248749108</v>
      </c>
    </row>
    <row r="268" spans="1:26" x14ac:dyDescent="0.25">
      <c r="A268" s="9"/>
      <c r="B268" s="10"/>
      <c r="C268" s="10"/>
      <c r="D268" s="3"/>
      <c r="E268" s="3"/>
      <c r="F268" s="8"/>
      <c r="G268" s="3"/>
      <c r="H268" s="3"/>
      <c r="I268" s="3"/>
      <c r="J268" s="8"/>
      <c r="K268" s="3"/>
      <c r="L268" s="3"/>
      <c r="M268" s="3"/>
      <c r="N268" s="8"/>
      <c r="O268" s="10"/>
      <c r="P268" s="3"/>
      <c r="Q268" s="3"/>
      <c r="R268" s="8"/>
      <c r="S268" s="3"/>
      <c r="T268" s="3"/>
      <c r="U268" s="3"/>
      <c r="V268" s="8"/>
      <c r="W268" s="3"/>
      <c r="X268" s="3"/>
      <c r="Y268" s="3"/>
      <c r="Z268" s="8"/>
    </row>
    <row r="269" spans="1:26" s="23" customFormat="1" x14ac:dyDescent="0.25">
      <c r="A269" s="10"/>
      <c r="B269" s="28" t="s">
        <v>3</v>
      </c>
      <c r="C269" s="28"/>
      <c r="D269" s="20">
        <f>+D164-D166+D258</f>
        <v>-148555.46000000014</v>
      </c>
      <c r="E269" s="14"/>
      <c r="F269" s="21">
        <f>IF(D$12=0,0,D269/D$12)</f>
        <v>-0.63585307373047928</v>
      </c>
      <c r="G269" s="14"/>
      <c r="H269" s="20">
        <f>+H164-H166+H258</f>
        <v>-58353.430000000051</v>
      </c>
      <c r="I269" s="14"/>
      <c r="J269" s="21">
        <f>IF(H$12=0,0,H269/H$12)</f>
        <v>-8.9502876102109122E-2</v>
      </c>
      <c r="K269" s="15"/>
      <c r="L269" s="20">
        <f>+D269-H269</f>
        <v>-90202.030000000086</v>
      </c>
      <c r="M269" s="15"/>
      <c r="N269" s="21">
        <f>IF(H269=0,0,L269/H269)</f>
        <v>1.5457879682479678</v>
      </c>
      <c r="O269" s="29"/>
      <c r="P269" s="20">
        <f>+P164-P166+P258</f>
        <v>-277601.81000000006</v>
      </c>
      <c r="Q269" s="14"/>
      <c r="R269" s="21">
        <f>IF(P$12=0,0,P269/P$12)</f>
        <v>-0.10276976672225815</v>
      </c>
      <c r="S269" s="14"/>
      <c r="T269" s="20">
        <f>+T164-T166+T258</f>
        <v>691997.0700000003</v>
      </c>
      <c r="U269" s="14"/>
      <c r="V269" s="21">
        <f>IF(T$12=0,0,T269/T$12)</f>
        <v>9.6891527010532497E-2</v>
      </c>
      <c r="W269" s="15"/>
      <c r="X269" s="20">
        <f>+P269-T269</f>
        <v>-969598.88000000035</v>
      </c>
      <c r="Y269" s="15"/>
      <c r="Z269" s="21">
        <f>IF(T269=0,0,X269/T269)</f>
        <v>-1.4011603835259012</v>
      </c>
    </row>
    <row r="270" spans="1:26" x14ac:dyDescent="0.25">
      <c r="A270" s="9"/>
      <c r="B270" s="10"/>
      <c r="C270" s="9"/>
      <c r="D270" s="3"/>
      <c r="E270" s="3"/>
      <c r="F270" s="8"/>
      <c r="G270" s="3"/>
      <c r="H270" s="3"/>
      <c r="I270" s="3"/>
      <c r="J270" s="8"/>
      <c r="K270" s="3"/>
      <c r="L270" s="3"/>
      <c r="M270" s="3"/>
      <c r="N270" s="8"/>
      <c r="P270" s="3"/>
      <c r="Q270" s="3"/>
      <c r="R270" s="8"/>
      <c r="S270" s="3"/>
      <c r="T270" s="3"/>
      <c r="U270" s="3"/>
      <c r="V270" s="8"/>
      <c r="W270" s="3"/>
      <c r="X270" s="3"/>
      <c r="Y270" s="3"/>
      <c r="Z270" s="8"/>
    </row>
    <row r="271" spans="1:26" s="23" customFormat="1" x14ac:dyDescent="0.25">
      <c r="A271" s="51"/>
      <c r="B271" s="10" t="s">
        <v>13</v>
      </c>
      <c r="C271" s="10"/>
      <c r="D271" s="4">
        <v>107682.56999999999</v>
      </c>
      <c r="E271" s="4"/>
      <c r="F271" s="12">
        <f>IF(D$12=0,0,D271/D$12)</f>
        <v>0.46090728083435928</v>
      </c>
      <c r="G271" s="4"/>
      <c r="H271" s="4">
        <v>84140.97</v>
      </c>
      <c r="I271" s="4"/>
      <c r="J271" s="12">
        <f>IF(H$12=0,0,H271/H$12)</f>
        <v>0.12905597516754841</v>
      </c>
      <c r="K271" s="4"/>
      <c r="L271" s="4">
        <f>+D271-H271</f>
        <v>23541.599999999991</v>
      </c>
      <c r="M271" s="4"/>
      <c r="N271" s="12">
        <f>IF(H271=0,0,L271/H271)</f>
        <v>0.27978759931101332</v>
      </c>
      <c r="O271" s="10"/>
      <c r="P271" s="4">
        <v>499779.4</v>
      </c>
      <c r="Q271" s="4"/>
      <c r="R271" s="12">
        <f>IF(P$12=0,0,P271/P$12)</f>
        <v>0.18502117241451033</v>
      </c>
      <c r="S271" s="4"/>
      <c r="T271" s="4">
        <v>771388.53999999992</v>
      </c>
      <c r="U271" s="4"/>
      <c r="V271" s="12">
        <f>IF(T$12=0,0,T271/T$12)</f>
        <v>0.10800770234334257</v>
      </c>
      <c r="W271" s="4"/>
      <c r="X271" s="4">
        <f>+P271-T271</f>
        <v>-271609.1399999999</v>
      </c>
      <c r="Y271" s="4"/>
      <c r="Z271" s="12">
        <f>IF(T271=0,0,X271/T271)</f>
        <v>-0.35210419382170227</v>
      </c>
    </row>
    <row r="272" spans="1:26" x14ac:dyDescent="0.25">
      <c r="A272" s="9"/>
      <c r="B272" s="10"/>
      <c r="C272" s="10"/>
      <c r="D272" s="3"/>
      <c r="E272" s="3"/>
      <c r="F272" s="8"/>
      <c r="G272" s="3"/>
      <c r="H272" s="3"/>
      <c r="I272" s="3"/>
      <c r="J272" s="8"/>
      <c r="K272" s="3"/>
      <c r="L272" s="3"/>
      <c r="M272" s="3"/>
      <c r="N272" s="8"/>
      <c r="O272" s="10"/>
      <c r="P272" s="3"/>
      <c r="Q272" s="3"/>
      <c r="R272" s="8"/>
      <c r="S272" s="3"/>
      <c r="T272" s="3"/>
      <c r="U272" s="3"/>
      <c r="V272" s="8"/>
      <c r="W272" s="3"/>
      <c r="X272" s="3"/>
      <c r="Y272" s="3"/>
      <c r="Z272" s="8"/>
    </row>
    <row r="273" spans="1:26" s="23" customFormat="1" ht="15.75" thickBot="1" x14ac:dyDescent="0.3">
      <c r="A273" s="10"/>
      <c r="B273" s="28" t="s">
        <v>4</v>
      </c>
      <c r="C273" s="28"/>
      <c r="D273" s="33">
        <f>+D269-D271</f>
        <v>-256238.03000000014</v>
      </c>
      <c r="E273" s="14"/>
      <c r="F273" s="34">
        <f>IF(D$12=0,0,D273/D$12)</f>
        <v>-1.0967603545648386</v>
      </c>
      <c r="G273" s="14"/>
      <c r="H273" s="33">
        <f>+H269-H271</f>
        <v>-142494.40000000005</v>
      </c>
      <c r="I273" s="14"/>
      <c r="J273" s="34">
        <f>IF(H$12=0,0,H273/H$12)</f>
        <v>-0.21855885126965752</v>
      </c>
      <c r="K273" s="15"/>
      <c r="L273" s="33">
        <f>D273-H273</f>
        <v>-113743.63000000009</v>
      </c>
      <c r="M273" s="15"/>
      <c r="N273" s="34">
        <f>IF(H273=0,0,L273/H273)</f>
        <v>0.79823228140895397</v>
      </c>
      <c r="O273" s="29"/>
      <c r="P273" s="33">
        <f>+P269-P271</f>
        <v>-777381.21000000008</v>
      </c>
      <c r="Q273" s="14"/>
      <c r="R273" s="34">
        <f>IF(P$12=0,0,P273/P$12)</f>
        <v>-0.28779093913676845</v>
      </c>
      <c r="S273" s="14"/>
      <c r="T273" s="33">
        <f>+T269-T271</f>
        <v>-79391.469999999623</v>
      </c>
      <c r="U273" s="14"/>
      <c r="V273" s="34">
        <f>IF(T$12=0,0,T273/T$12)</f>
        <v>-1.1116175332810067E-2</v>
      </c>
      <c r="W273" s="15"/>
      <c r="X273" s="33">
        <f>P273-T273</f>
        <v>-697989.74000000046</v>
      </c>
      <c r="Y273" s="15"/>
      <c r="Z273" s="34">
        <f>IF(T273=0,0,X273/T273)</f>
        <v>8.7917472746127991</v>
      </c>
    </row>
    <row r="274" spans="1:26" ht="15.75" thickTop="1" x14ac:dyDescent="0.25">
      <c r="A274" s="9"/>
      <c r="B274" s="9"/>
      <c r="C274" s="9"/>
      <c r="D274" s="3"/>
      <c r="E274" s="3"/>
      <c r="F274" s="8"/>
      <c r="G274" s="3"/>
      <c r="H274" s="3"/>
      <c r="I274" s="3"/>
      <c r="J274" s="8"/>
      <c r="K274" s="3"/>
      <c r="L274" s="3"/>
      <c r="M274" s="3"/>
      <c r="N274" s="8"/>
      <c r="P274" s="3"/>
      <c r="Q274" s="3"/>
      <c r="R274" s="8"/>
      <c r="S274" s="3"/>
      <c r="T274" s="3"/>
      <c r="U274" s="3"/>
      <c r="V274" s="8"/>
      <c r="W274" s="3"/>
      <c r="X274" s="3"/>
      <c r="Y274" s="3"/>
      <c r="Z274" s="8"/>
    </row>
    <row r="275" spans="1:26" x14ac:dyDescent="0.25">
      <c r="A275" s="9"/>
      <c r="B275" s="9"/>
      <c r="C275" s="9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s="23" customFormat="1" ht="15.75" thickBot="1" x14ac:dyDescent="0.3">
      <c r="A276" s="10"/>
      <c r="B276" s="28" t="s">
        <v>5</v>
      </c>
      <c r="C276" s="28"/>
      <c r="D276" s="30">
        <f>SUM(D273:D275)</f>
        <v>-256238.03000000014</v>
      </c>
      <c r="E276" s="14"/>
      <c r="F276" s="32">
        <f>IF(D$12=0,0,D276/D$12)</f>
        <v>-1.0967603545648386</v>
      </c>
      <c r="G276" s="14"/>
      <c r="H276" s="30">
        <f>SUM(H273:H275)</f>
        <v>-142494.40000000005</v>
      </c>
      <c r="I276" s="14"/>
      <c r="J276" s="32">
        <f>IF(H$12=0,0,H276/H$12)</f>
        <v>-0.21855885126965752</v>
      </c>
      <c r="K276" s="15"/>
      <c r="L276" s="30">
        <f>+D276-H276</f>
        <v>-113743.63000000009</v>
      </c>
      <c r="M276" s="15"/>
      <c r="N276" s="32">
        <f>IF(H276=0,0,L276/H276)</f>
        <v>0.79823228140895397</v>
      </c>
      <c r="O276" s="29"/>
      <c r="P276" s="30">
        <f>SUM(P273:P275)</f>
        <v>-777381.21000000008</v>
      </c>
      <c r="Q276" s="14"/>
      <c r="R276" s="32">
        <f>IF(P$12=0,0,P276/P$12)</f>
        <v>-0.28779093913676845</v>
      </c>
      <c r="S276" s="14"/>
      <c r="T276" s="30">
        <f>SUM(T273:T275)</f>
        <v>-79391.469999999623</v>
      </c>
      <c r="U276" s="14"/>
      <c r="V276" s="32">
        <f>IF(T$12=0,0,T276/T$12)</f>
        <v>-1.1116175332810067E-2</v>
      </c>
      <c r="W276" s="15"/>
      <c r="X276" s="30">
        <f>+P276-T276</f>
        <v>-697989.74000000046</v>
      </c>
      <c r="Y276" s="15"/>
      <c r="Z276" s="32">
        <f>IF(T276=0,0,X276/T276)</f>
        <v>8.7917472746127991</v>
      </c>
    </row>
    <row r="277" spans="1:26" ht="15.75" thickTop="1" x14ac:dyDescent="0.25">
      <c r="A277" s="9"/>
      <c r="C277" s="9"/>
      <c r="D277" s="17"/>
      <c r="E277" s="17"/>
      <c r="G277" s="17"/>
      <c r="H277" s="17"/>
      <c r="I277" s="17"/>
      <c r="J277" s="43"/>
      <c r="K277" s="17"/>
      <c r="L277" s="17"/>
      <c r="M277" s="17"/>
      <c r="P277" s="17"/>
      <c r="Q277" s="17"/>
      <c r="R277" s="43"/>
      <c r="S277" s="17"/>
      <c r="T277" s="17"/>
      <c r="U277" s="17"/>
      <c r="V277" s="43"/>
      <c r="W277" s="17"/>
      <c r="X277" s="17"/>
    </row>
    <row r="278" spans="1:26" x14ac:dyDescent="0.25">
      <c r="A278" s="9"/>
      <c r="B278" s="58">
        <v>44209.521291087964</v>
      </c>
      <c r="D278" s="17"/>
      <c r="E278" s="17"/>
      <c r="G278" s="17"/>
      <c r="H278" s="17"/>
      <c r="I278" s="17"/>
      <c r="J278" s="43"/>
      <c r="K278" s="17"/>
      <c r="L278" s="17"/>
      <c r="M278" s="17"/>
      <c r="P278" s="17"/>
      <c r="Q278" s="17"/>
      <c r="R278" s="43"/>
      <c r="S278" s="17"/>
      <c r="T278" s="17"/>
      <c r="U278" s="17"/>
      <c r="V278" s="43"/>
      <c r="W278" s="17"/>
      <c r="X278" s="17"/>
    </row>
    <row r="279" spans="1:26" x14ac:dyDescent="0.25">
      <c r="A279" s="9"/>
      <c r="B279" s="61" t="s">
        <v>313</v>
      </c>
      <c r="D279" s="17"/>
      <c r="E279" s="17"/>
      <c r="G279" s="17"/>
      <c r="H279" s="17"/>
      <c r="I279" s="17"/>
      <c r="J279" s="43"/>
      <c r="K279" s="17"/>
      <c r="L279" s="17"/>
      <c r="M279" s="17"/>
      <c r="P279" s="17"/>
      <c r="Q279" s="17"/>
      <c r="R279" s="43"/>
      <c r="S279" s="17"/>
      <c r="T279" s="17"/>
      <c r="U279" s="17"/>
      <c r="V279" s="43"/>
      <c r="W279" s="17"/>
      <c r="X279" s="17"/>
    </row>
    <row r="280" spans="1:26" x14ac:dyDescent="0.25">
      <c r="A280" s="9"/>
      <c r="B280" s="57"/>
      <c r="D280" s="17"/>
      <c r="E280" s="17"/>
      <c r="G280" s="17"/>
      <c r="H280" s="17"/>
      <c r="I280" s="17"/>
      <c r="J280" s="43"/>
      <c r="K280" s="17"/>
      <c r="L280" s="17"/>
      <c r="M280" s="17"/>
      <c r="P280" s="17"/>
      <c r="Q280" s="17"/>
      <c r="R280" s="43"/>
      <c r="S280" s="17"/>
      <c r="T280" s="17"/>
      <c r="U280" s="17"/>
      <c r="V280" s="43"/>
      <c r="W280" s="17"/>
      <c r="X280" s="17"/>
    </row>
    <row r="281" spans="1:26" x14ac:dyDescent="0.25">
      <c r="D281" s="17"/>
      <c r="E281" s="17"/>
      <c r="G281" s="17"/>
      <c r="H281" s="17"/>
      <c r="I281" s="17"/>
      <c r="J281" s="43"/>
      <c r="K281" s="17"/>
      <c r="L281" s="17"/>
      <c r="M281" s="17"/>
      <c r="P281" s="17"/>
      <c r="Q281" s="17"/>
      <c r="R281" s="43"/>
      <c r="S281" s="17"/>
      <c r="T281" s="17"/>
      <c r="U281" s="17"/>
      <c r="V281" s="43"/>
      <c r="W281" s="17"/>
      <c r="X281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7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308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233631.73999999996</v>
      </c>
      <c r="E12" s="4"/>
      <c r="F12" s="12"/>
      <c r="G12" s="4"/>
      <c r="H12" s="4">
        <f>SUM(OSRRefH13x_0)</f>
        <v>444005.37999999983</v>
      </c>
      <c r="I12" s="4"/>
      <c r="J12" s="12"/>
      <c r="K12" s="4"/>
      <c r="L12" s="4">
        <f t="shared" ref="L12:L105" si="0">+D12-H12</f>
        <v>-210373.63999999987</v>
      </c>
      <c r="M12" s="4"/>
      <c r="N12" s="12">
        <f t="shared" ref="N12:N105" si="1">IF(H12=0,0,L12/H12)</f>
        <v>-0.47380876330822824</v>
      </c>
      <c r="O12" s="10"/>
      <c r="P12" s="4">
        <f>SUM(OSRRefP13x_0)</f>
        <v>2698614.6599999997</v>
      </c>
      <c r="Q12" s="4"/>
      <c r="R12" s="12"/>
      <c r="S12" s="4"/>
      <c r="T12" s="4">
        <f>SUM(OSRRefT13x_0)</f>
        <v>5515184.3099999987</v>
      </c>
      <c r="U12" s="4"/>
      <c r="V12" s="12"/>
      <c r="W12" s="4"/>
      <c r="X12" s="4">
        <f t="shared" ref="X12:X105" si="2">+P12-T12</f>
        <v>-2816569.649999999</v>
      </c>
      <c r="Y12" s="4"/>
      <c r="Z12" s="12">
        <f t="shared" ref="Z12:Z105" si="3">IF(T12=0,0,X12/T12)</f>
        <v>-0.5106936580329805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-31830.44</f>
        <v>-31830.44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-31830.44</v>
      </c>
      <c r="M13" s="2"/>
      <c r="N13" s="19">
        <f t="shared" si="1"/>
        <v>0</v>
      </c>
      <c r="O13" s="11"/>
      <c r="P13" s="2">
        <f>-88829.09</f>
        <v>-88829.09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-88829.09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--11522</f>
        <v>11522</v>
      </c>
      <c r="E14" s="2"/>
      <c r="F14" s="19"/>
      <c r="G14" s="2"/>
      <c r="H14" s="2">
        <f>--36689.95</f>
        <v>36689.949999999997</v>
      </c>
      <c r="I14" s="2"/>
      <c r="J14" s="19"/>
      <c r="K14" s="2"/>
      <c r="L14" s="2">
        <f t="shared" si="0"/>
        <v>-25167.949999999997</v>
      </c>
      <c r="M14" s="2"/>
      <c r="N14" s="19">
        <f t="shared" si="1"/>
        <v>-0.68596304982699619</v>
      </c>
      <c r="O14" s="11"/>
      <c r="P14" s="2">
        <f>--730666.02</f>
        <v>730666.02</v>
      </c>
      <c r="Q14" s="2"/>
      <c r="R14" s="19"/>
      <c r="S14" s="2"/>
      <c r="T14" s="2">
        <f>--1540034.38</f>
        <v>1540034.38</v>
      </c>
      <c r="U14" s="2"/>
      <c r="V14" s="19"/>
      <c r="W14" s="2"/>
      <c r="X14" s="2">
        <f t="shared" si="2"/>
        <v>-809368.35999999987</v>
      </c>
      <c r="Y14" s="2"/>
      <c r="Z14" s="19">
        <f t="shared" si="3"/>
        <v>-0.52555213734903761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--2822.44</f>
        <v>2822.44</v>
      </c>
      <c r="E15" s="2"/>
      <c r="F15" s="19"/>
      <c r="G15" s="2"/>
      <c r="H15" s="2">
        <f>--10615.68</f>
        <v>10615.68</v>
      </c>
      <c r="I15" s="2"/>
      <c r="J15" s="19"/>
      <c r="K15" s="2"/>
      <c r="L15" s="2">
        <f t="shared" si="0"/>
        <v>-7793.24</v>
      </c>
      <c r="M15" s="2"/>
      <c r="N15" s="19">
        <f t="shared" si="1"/>
        <v>-0.73412536926508709</v>
      </c>
      <c r="O15" s="11"/>
      <c r="P15" s="2">
        <f>--323454.06</f>
        <v>323454.06</v>
      </c>
      <c r="Q15" s="2"/>
      <c r="R15" s="19"/>
      <c r="S15" s="2"/>
      <c r="T15" s="2">
        <f>--681094.97</f>
        <v>681094.97</v>
      </c>
      <c r="U15" s="2"/>
      <c r="V15" s="19"/>
      <c r="W15" s="2"/>
      <c r="X15" s="2">
        <f t="shared" si="2"/>
        <v>-357640.91</v>
      </c>
      <c r="Y15" s="2"/>
      <c r="Z15" s="19">
        <f t="shared" si="3"/>
        <v>-0.52509697729818794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>
        <f>--586.01</f>
        <v>586.01</v>
      </c>
      <c r="I16" s="2"/>
      <c r="J16" s="19"/>
      <c r="K16" s="2"/>
      <c r="L16" s="2">
        <f t="shared" si="0"/>
        <v>-586.01</v>
      </c>
      <c r="M16" s="2"/>
      <c r="N16" s="19">
        <f t="shared" si="1"/>
        <v>-1</v>
      </c>
      <c r="O16" s="11"/>
      <c r="P16" s="2">
        <f>--10665.63</f>
        <v>10665.63</v>
      </c>
      <c r="Q16" s="2"/>
      <c r="R16" s="19"/>
      <c r="S16" s="2"/>
      <c r="T16" s="2">
        <f>--16430.67</f>
        <v>16430.669999999998</v>
      </c>
      <c r="U16" s="2"/>
      <c r="V16" s="19"/>
      <c r="W16" s="2"/>
      <c r="X16" s="2">
        <f t="shared" si="2"/>
        <v>-5765.0399999999991</v>
      </c>
      <c r="Y16" s="2"/>
      <c r="Z16" s="19">
        <f t="shared" si="3"/>
        <v>-0.35087065834807707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--2459.56</f>
        <v>2459.56</v>
      </c>
      <c r="Q17" s="2"/>
      <c r="R17" s="19"/>
      <c r="S17" s="2"/>
      <c r="T17" s="2">
        <f>--30279.88</f>
        <v>30279.88</v>
      </c>
      <c r="U17" s="2"/>
      <c r="V17" s="19"/>
      <c r="W17" s="2"/>
      <c r="X17" s="2">
        <f t="shared" si="2"/>
        <v>-27820.32</v>
      </c>
      <c r="Y17" s="2"/>
      <c r="Z17" s="19">
        <f t="shared" si="3"/>
        <v>-0.91877246541267665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--3.62</f>
        <v>3.62</v>
      </c>
      <c r="I18" s="2"/>
      <c r="J18" s="19"/>
      <c r="K18" s="2"/>
      <c r="L18" s="2">
        <f t="shared" si="0"/>
        <v>-3.62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--13.22</f>
        <v>13.22</v>
      </c>
      <c r="U18" s="2"/>
      <c r="V18" s="19"/>
      <c r="W18" s="2"/>
      <c r="X18" s="2">
        <f t="shared" si="2"/>
        <v>-13.22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--78.85</f>
        <v>78.849999999999994</v>
      </c>
      <c r="E19" s="2"/>
      <c r="F19" s="19"/>
      <c r="G19" s="2"/>
      <c r="H19" s="2">
        <f>--167.6</f>
        <v>167.6</v>
      </c>
      <c r="I19" s="2"/>
      <c r="J19" s="19"/>
      <c r="K19" s="2"/>
      <c r="L19" s="2">
        <f t="shared" si="0"/>
        <v>-88.75</v>
      </c>
      <c r="M19" s="2"/>
      <c r="N19" s="19">
        <f t="shared" si="1"/>
        <v>-0.52953460620525061</v>
      </c>
      <c r="O19" s="11"/>
      <c r="P19" s="2">
        <f>--583.97</f>
        <v>583.97</v>
      </c>
      <c r="Q19" s="2"/>
      <c r="R19" s="19"/>
      <c r="S19" s="2"/>
      <c r="T19" s="2">
        <f>--1280.32</f>
        <v>1280.32</v>
      </c>
      <c r="U19" s="2"/>
      <c r="V19" s="19"/>
      <c r="W19" s="2"/>
      <c r="X19" s="2">
        <f t="shared" si="2"/>
        <v>-696.34999999999991</v>
      </c>
      <c r="Y19" s="2"/>
      <c r="Z19" s="19">
        <f t="shared" si="3"/>
        <v>-0.54388746563359158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--35.82</f>
        <v>35.82</v>
      </c>
      <c r="E20" s="2"/>
      <c r="F20" s="19"/>
      <c r="G20" s="2"/>
      <c r="H20" s="2">
        <f>--109.34</f>
        <v>109.34</v>
      </c>
      <c r="I20" s="2"/>
      <c r="J20" s="19"/>
      <c r="K20" s="2"/>
      <c r="L20" s="2">
        <f t="shared" si="0"/>
        <v>-73.52000000000001</v>
      </c>
      <c r="M20" s="2"/>
      <c r="N20" s="19">
        <f t="shared" si="1"/>
        <v>-0.67239802451070063</v>
      </c>
      <c r="O20" s="11"/>
      <c r="P20" s="2">
        <f>--376.06</f>
        <v>376.06</v>
      </c>
      <c r="Q20" s="2"/>
      <c r="R20" s="19"/>
      <c r="S20" s="2"/>
      <c r="T20" s="2">
        <f>--992.69</f>
        <v>992.69</v>
      </c>
      <c r="U20" s="2"/>
      <c r="V20" s="19"/>
      <c r="W20" s="2"/>
      <c r="X20" s="2">
        <f t="shared" si="2"/>
        <v>-616.63000000000011</v>
      </c>
      <c r="Y20" s="2"/>
      <c r="Z20" s="19">
        <f t="shared" si="3"/>
        <v>-0.62117075824275458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--10.98</f>
        <v>10.98</v>
      </c>
      <c r="I21" s="2"/>
      <c r="J21" s="19"/>
      <c r="K21" s="2"/>
      <c r="L21" s="2">
        <f t="shared" si="0"/>
        <v>-10.98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--242.14</f>
        <v>242.14</v>
      </c>
      <c r="U21" s="2"/>
      <c r="V21" s="19"/>
      <c r="W21" s="2"/>
      <c r="X21" s="2">
        <f t="shared" si="2"/>
        <v>-242.14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--6.95</f>
        <v>6.95</v>
      </c>
      <c r="E22" s="2"/>
      <c r="F22" s="19"/>
      <c r="G22" s="2"/>
      <c r="H22" s="2">
        <f>--157.74</f>
        <v>157.74</v>
      </c>
      <c r="I22" s="2"/>
      <c r="J22" s="19"/>
      <c r="K22" s="2"/>
      <c r="L22" s="2">
        <f t="shared" si="0"/>
        <v>-150.79000000000002</v>
      </c>
      <c r="M22" s="2"/>
      <c r="N22" s="19">
        <f t="shared" si="1"/>
        <v>-0.95594015468492466</v>
      </c>
      <c r="O22" s="11"/>
      <c r="P22" s="2">
        <f>--190.84</f>
        <v>190.84</v>
      </c>
      <c r="Q22" s="2"/>
      <c r="R22" s="19"/>
      <c r="S22" s="2"/>
      <c r="T22" s="2">
        <f>--2890.39</f>
        <v>2890.39</v>
      </c>
      <c r="U22" s="2"/>
      <c r="V22" s="19"/>
      <c r="W22" s="2"/>
      <c r="X22" s="2">
        <f t="shared" si="2"/>
        <v>-2699.5499999999997</v>
      </c>
      <c r="Y22" s="2"/>
      <c r="Z22" s="19">
        <f t="shared" si="3"/>
        <v>-0.93397430796536107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ref="D23:D24" si="5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6">0</f>
        <v>0</v>
      </c>
      <c r="Q23" s="2"/>
      <c r="R23" s="19"/>
      <c r="S23" s="2"/>
      <c r="T23" s="2">
        <f>--33.88</f>
        <v>33.880000000000003</v>
      </c>
      <c r="U23" s="2"/>
      <c r="V23" s="19"/>
      <c r="W23" s="2"/>
      <c r="X23" s="2">
        <f t="shared" si="2"/>
        <v>-33.880000000000003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>
        <f>--5588.38</f>
        <v>5588.38</v>
      </c>
      <c r="I24" s="2"/>
      <c r="J24" s="19"/>
      <c r="K24" s="2"/>
      <c r="L24" s="2">
        <f t="shared" si="0"/>
        <v>-5588.38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--35133.1</f>
        <v>35133.1</v>
      </c>
      <c r="U24" s="2"/>
      <c r="V24" s="19"/>
      <c r="W24" s="2"/>
      <c r="X24" s="2">
        <f t="shared" si="2"/>
        <v>-35133.1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--75.18</f>
        <v>75.180000000000007</v>
      </c>
      <c r="E25" s="2"/>
      <c r="F25" s="19"/>
      <c r="G25" s="2"/>
      <c r="H25" s="2">
        <f>--6254.22</f>
        <v>6254.22</v>
      </c>
      <c r="I25" s="2"/>
      <c r="J25" s="19"/>
      <c r="K25" s="2"/>
      <c r="L25" s="2">
        <f t="shared" si="0"/>
        <v>-6179.04</v>
      </c>
      <c r="M25" s="2"/>
      <c r="N25" s="19">
        <f t="shared" si="1"/>
        <v>-0.98797931636558989</v>
      </c>
      <c r="O25" s="11"/>
      <c r="P25" s="2">
        <f>--372.38</f>
        <v>372.38</v>
      </c>
      <c r="Q25" s="2"/>
      <c r="R25" s="19"/>
      <c r="S25" s="2"/>
      <c r="T25" s="2">
        <f>--49928.17</f>
        <v>49928.17</v>
      </c>
      <c r="U25" s="2"/>
      <c r="V25" s="19"/>
      <c r="W25" s="2"/>
      <c r="X25" s="2">
        <f t="shared" si="2"/>
        <v>-49555.79</v>
      </c>
      <c r="Y25" s="2"/>
      <c r="Z25" s="19">
        <f t="shared" si="3"/>
        <v>-0.99254168538522447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--3253.96</f>
        <v>3253.96</v>
      </c>
      <c r="E26" s="2"/>
      <c r="F26" s="19"/>
      <c r="G26" s="2"/>
      <c r="H26" s="2">
        <f>--10568.39</f>
        <v>10568.39</v>
      </c>
      <c r="I26" s="2"/>
      <c r="J26" s="19"/>
      <c r="K26" s="2"/>
      <c r="L26" s="2">
        <f t="shared" si="0"/>
        <v>-7314.4299999999994</v>
      </c>
      <c r="M26" s="2"/>
      <c r="N26" s="19">
        <f t="shared" si="1"/>
        <v>-0.69210447381294593</v>
      </c>
      <c r="O26" s="11"/>
      <c r="P26" s="2">
        <f>--39974.43</f>
        <v>39974.43</v>
      </c>
      <c r="Q26" s="2"/>
      <c r="R26" s="19"/>
      <c r="S26" s="2"/>
      <c r="T26" s="2">
        <f>--165357.47</f>
        <v>165357.47</v>
      </c>
      <c r="U26" s="2"/>
      <c r="V26" s="19"/>
      <c r="W26" s="2"/>
      <c r="X26" s="2">
        <f t="shared" si="2"/>
        <v>-125383.04000000001</v>
      </c>
      <c r="Y26" s="2"/>
      <c r="Z26" s="19">
        <f t="shared" si="3"/>
        <v>-0.7582544653108203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--1179.23</f>
        <v>1179.23</v>
      </c>
      <c r="E27" s="2"/>
      <c r="F27" s="19"/>
      <c r="G27" s="2"/>
      <c r="H27" s="2">
        <f>--13684.86</f>
        <v>13684.86</v>
      </c>
      <c r="I27" s="2"/>
      <c r="J27" s="19"/>
      <c r="K27" s="2"/>
      <c r="L27" s="2">
        <f t="shared" si="0"/>
        <v>-12505.630000000001</v>
      </c>
      <c r="M27" s="2"/>
      <c r="N27" s="19">
        <f t="shared" si="1"/>
        <v>-0.91382958978023898</v>
      </c>
      <c r="O27" s="11"/>
      <c r="P27" s="2">
        <f>--17178.81</f>
        <v>17178.810000000001</v>
      </c>
      <c r="Q27" s="2"/>
      <c r="R27" s="19"/>
      <c r="S27" s="2"/>
      <c r="T27" s="2">
        <f>--189637.57</f>
        <v>189637.57</v>
      </c>
      <c r="U27" s="2"/>
      <c r="V27" s="19"/>
      <c r="W27" s="2"/>
      <c r="X27" s="2">
        <f t="shared" si="2"/>
        <v>-172458.76</v>
      </c>
      <c r="Y27" s="2"/>
      <c r="Z27" s="19">
        <f t="shared" si="3"/>
        <v>-0.90941241231893033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--247.04</f>
        <v>247.04</v>
      </c>
      <c r="E28" s="2"/>
      <c r="F28" s="19"/>
      <c r="G28" s="2"/>
      <c r="H28" s="2">
        <f>--26.89</f>
        <v>26.89</v>
      </c>
      <c r="I28" s="2"/>
      <c r="J28" s="19"/>
      <c r="K28" s="2"/>
      <c r="L28" s="2">
        <f t="shared" si="0"/>
        <v>220.14999999999998</v>
      </c>
      <c r="M28" s="2"/>
      <c r="N28" s="19">
        <f t="shared" si="1"/>
        <v>8.1870583860171049</v>
      </c>
      <c r="O28" s="11"/>
      <c r="P28" s="2">
        <f>--2109.65</f>
        <v>2109.65</v>
      </c>
      <c r="Q28" s="2"/>
      <c r="R28" s="19"/>
      <c r="S28" s="2"/>
      <c r="T28" s="2">
        <f>--306.94</f>
        <v>306.94</v>
      </c>
      <c r="U28" s="2"/>
      <c r="V28" s="19"/>
      <c r="W28" s="2"/>
      <c r="X28" s="2">
        <f t="shared" si="2"/>
        <v>1802.71</v>
      </c>
      <c r="Y28" s="2"/>
      <c r="Z28" s="19">
        <f t="shared" si="3"/>
        <v>5.8731673942790126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7">0</f>
        <v>0</v>
      </c>
      <c r="E29" s="2"/>
      <c r="F29" s="19"/>
      <c r="G29" s="2"/>
      <c r="H29" s="2">
        <f>--203.26</f>
        <v>203.26</v>
      </c>
      <c r="I29" s="2"/>
      <c r="J29" s="19"/>
      <c r="K29" s="2"/>
      <c r="L29" s="2">
        <f t="shared" si="0"/>
        <v>-203.26</v>
      </c>
      <c r="M29" s="2"/>
      <c r="N29" s="19">
        <f t="shared" si="1"/>
        <v>-1</v>
      </c>
      <c r="O29" s="11"/>
      <c r="P29" s="2">
        <f t="shared" ref="P29:P30" si="8">0</f>
        <v>0</v>
      </c>
      <c r="Q29" s="2"/>
      <c r="R29" s="19"/>
      <c r="S29" s="2"/>
      <c r="T29" s="2">
        <f>--866.34</f>
        <v>866.34</v>
      </c>
      <c r="U29" s="2"/>
      <c r="V29" s="19"/>
      <c r="W29" s="2"/>
      <c r="X29" s="2">
        <f t="shared" si="2"/>
        <v>-866.34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7"/>
        <v>0</v>
      </c>
      <c r="E30" s="2"/>
      <c r="F30" s="19"/>
      <c r="G30" s="2"/>
      <c r="H30" s="2">
        <f>--22.41</f>
        <v>22.41</v>
      </c>
      <c r="I30" s="2"/>
      <c r="J30" s="19"/>
      <c r="K30" s="2"/>
      <c r="L30" s="2">
        <f t="shared" si="0"/>
        <v>-22.41</v>
      </c>
      <c r="M30" s="2"/>
      <c r="N30" s="19">
        <f t="shared" si="1"/>
        <v>-1</v>
      </c>
      <c r="O30" s="11"/>
      <c r="P30" s="2">
        <f t="shared" si="8"/>
        <v>0</v>
      </c>
      <c r="Q30" s="2"/>
      <c r="R30" s="19"/>
      <c r="S30" s="2"/>
      <c r="T30" s="2">
        <f>--131.02</f>
        <v>131.02000000000001</v>
      </c>
      <c r="U30" s="2"/>
      <c r="V30" s="19"/>
      <c r="W30" s="2"/>
      <c r="X30" s="2">
        <f t="shared" si="2"/>
        <v>-131.02000000000001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--547.26</f>
        <v>547.26</v>
      </c>
      <c r="I31" s="2"/>
      <c r="J31" s="19"/>
      <c r="K31" s="2"/>
      <c r="L31" s="2">
        <f t="shared" si="0"/>
        <v>-547.26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--5271.51</f>
        <v>5271.51</v>
      </c>
      <c r="U31" s="2"/>
      <c r="V31" s="19"/>
      <c r="W31" s="2"/>
      <c r="X31" s="2">
        <f t="shared" si="2"/>
        <v>-5264.7300000000005</v>
      </c>
      <c r="Y31" s="2"/>
      <c r="Z31" s="19">
        <f t="shared" si="3"/>
        <v>-0.99871384100570804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--133.49</f>
        <v>133.49</v>
      </c>
      <c r="I32" s="2"/>
      <c r="J32" s="19"/>
      <c r="K32" s="2"/>
      <c r="L32" s="2">
        <f t="shared" si="0"/>
        <v>-133.49</v>
      </c>
      <c r="M32" s="2"/>
      <c r="N32" s="19">
        <f t="shared" si="1"/>
        <v>-1</v>
      </c>
      <c r="O32" s="11"/>
      <c r="P32" s="2">
        <f t="shared" ref="P32:P33" si="9">0</f>
        <v>0</v>
      </c>
      <c r="Q32" s="2"/>
      <c r="R32" s="19"/>
      <c r="S32" s="2"/>
      <c r="T32" s="2">
        <f>--1267.09</f>
        <v>1267.0899999999999</v>
      </c>
      <c r="U32" s="2"/>
      <c r="V32" s="19"/>
      <c r="W32" s="2"/>
      <c r="X32" s="2">
        <f t="shared" si="2"/>
        <v>-1267.0899999999999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--19.09</f>
        <v>19.09</v>
      </c>
      <c r="I33" s="2"/>
      <c r="J33" s="19"/>
      <c r="K33" s="2"/>
      <c r="L33" s="2">
        <f t="shared" si="0"/>
        <v>-19.09</v>
      </c>
      <c r="M33" s="2"/>
      <c r="N33" s="19">
        <f t="shared" si="1"/>
        <v>-1</v>
      </c>
      <c r="O33" s="11"/>
      <c r="P33" s="2">
        <f t="shared" si="9"/>
        <v>0</v>
      </c>
      <c r="Q33" s="2"/>
      <c r="R33" s="19"/>
      <c r="S33" s="2"/>
      <c r="T33" s="2">
        <f>--396.26</f>
        <v>396.26</v>
      </c>
      <c r="U33" s="2"/>
      <c r="V33" s="19"/>
      <c r="W33" s="2"/>
      <c r="X33" s="2">
        <f t="shared" si="2"/>
        <v>-396.26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--84378.29</f>
        <v>84378.29</v>
      </c>
      <c r="E34" s="2"/>
      <c r="F34" s="19"/>
      <c r="G34" s="2"/>
      <c r="H34" s="2">
        <f>--193654.24</f>
        <v>193654.24</v>
      </c>
      <c r="I34" s="2"/>
      <c r="J34" s="19"/>
      <c r="K34" s="2"/>
      <c r="L34" s="2">
        <f t="shared" si="0"/>
        <v>-109275.95</v>
      </c>
      <c r="M34" s="2"/>
      <c r="N34" s="19">
        <f t="shared" si="1"/>
        <v>-0.56428379776244508</v>
      </c>
      <c r="O34" s="11"/>
      <c r="P34" s="2">
        <f>--508110.99</f>
        <v>508110.99</v>
      </c>
      <c r="Q34" s="2"/>
      <c r="R34" s="19"/>
      <c r="S34" s="2"/>
      <c r="T34" s="2">
        <f>--1291791.18</f>
        <v>1291791.18</v>
      </c>
      <c r="U34" s="2"/>
      <c r="V34" s="19"/>
      <c r="W34" s="2"/>
      <c r="X34" s="2">
        <f t="shared" si="2"/>
        <v>-783680.19</v>
      </c>
      <c r="Y34" s="2"/>
      <c r="Z34" s="19">
        <f t="shared" si="3"/>
        <v>-0.60666166647770425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--32217.83</f>
        <v>32217.83</v>
      </c>
      <c r="E35" s="2"/>
      <c r="F35" s="19"/>
      <c r="G35" s="2"/>
      <c r="H35" s="2">
        <f>--37979.16</f>
        <v>37979.160000000003</v>
      </c>
      <c r="I35" s="2"/>
      <c r="J35" s="19"/>
      <c r="K35" s="2"/>
      <c r="L35" s="2">
        <f t="shared" si="0"/>
        <v>-5761.3300000000017</v>
      </c>
      <c r="M35" s="2"/>
      <c r="N35" s="19">
        <f t="shared" si="1"/>
        <v>-0.15169714127431994</v>
      </c>
      <c r="O35" s="11"/>
      <c r="P35" s="2">
        <f>--197618.32</f>
        <v>197618.32</v>
      </c>
      <c r="Q35" s="2"/>
      <c r="R35" s="19"/>
      <c r="S35" s="2"/>
      <c r="T35" s="2">
        <f>--296126.81</f>
        <v>296126.81</v>
      </c>
      <c r="U35" s="2"/>
      <c r="V35" s="19"/>
      <c r="W35" s="2"/>
      <c r="X35" s="2">
        <f t="shared" si="2"/>
        <v>-98508.489999999991</v>
      </c>
      <c r="Y35" s="2"/>
      <c r="Z35" s="19">
        <f t="shared" si="3"/>
        <v>-0.33265643863856836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--8018.58</f>
        <v>8018.58</v>
      </c>
      <c r="E36" s="2"/>
      <c r="F36" s="19"/>
      <c r="G36" s="2"/>
      <c r="H36" s="2">
        <f>--44973.91</f>
        <v>44973.91</v>
      </c>
      <c r="I36" s="2"/>
      <c r="J36" s="19"/>
      <c r="K36" s="2"/>
      <c r="L36" s="2">
        <f t="shared" si="0"/>
        <v>-36955.33</v>
      </c>
      <c r="M36" s="2"/>
      <c r="N36" s="19">
        <f t="shared" si="1"/>
        <v>-0.82170596241242977</v>
      </c>
      <c r="O36" s="11"/>
      <c r="P36" s="2">
        <f>--64897.7</f>
        <v>64897.7</v>
      </c>
      <c r="Q36" s="2"/>
      <c r="R36" s="19"/>
      <c r="S36" s="2"/>
      <c r="T36" s="2">
        <f>--199952.1</f>
        <v>199952.1</v>
      </c>
      <c r="U36" s="2"/>
      <c r="V36" s="19"/>
      <c r="W36" s="2"/>
      <c r="X36" s="2">
        <f t="shared" si="2"/>
        <v>-135054.40000000002</v>
      </c>
      <c r="Y36" s="2"/>
      <c r="Z36" s="19">
        <f t="shared" si="3"/>
        <v>-0.67543376638704977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--35930.93</f>
        <v>35930.93</v>
      </c>
      <c r="E37" s="2"/>
      <c r="F37" s="19"/>
      <c r="G37" s="2"/>
      <c r="H37" s="2">
        <f>--9497.44</f>
        <v>9497.44</v>
      </c>
      <c r="I37" s="2"/>
      <c r="J37" s="19"/>
      <c r="K37" s="2"/>
      <c r="L37" s="2">
        <f t="shared" si="0"/>
        <v>26433.489999999998</v>
      </c>
      <c r="M37" s="2"/>
      <c r="N37" s="19">
        <f t="shared" si="1"/>
        <v>2.7832226368368738</v>
      </c>
      <c r="O37" s="11"/>
      <c r="P37" s="2">
        <f>--93109.15</f>
        <v>93109.15</v>
      </c>
      <c r="Q37" s="2"/>
      <c r="R37" s="19"/>
      <c r="S37" s="2"/>
      <c r="T37" s="2">
        <f>--14320.46</f>
        <v>14320.46</v>
      </c>
      <c r="U37" s="2"/>
      <c r="V37" s="19"/>
      <c r="W37" s="2"/>
      <c r="X37" s="2">
        <f t="shared" si="2"/>
        <v>78788.69</v>
      </c>
      <c r="Y37" s="2"/>
      <c r="Z37" s="19">
        <f t="shared" si="3"/>
        <v>5.5018267569617185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--11267.16</f>
        <v>11267.16</v>
      </c>
      <c r="E38" s="2"/>
      <c r="F38" s="19"/>
      <c r="G38" s="2"/>
      <c r="H38" s="2">
        <f>--5438.42</f>
        <v>5438.42</v>
      </c>
      <c r="I38" s="2"/>
      <c r="J38" s="19"/>
      <c r="K38" s="2"/>
      <c r="L38" s="2">
        <f t="shared" si="0"/>
        <v>5828.74</v>
      </c>
      <c r="M38" s="2"/>
      <c r="N38" s="19">
        <f t="shared" si="1"/>
        <v>1.0717708452087187</v>
      </c>
      <c r="O38" s="11"/>
      <c r="P38" s="2">
        <f>--26273.67</f>
        <v>26273.67</v>
      </c>
      <c r="Q38" s="2"/>
      <c r="R38" s="19"/>
      <c r="S38" s="2"/>
      <c r="T38" s="2">
        <f>--46736.2</f>
        <v>46736.2</v>
      </c>
      <c r="U38" s="2"/>
      <c r="V38" s="19"/>
      <c r="W38" s="2"/>
      <c r="X38" s="2">
        <f t="shared" si="2"/>
        <v>-20462.53</v>
      </c>
      <c r="Y38" s="2"/>
      <c r="Z38" s="19">
        <f t="shared" si="3"/>
        <v>-0.43783041839088332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--13848.98</f>
        <v>13848.98</v>
      </c>
      <c r="E39" s="2"/>
      <c r="F39" s="19"/>
      <c r="G39" s="2"/>
      <c r="H39" s="2">
        <f>--6487.38</f>
        <v>6487.38</v>
      </c>
      <c r="I39" s="2"/>
      <c r="J39" s="19"/>
      <c r="K39" s="2"/>
      <c r="L39" s="2">
        <f t="shared" si="0"/>
        <v>7361.5999999999995</v>
      </c>
      <c r="M39" s="2"/>
      <c r="N39" s="19">
        <f t="shared" si="1"/>
        <v>1.134757020553752</v>
      </c>
      <c r="O39" s="11"/>
      <c r="P39" s="2">
        <f>--122061.15</f>
        <v>122061.15</v>
      </c>
      <c r="Q39" s="2"/>
      <c r="R39" s="19"/>
      <c r="S39" s="2"/>
      <c r="T39" s="2">
        <f>--61005.82</f>
        <v>61005.82</v>
      </c>
      <c r="U39" s="2"/>
      <c r="V39" s="19"/>
      <c r="W39" s="2"/>
      <c r="X39" s="2">
        <f t="shared" si="2"/>
        <v>61055.329999999994</v>
      </c>
      <c r="Y39" s="2"/>
      <c r="Z39" s="19">
        <f t="shared" si="3"/>
        <v>1.0008115619132731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6" si="10">0</f>
        <v>0</v>
      </c>
      <c r="E40" s="2"/>
      <c r="F40" s="19"/>
      <c r="G40" s="2"/>
      <c r="H40" s="2">
        <f>--115.39</f>
        <v>115.39</v>
      </c>
      <c r="I40" s="2"/>
      <c r="J40" s="19"/>
      <c r="K40" s="2"/>
      <c r="L40" s="2">
        <f t="shared" si="0"/>
        <v>-115.39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--1793.94</f>
        <v>1793.94</v>
      </c>
      <c r="U40" s="2"/>
      <c r="V40" s="19"/>
      <c r="W40" s="2"/>
      <c r="X40" s="2">
        <f t="shared" si="2"/>
        <v>-1793.94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 t="shared" si="10"/>
        <v>0</v>
      </c>
      <c r="E41" s="2"/>
      <c r="F41" s="19"/>
      <c r="G41" s="2"/>
      <c r="H41" s="2">
        <f>--310.76</f>
        <v>310.76</v>
      </c>
      <c r="I41" s="2"/>
      <c r="J41" s="19"/>
      <c r="K41" s="2"/>
      <c r="L41" s="2">
        <f t="shared" si="0"/>
        <v>-310.76</v>
      </c>
      <c r="M41" s="2"/>
      <c r="N41" s="19">
        <f t="shared" si="1"/>
        <v>-1</v>
      </c>
      <c r="O41" s="11"/>
      <c r="P41" s="2">
        <f>--71.95</f>
        <v>71.95</v>
      </c>
      <c r="Q41" s="2"/>
      <c r="R41" s="19"/>
      <c r="S41" s="2"/>
      <c r="T41" s="2">
        <f>--2534.43</f>
        <v>2534.4299999999998</v>
      </c>
      <c r="U41" s="2"/>
      <c r="V41" s="19"/>
      <c r="W41" s="2"/>
      <c r="X41" s="2">
        <f t="shared" si="2"/>
        <v>-2462.48</v>
      </c>
      <c r="Y41" s="2"/>
      <c r="Z41" s="19">
        <f t="shared" si="3"/>
        <v>-0.97161097367060845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 t="shared" si="10"/>
        <v>0</v>
      </c>
      <c r="E42" s="2"/>
      <c r="F42" s="19"/>
      <c r="G42" s="2"/>
      <c r="H42" s="2">
        <f>--19</f>
        <v>19</v>
      </c>
      <c r="I42" s="2"/>
      <c r="J42" s="19"/>
      <c r="K42" s="2"/>
      <c r="L42" s="2">
        <f t="shared" si="0"/>
        <v>-19</v>
      </c>
      <c r="M42" s="2"/>
      <c r="N42" s="19">
        <f t="shared" si="1"/>
        <v>-1</v>
      </c>
      <c r="O42" s="11"/>
      <c r="P42" s="2">
        <f>0</f>
        <v>0</v>
      </c>
      <c r="Q42" s="2"/>
      <c r="R42" s="19"/>
      <c r="S42" s="2"/>
      <c r="T42" s="2">
        <f>--181</f>
        <v>181</v>
      </c>
      <c r="U42" s="2"/>
      <c r="V42" s="19"/>
      <c r="W42" s="2"/>
      <c r="X42" s="2">
        <f t="shared" si="2"/>
        <v>-181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 t="shared" si="10"/>
        <v>0</v>
      </c>
      <c r="E43" s="2"/>
      <c r="F43" s="19"/>
      <c r="G43" s="2"/>
      <c r="H43" s="2">
        <f>--129.88</f>
        <v>129.88</v>
      </c>
      <c r="I43" s="2"/>
      <c r="J43" s="19"/>
      <c r="K43" s="2"/>
      <c r="L43" s="2">
        <f t="shared" si="0"/>
        <v>-129.88</v>
      </c>
      <c r="M43" s="2"/>
      <c r="N43" s="19">
        <f t="shared" si="1"/>
        <v>-1</v>
      </c>
      <c r="O43" s="11"/>
      <c r="P43" s="2">
        <f>--9.99</f>
        <v>9.99</v>
      </c>
      <c r="Q43" s="2"/>
      <c r="R43" s="19"/>
      <c r="S43" s="2"/>
      <c r="T43" s="2">
        <f>--699.48</f>
        <v>699.48</v>
      </c>
      <c r="U43" s="2"/>
      <c r="V43" s="19"/>
      <c r="W43" s="2"/>
      <c r="X43" s="2">
        <f t="shared" si="2"/>
        <v>-689.49</v>
      </c>
      <c r="Y43" s="2"/>
      <c r="Z43" s="19">
        <f t="shared" si="3"/>
        <v>-0.98571796191456507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 t="shared" si="10"/>
        <v>0</v>
      </c>
      <c r="E44" s="2"/>
      <c r="F44" s="19"/>
      <c r="G44" s="2"/>
      <c r="H44" s="2">
        <f>--58.98</f>
        <v>58.98</v>
      </c>
      <c r="I44" s="2"/>
      <c r="J44" s="19"/>
      <c r="K44" s="2"/>
      <c r="L44" s="2">
        <f t="shared" si="0"/>
        <v>-58.98</v>
      </c>
      <c r="M44" s="2"/>
      <c r="N44" s="19">
        <f t="shared" si="1"/>
        <v>-1</v>
      </c>
      <c r="O44" s="11"/>
      <c r="P44" s="2">
        <f t="shared" ref="P44:P46" si="11">0</f>
        <v>0</v>
      </c>
      <c r="Q44" s="2"/>
      <c r="R44" s="19"/>
      <c r="S44" s="2"/>
      <c r="T44" s="2">
        <f>--698.77</f>
        <v>698.77</v>
      </c>
      <c r="U44" s="2"/>
      <c r="V44" s="19"/>
      <c r="W44" s="2"/>
      <c r="X44" s="2">
        <f t="shared" si="2"/>
        <v>-698.77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 t="shared" si="10"/>
        <v>0</v>
      </c>
      <c r="E45" s="2"/>
      <c r="F45" s="19"/>
      <c r="G45" s="2"/>
      <c r="H45" s="2">
        <f>--218.75</f>
        <v>218.75</v>
      </c>
      <c r="I45" s="2"/>
      <c r="J45" s="19"/>
      <c r="K45" s="2"/>
      <c r="L45" s="2">
        <f t="shared" si="0"/>
        <v>-218.75</v>
      </c>
      <c r="M45" s="2"/>
      <c r="N45" s="19">
        <f t="shared" si="1"/>
        <v>-1</v>
      </c>
      <c r="O45" s="11"/>
      <c r="P45" s="2">
        <f t="shared" si="11"/>
        <v>0</v>
      </c>
      <c r="Q45" s="2"/>
      <c r="R45" s="19"/>
      <c r="S45" s="2"/>
      <c r="T45" s="2">
        <f>--7659.37</f>
        <v>7659.37</v>
      </c>
      <c r="U45" s="2"/>
      <c r="V45" s="19"/>
      <c r="W45" s="2"/>
      <c r="X45" s="2">
        <f t="shared" si="2"/>
        <v>-7659.37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 t="shared" si="10"/>
        <v>0</v>
      </c>
      <c r="E46" s="2"/>
      <c r="F46" s="19"/>
      <c r="G46" s="2"/>
      <c r="H46" s="2">
        <f>--20.89</f>
        <v>20.89</v>
      </c>
      <c r="I46" s="2"/>
      <c r="J46" s="19"/>
      <c r="K46" s="2"/>
      <c r="L46" s="2">
        <f t="shared" si="0"/>
        <v>-20.89</v>
      </c>
      <c r="M46" s="2"/>
      <c r="N46" s="19">
        <f t="shared" si="1"/>
        <v>-1</v>
      </c>
      <c r="O46" s="11"/>
      <c r="P46" s="2">
        <f t="shared" si="11"/>
        <v>0</v>
      </c>
      <c r="Q46" s="2"/>
      <c r="R46" s="19"/>
      <c r="S46" s="2"/>
      <c r="T46" s="2">
        <f>--297.33</f>
        <v>297.33</v>
      </c>
      <c r="U46" s="2"/>
      <c r="V46" s="19"/>
      <c r="W46" s="2"/>
      <c r="X46" s="2">
        <f t="shared" si="2"/>
        <v>-297.33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-225.75</f>
        <v>-225.75</v>
      </c>
      <c r="E47" s="2"/>
      <c r="F47" s="19"/>
      <c r="G47" s="2"/>
      <c r="H47" s="2">
        <f>--87.99</f>
        <v>87.99</v>
      </c>
      <c r="I47" s="2"/>
      <c r="J47" s="19"/>
      <c r="K47" s="2"/>
      <c r="L47" s="2">
        <f t="shared" si="0"/>
        <v>-313.74</v>
      </c>
      <c r="M47" s="2"/>
      <c r="N47" s="19">
        <f t="shared" si="1"/>
        <v>-3.5656324582338907</v>
      </c>
      <c r="O47" s="11"/>
      <c r="P47" s="2">
        <f>--165587.67</f>
        <v>165587.67000000001</v>
      </c>
      <c r="Q47" s="2"/>
      <c r="R47" s="19"/>
      <c r="S47" s="2"/>
      <c r="T47" s="2">
        <f>--335928.55</f>
        <v>335928.55</v>
      </c>
      <c r="U47" s="2"/>
      <c r="V47" s="19"/>
      <c r="W47" s="2"/>
      <c r="X47" s="2">
        <f t="shared" si="2"/>
        <v>-170340.87999999998</v>
      </c>
      <c r="Y47" s="2"/>
      <c r="Z47" s="19">
        <f t="shared" si="3"/>
        <v>-0.50707473360034439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--3205.21</f>
        <v>3205.21</v>
      </c>
      <c r="E48" s="2"/>
      <c r="F48" s="19"/>
      <c r="G48" s="2"/>
      <c r="H48" s="2">
        <f>--2606.82</f>
        <v>2606.8200000000002</v>
      </c>
      <c r="I48" s="2"/>
      <c r="J48" s="19"/>
      <c r="K48" s="2"/>
      <c r="L48" s="2">
        <f t="shared" si="0"/>
        <v>598.38999999999987</v>
      </c>
      <c r="M48" s="2"/>
      <c r="N48" s="19">
        <f t="shared" si="1"/>
        <v>0.22954787825780062</v>
      </c>
      <c r="O48" s="11"/>
      <c r="P48" s="2">
        <f>--82140.93</f>
        <v>82140.929999999993</v>
      </c>
      <c r="Q48" s="2"/>
      <c r="R48" s="19"/>
      <c r="S48" s="2"/>
      <c r="T48" s="2">
        <f>--95287.57</f>
        <v>95287.57</v>
      </c>
      <c r="U48" s="2"/>
      <c r="V48" s="19"/>
      <c r="W48" s="2"/>
      <c r="X48" s="2">
        <f t="shared" si="2"/>
        <v>-13146.640000000014</v>
      </c>
      <c r="Y48" s="2"/>
      <c r="Z48" s="19">
        <f t="shared" si="3"/>
        <v>-0.13796804766875692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--598.12</f>
        <v>598.12</v>
      </c>
      <c r="E49" s="2"/>
      <c r="F49" s="19"/>
      <c r="G49" s="2"/>
      <c r="H49" s="2">
        <f>--595.75</f>
        <v>595.75</v>
      </c>
      <c r="I49" s="2"/>
      <c r="J49" s="19"/>
      <c r="K49" s="2"/>
      <c r="L49" s="2">
        <f t="shared" si="0"/>
        <v>2.3700000000000045</v>
      </c>
      <c r="M49" s="2"/>
      <c r="N49" s="19">
        <f t="shared" si="1"/>
        <v>3.9781787662610231E-3</v>
      </c>
      <c r="O49" s="11"/>
      <c r="P49" s="2">
        <f>--33631.31</f>
        <v>33631.31</v>
      </c>
      <c r="Q49" s="2"/>
      <c r="R49" s="19"/>
      <c r="S49" s="2"/>
      <c r="T49" s="2">
        <f>--38202.59</f>
        <v>38202.589999999997</v>
      </c>
      <c r="U49" s="2"/>
      <c r="V49" s="19"/>
      <c r="W49" s="2"/>
      <c r="X49" s="2">
        <f t="shared" si="2"/>
        <v>-4571.2799999999988</v>
      </c>
      <c r="Y49" s="2"/>
      <c r="Z49" s="19">
        <f t="shared" si="3"/>
        <v>-0.11965890270790538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--284.97</f>
        <v>284.97000000000003</v>
      </c>
      <c r="Q50" s="2"/>
      <c r="R50" s="19"/>
      <c r="S50" s="2"/>
      <c r="T50" s="2">
        <f>--329.98</f>
        <v>329.98</v>
      </c>
      <c r="U50" s="2"/>
      <c r="V50" s="19"/>
      <c r="W50" s="2"/>
      <c r="X50" s="2">
        <f t="shared" si="2"/>
        <v>-45.009999999999991</v>
      </c>
      <c r="Y50" s="2"/>
      <c r="Z50" s="19">
        <f t="shared" si="3"/>
        <v>-0.13640220619431478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--1301.3</f>
        <v>1301.3</v>
      </c>
      <c r="E51" s="2"/>
      <c r="F51" s="19"/>
      <c r="G51" s="2"/>
      <c r="H51" s="2">
        <f>--12189.74</f>
        <v>12189.74</v>
      </c>
      <c r="I51" s="2"/>
      <c r="J51" s="19"/>
      <c r="K51" s="2"/>
      <c r="L51" s="2">
        <f t="shared" si="0"/>
        <v>-10888.44</v>
      </c>
      <c r="M51" s="2"/>
      <c r="N51" s="19">
        <f t="shared" si="1"/>
        <v>-0.89324628745157819</v>
      </c>
      <c r="O51" s="11"/>
      <c r="P51" s="2">
        <f>--296191.01</f>
        <v>296191.01</v>
      </c>
      <c r="Q51" s="2"/>
      <c r="R51" s="19"/>
      <c r="S51" s="2"/>
      <c r="T51" s="2">
        <f>--332888.83</f>
        <v>332888.83</v>
      </c>
      <c r="U51" s="2"/>
      <c r="V51" s="19"/>
      <c r="W51" s="2"/>
      <c r="X51" s="2">
        <f t="shared" si="2"/>
        <v>-36697.820000000007</v>
      </c>
      <c r="Y51" s="2"/>
      <c r="Z51" s="19">
        <f t="shared" si="3"/>
        <v>-0.11024046676483559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0</f>
        <v>0</v>
      </c>
      <c r="E52" s="2"/>
      <c r="F52" s="19"/>
      <c r="G52" s="2"/>
      <c r="H52" s="2">
        <f>--431.78</f>
        <v>431.78</v>
      </c>
      <c r="I52" s="2"/>
      <c r="J52" s="19"/>
      <c r="K52" s="2"/>
      <c r="L52" s="2">
        <f t="shared" si="0"/>
        <v>-431.78</v>
      </c>
      <c r="M52" s="2"/>
      <c r="N52" s="19">
        <f t="shared" si="1"/>
        <v>-1</v>
      </c>
      <c r="O52" s="11"/>
      <c r="P52" s="2">
        <f>0</f>
        <v>0</v>
      </c>
      <c r="Q52" s="2"/>
      <c r="R52" s="19"/>
      <c r="S52" s="2"/>
      <c r="T52" s="2">
        <f>--8023.97</f>
        <v>8023.97</v>
      </c>
      <c r="U52" s="2"/>
      <c r="V52" s="19"/>
      <c r="W52" s="2"/>
      <c r="X52" s="2">
        <f t="shared" si="2"/>
        <v>-8023.97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--41.55</f>
        <v>41.55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41.55</v>
      </c>
      <c r="M53" s="2"/>
      <c r="N53" s="19">
        <f t="shared" si="1"/>
        <v>0</v>
      </c>
      <c r="O53" s="11"/>
      <c r="P53" s="2">
        <f>--2327.5</f>
        <v>2327.5</v>
      </c>
      <c r="Q53" s="2"/>
      <c r="R53" s="19"/>
      <c r="S53" s="2"/>
      <c r="T53" s="2">
        <f>--1146.72</f>
        <v>1146.72</v>
      </c>
      <c r="U53" s="2"/>
      <c r="V53" s="19"/>
      <c r="W53" s="2"/>
      <c r="X53" s="2">
        <f t="shared" si="2"/>
        <v>1180.78</v>
      </c>
      <c r="Y53" s="2"/>
      <c r="Z53" s="19">
        <f t="shared" si="3"/>
        <v>1.0297021068787497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 t="shared" ref="D54:D56" si="12">0</f>
        <v>0</v>
      </c>
      <c r="E54" s="2"/>
      <c r="F54" s="19"/>
      <c r="G54" s="2"/>
      <c r="H54" s="2">
        <f>--6.95</f>
        <v>6.95</v>
      </c>
      <c r="I54" s="2"/>
      <c r="J54" s="19"/>
      <c r="K54" s="2"/>
      <c r="L54" s="2">
        <f t="shared" si="0"/>
        <v>-6.95</v>
      </c>
      <c r="M54" s="2"/>
      <c r="N54" s="19">
        <f t="shared" si="1"/>
        <v>-1</v>
      </c>
      <c r="O54" s="11"/>
      <c r="P54" s="2">
        <f>--233.43</f>
        <v>233.43</v>
      </c>
      <c r="Q54" s="2"/>
      <c r="R54" s="19"/>
      <c r="S54" s="2"/>
      <c r="T54" s="2">
        <f>--41.91</f>
        <v>41.91</v>
      </c>
      <c r="U54" s="2"/>
      <c r="V54" s="19"/>
      <c r="W54" s="2"/>
      <c r="X54" s="2">
        <f t="shared" si="2"/>
        <v>191.52</v>
      </c>
      <c r="Y54" s="2"/>
      <c r="Z54" s="19">
        <f t="shared" si="3"/>
        <v>4.5697924123120979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 t="shared" si="12"/>
        <v>0</v>
      </c>
      <c r="E55" s="2"/>
      <c r="F55" s="19"/>
      <c r="G55" s="2"/>
      <c r="H55" s="2">
        <f>0</f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0</f>
        <v>0</v>
      </c>
      <c r="Q55" s="2"/>
      <c r="R55" s="19"/>
      <c r="S55" s="2"/>
      <c r="T55" s="2">
        <f>--124.18</f>
        <v>124.18</v>
      </c>
      <c r="U55" s="2"/>
      <c r="V55" s="19"/>
      <c r="W55" s="2"/>
      <c r="X55" s="2">
        <f t="shared" si="2"/>
        <v>-124.18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 t="shared" si="12"/>
        <v>0</v>
      </c>
      <c r="E56" s="2"/>
      <c r="F56" s="19"/>
      <c r="G56" s="2"/>
      <c r="H56" s="2">
        <f>--38.73</f>
        <v>38.729999999999997</v>
      </c>
      <c r="I56" s="2"/>
      <c r="J56" s="19"/>
      <c r="K56" s="2"/>
      <c r="L56" s="2">
        <f t="shared" si="0"/>
        <v>-38.729999999999997</v>
      </c>
      <c r="M56" s="2"/>
      <c r="N56" s="19">
        <f t="shared" si="1"/>
        <v>-1</v>
      </c>
      <c r="O56" s="11"/>
      <c r="P56" s="2">
        <f>--52.68</f>
        <v>52.68</v>
      </c>
      <c r="Q56" s="2"/>
      <c r="R56" s="19"/>
      <c r="S56" s="2"/>
      <c r="T56" s="2">
        <f>--1509.11</f>
        <v>1509.11</v>
      </c>
      <c r="U56" s="2"/>
      <c r="V56" s="19"/>
      <c r="W56" s="2"/>
      <c r="X56" s="2">
        <f t="shared" si="2"/>
        <v>-1456.4299999999998</v>
      </c>
      <c r="Y56" s="2"/>
      <c r="Z56" s="19">
        <f t="shared" si="3"/>
        <v>-0.96509200787218952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--259.53</f>
        <v>259.52999999999997</v>
      </c>
      <c r="E57" s="2"/>
      <c r="F57" s="19"/>
      <c r="G57" s="2"/>
      <c r="H57" s="2">
        <f t="shared" ref="H57:H58" si="13">0</f>
        <v>0</v>
      </c>
      <c r="I57" s="2"/>
      <c r="J57" s="19"/>
      <c r="K57" s="2"/>
      <c r="L57" s="2">
        <f t="shared" si="0"/>
        <v>259.52999999999997</v>
      </c>
      <c r="M57" s="2"/>
      <c r="N57" s="19">
        <f t="shared" si="1"/>
        <v>0</v>
      </c>
      <c r="O57" s="11"/>
      <c r="P57" s="2">
        <f>--3206.11</f>
        <v>3206.11</v>
      </c>
      <c r="Q57" s="2"/>
      <c r="R57" s="19"/>
      <c r="S57" s="2"/>
      <c r="T57" s="2">
        <f>--2603.4</f>
        <v>2603.4</v>
      </c>
      <c r="U57" s="2"/>
      <c r="V57" s="19"/>
      <c r="W57" s="2"/>
      <c r="X57" s="2">
        <f t="shared" si="2"/>
        <v>602.71</v>
      </c>
      <c r="Y57" s="2"/>
      <c r="Z57" s="19">
        <f t="shared" si="3"/>
        <v>0.23150879618959821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0</f>
        <v>0</v>
      </c>
      <c r="E58" s="2"/>
      <c r="F58" s="19"/>
      <c r="G58" s="2"/>
      <c r="H58" s="2">
        <f t="shared" si="13"/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--24.78</f>
        <v>24.78</v>
      </c>
      <c r="Q58" s="2"/>
      <c r="R58" s="19"/>
      <c r="S58" s="2"/>
      <c r="T58" s="2">
        <f>--348.72</f>
        <v>348.72</v>
      </c>
      <c r="U58" s="2"/>
      <c r="V58" s="19"/>
      <c r="W58" s="2"/>
      <c r="X58" s="2">
        <f t="shared" si="2"/>
        <v>-323.94000000000005</v>
      </c>
      <c r="Y58" s="2"/>
      <c r="Z58" s="19">
        <f t="shared" si="3"/>
        <v>-0.92894012388162428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--1032.82</f>
        <v>1032.82</v>
      </c>
      <c r="E59" s="2"/>
      <c r="F59" s="19"/>
      <c r="G59" s="2"/>
      <c r="H59" s="2">
        <f>--4058.22</f>
        <v>4058.22</v>
      </c>
      <c r="I59" s="2"/>
      <c r="J59" s="19"/>
      <c r="K59" s="2"/>
      <c r="L59" s="2">
        <f t="shared" si="0"/>
        <v>-3025.3999999999996</v>
      </c>
      <c r="M59" s="2"/>
      <c r="N59" s="19">
        <f t="shared" si="1"/>
        <v>-0.74549925829550878</v>
      </c>
      <c r="O59" s="11"/>
      <c r="P59" s="2">
        <f>--7542.15</f>
        <v>7542.15</v>
      </c>
      <c r="Q59" s="2"/>
      <c r="R59" s="19"/>
      <c r="S59" s="2"/>
      <c r="T59" s="2">
        <f>--39085.73</f>
        <v>39085.730000000003</v>
      </c>
      <c r="U59" s="2"/>
      <c r="V59" s="19"/>
      <c r="W59" s="2"/>
      <c r="X59" s="2">
        <f t="shared" si="2"/>
        <v>-31543.58</v>
      </c>
      <c r="Y59" s="2"/>
      <c r="Z59" s="19">
        <f t="shared" si="3"/>
        <v>-0.80703571354558301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 t="shared" ref="D60:D64" si="14">0</f>
        <v>0</v>
      </c>
      <c r="E60" s="2"/>
      <c r="F60" s="19"/>
      <c r="G60" s="2"/>
      <c r="H60" s="2">
        <f>--1170.81</f>
        <v>1170.81</v>
      </c>
      <c r="I60" s="2"/>
      <c r="J60" s="19"/>
      <c r="K60" s="2"/>
      <c r="L60" s="2">
        <f t="shared" si="0"/>
        <v>-1170.81</v>
      </c>
      <c r="M60" s="2"/>
      <c r="N60" s="19">
        <f t="shared" si="1"/>
        <v>-1</v>
      </c>
      <c r="O60" s="11"/>
      <c r="P60" s="2">
        <f>--22.49</f>
        <v>22.49</v>
      </c>
      <c r="Q60" s="2"/>
      <c r="R60" s="19"/>
      <c r="S60" s="2"/>
      <c r="T60" s="2">
        <f>--11445.2</f>
        <v>11445.2</v>
      </c>
      <c r="U60" s="2"/>
      <c r="V60" s="19"/>
      <c r="W60" s="2"/>
      <c r="X60" s="2">
        <f t="shared" si="2"/>
        <v>-11422.710000000001</v>
      </c>
      <c r="Y60" s="2"/>
      <c r="Z60" s="19">
        <f t="shared" si="3"/>
        <v>-0.99803498409813718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 t="shared" si="14"/>
        <v>0</v>
      </c>
      <c r="E61" s="2"/>
      <c r="F61" s="19"/>
      <c r="G61" s="2"/>
      <c r="H61" s="2">
        <f>--1305.22</f>
        <v>1305.22</v>
      </c>
      <c r="I61" s="2"/>
      <c r="J61" s="19"/>
      <c r="K61" s="2"/>
      <c r="L61" s="2">
        <f t="shared" si="0"/>
        <v>-1305.22</v>
      </c>
      <c r="M61" s="2"/>
      <c r="N61" s="19">
        <f t="shared" si="1"/>
        <v>-1</v>
      </c>
      <c r="O61" s="11"/>
      <c r="P61" s="2">
        <f>--80.71</f>
        <v>80.709999999999994</v>
      </c>
      <c r="Q61" s="2"/>
      <c r="R61" s="19"/>
      <c r="S61" s="2"/>
      <c r="T61" s="2">
        <f>--12121.78</f>
        <v>12121.78</v>
      </c>
      <c r="U61" s="2"/>
      <c r="V61" s="19"/>
      <c r="W61" s="2"/>
      <c r="X61" s="2">
        <f t="shared" si="2"/>
        <v>-12041.070000000002</v>
      </c>
      <c r="Y61" s="2"/>
      <c r="Z61" s="19">
        <f t="shared" si="3"/>
        <v>-0.99334173693962446</v>
      </c>
    </row>
    <row r="62" spans="1:26" s="24" customFormat="1" hidden="1" outlineLevel="1" x14ac:dyDescent="0.25">
      <c r="A62" s="44"/>
      <c r="B62" s="11" t="str">
        <f>CONCATENATE("          ", "4134", " - ", "NON-TAXABLE SALES-SODA")</f>
        <v xml:space="preserve">          4134 - NON-TAXABLE SALES-SODA</v>
      </c>
      <c r="C62" s="11"/>
      <c r="D62" s="2">
        <f t="shared" si="14"/>
        <v>0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--45.53</f>
        <v>45.53</v>
      </c>
      <c r="Q62" s="2"/>
      <c r="R62" s="19"/>
      <c r="S62" s="2"/>
      <c r="T62" s="2">
        <f>0</f>
        <v>0</v>
      </c>
      <c r="U62" s="2"/>
      <c r="V62" s="19"/>
      <c r="W62" s="2"/>
      <c r="X62" s="2">
        <f t="shared" si="2"/>
        <v>45.53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"4135", " - ", "NON-TAXABLE SALES")</f>
        <v xml:space="preserve">          4135 - NON-TAXABLE SALES</v>
      </c>
      <c r="C63" s="11"/>
      <c r="D63" s="2">
        <f t="shared" si="14"/>
        <v>0</v>
      </c>
      <c r="E63" s="2"/>
      <c r="F63" s="19"/>
      <c r="G63" s="2"/>
      <c r="H63" s="2">
        <f>--3.59</f>
        <v>3.59</v>
      </c>
      <c r="I63" s="2"/>
      <c r="J63" s="19"/>
      <c r="K63" s="2"/>
      <c r="L63" s="2">
        <f t="shared" si="0"/>
        <v>-3.59</v>
      </c>
      <c r="M63" s="2"/>
      <c r="N63" s="19">
        <f t="shared" si="1"/>
        <v>-1</v>
      </c>
      <c r="O63" s="11"/>
      <c r="P63" s="2">
        <f>0</f>
        <v>0</v>
      </c>
      <c r="Q63" s="2"/>
      <c r="R63" s="19"/>
      <c r="S63" s="2"/>
      <c r="T63" s="2">
        <f>--118.32</f>
        <v>118.32</v>
      </c>
      <c r="U63" s="2"/>
      <c r="V63" s="19"/>
      <c r="W63" s="2"/>
      <c r="X63" s="2">
        <f t="shared" si="2"/>
        <v>-118.32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"4137", " - ", "NON-TAXABLE SALES-WATER")</f>
        <v xml:space="preserve">          4137 - NON-TAXABLE SALES-WATER</v>
      </c>
      <c r="C64" s="11"/>
      <c r="D64" s="2">
        <f t="shared" si="14"/>
        <v>0</v>
      </c>
      <c r="E64" s="2"/>
      <c r="F64" s="19"/>
      <c r="G64" s="2"/>
      <c r="H64" s="2">
        <f>--623.73</f>
        <v>623.73</v>
      </c>
      <c r="I64" s="2"/>
      <c r="J64" s="19"/>
      <c r="K64" s="2"/>
      <c r="L64" s="2">
        <f t="shared" si="0"/>
        <v>-623.73</v>
      </c>
      <c r="M64" s="2"/>
      <c r="N64" s="19">
        <f t="shared" si="1"/>
        <v>-1</v>
      </c>
      <c r="O64" s="11"/>
      <c r="P64" s="2">
        <f>--68.25</f>
        <v>68.25</v>
      </c>
      <c r="Q64" s="2"/>
      <c r="R64" s="19"/>
      <c r="S64" s="2"/>
      <c r="T64" s="2">
        <f>--5913.07</f>
        <v>5913.07</v>
      </c>
      <c r="U64" s="2"/>
      <c r="V64" s="19"/>
      <c r="W64" s="2"/>
      <c r="X64" s="2">
        <f t="shared" si="2"/>
        <v>-5844.82</v>
      </c>
      <c r="Y64" s="2"/>
      <c r="Z64" s="19">
        <f t="shared" si="3"/>
        <v>-0.98845777235852106</v>
      </c>
    </row>
    <row r="65" spans="1:26" s="24" customFormat="1" hidden="1" outlineLevel="1" x14ac:dyDescent="0.25">
      <c r="A65" s="44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--53650.7</f>
        <v>53650.7</v>
      </c>
      <c r="E65" s="2"/>
      <c r="F65" s="19"/>
      <c r="G65" s="2"/>
      <c r="H65" s="2">
        <f>--18815.05</f>
        <v>18815.05</v>
      </c>
      <c r="I65" s="2"/>
      <c r="J65" s="19"/>
      <c r="K65" s="2"/>
      <c r="L65" s="2">
        <f t="shared" si="0"/>
        <v>34835.649999999994</v>
      </c>
      <c r="M65" s="2"/>
      <c r="N65" s="19">
        <f t="shared" si="1"/>
        <v>1.851477939202925</v>
      </c>
      <c r="O65" s="11"/>
      <c r="P65" s="2">
        <f>--103970.97</f>
        <v>103970.97</v>
      </c>
      <c r="Q65" s="2"/>
      <c r="R65" s="19"/>
      <c r="S65" s="2"/>
      <c r="T65" s="2">
        <f>--38823.84</f>
        <v>38823.839999999997</v>
      </c>
      <c r="U65" s="2"/>
      <c r="V65" s="19"/>
      <c r="W65" s="2"/>
      <c r="X65" s="2">
        <f t="shared" si="2"/>
        <v>65147.130000000005</v>
      </c>
      <c r="Y65" s="2"/>
      <c r="Z65" s="19">
        <f t="shared" si="3"/>
        <v>1.6780187122139389</v>
      </c>
    </row>
    <row r="66" spans="1:26" s="24" customFormat="1" hidden="1" outlineLevel="1" x14ac:dyDescent="0.25">
      <c r="A66" s="44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--1780.23</f>
        <v>1780.23</v>
      </c>
      <c r="E66" s="2"/>
      <c r="F66" s="19"/>
      <c r="G66" s="2"/>
      <c r="H66" s="2">
        <f>--699.6</f>
        <v>699.6</v>
      </c>
      <c r="I66" s="2"/>
      <c r="J66" s="19"/>
      <c r="K66" s="2"/>
      <c r="L66" s="2">
        <f t="shared" si="0"/>
        <v>1080.6300000000001</v>
      </c>
      <c r="M66" s="2"/>
      <c r="N66" s="19">
        <f t="shared" si="1"/>
        <v>1.5446397941680963</v>
      </c>
      <c r="O66" s="11"/>
      <c r="P66" s="2">
        <f>--5969.25</f>
        <v>5969.25</v>
      </c>
      <c r="Q66" s="2"/>
      <c r="R66" s="19"/>
      <c r="S66" s="2"/>
      <c r="T66" s="2">
        <f>--2529.88</f>
        <v>2529.88</v>
      </c>
      <c r="U66" s="2"/>
      <c r="V66" s="19"/>
      <c r="W66" s="2"/>
      <c r="X66" s="2">
        <f t="shared" si="2"/>
        <v>3439.37</v>
      </c>
      <c r="Y66" s="2"/>
      <c r="Z66" s="19">
        <f t="shared" si="3"/>
        <v>1.3594992647872626</v>
      </c>
    </row>
    <row r="67" spans="1:26" s="24" customFormat="1" hidden="1" outlineLevel="1" x14ac:dyDescent="0.25">
      <c r="A67" s="44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0</f>
        <v>0</v>
      </c>
      <c r="E67" s="2"/>
      <c r="F67" s="19"/>
      <c r="G67" s="2"/>
      <c r="H67" s="2">
        <f>--2554.55</f>
        <v>2554.5500000000002</v>
      </c>
      <c r="I67" s="2"/>
      <c r="J67" s="19"/>
      <c r="K67" s="2"/>
      <c r="L67" s="2">
        <f t="shared" si="0"/>
        <v>-2554.5500000000002</v>
      </c>
      <c r="M67" s="2"/>
      <c r="N67" s="19">
        <f t="shared" si="1"/>
        <v>-1</v>
      </c>
      <c r="O67" s="11"/>
      <c r="P67" s="2">
        <f>--2208.19</f>
        <v>2208.19</v>
      </c>
      <c r="Q67" s="2"/>
      <c r="R67" s="19"/>
      <c r="S67" s="2"/>
      <c r="T67" s="2">
        <f>--10487.38</f>
        <v>10487.38</v>
      </c>
      <c r="U67" s="2"/>
      <c r="V67" s="19"/>
      <c r="W67" s="2"/>
      <c r="X67" s="2">
        <f t="shared" si="2"/>
        <v>-8279.1899999999987</v>
      </c>
      <c r="Y67" s="2"/>
      <c r="Z67" s="19">
        <f t="shared" si="3"/>
        <v>-0.78944312116086179</v>
      </c>
    </row>
    <row r="68" spans="1:26" s="24" customFormat="1" hidden="1" outlineLevel="1" x14ac:dyDescent="0.25">
      <c r="A68" s="44"/>
      <c r="B68" s="11" t="str">
        <f>CONCATENATE("          ", "4143", " - ", "NON-TAXABLE SALES-CARDS")</f>
        <v xml:space="preserve">          4143 - NON-TAXABLE SALES-CARDS</v>
      </c>
      <c r="C68" s="11"/>
      <c r="D68" s="2">
        <f>--1697.07</f>
        <v>1697.07</v>
      </c>
      <c r="E68" s="2"/>
      <c r="F68" s="19"/>
      <c r="G68" s="2"/>
      <c r="H68" s="2">
        <f>0</f>
        <v>0</v>
      </c>
      <c r="I68" s="2"/>
      <c r="J68" s="19"/>
      <c r="K68" s="2"/>
      <c r="L68" s="2">
        <f t="shared" si="0"/>
        <v>1697.07</v>
      </c>
      <c r="M68" s="2"/>
      <c r="N68" s="19">
        <f t="shared" si="1"/>
        <v>0</v>
      </c>
      <c r="O68" s="11"/>
      <c r="P68" s="2">
        <f>--1737.03</f>
        <v>1737.03</v>
      </c>
      <c r="Q68" s="2"/>
      <c r="R68" s="19"/>
      <c r="S68" s="2"/>
      <c r="T68" s="2">
        <f>0</f>
        <v>0</v>
      </c>
      <c r="U68" s="2"/>
      <c r="V68" s="19"/>
      <c r="W68" s="2"/>
      <c r="X68" s="2">
        <f t="shared" si="2"/>
        <v>1737.03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--99.8</f>
        <v>99.8</v>
      </c>
      <c r="E69" s="2"/>
      <c r="F69" s="19"/>
      <c r="G69" s="2"/>
      <c r="H69" s="2">
        <f>--351.29</f>
        <v>351.29</v>
      </c>
      <c r="I69" s="2"/>
      <c r="J69" s="19"/>
      <c r="K69" s="2"/>
      <c r="L69" s="2">
        <f t="shared" si="0"/>
        <v>-251.49</v>
      </c>
      <c r="M69" s="2"/>
      <c r="N69" s="19">
        <f t="shared" si="1"/>
        <v>-0.71590423866321273</v>
      </c>
      <c r="O69" s="11"/>
      <c r="P69" s="2">
        <f>--489.5</f>
        <v>489.5</v>
      </c>
      <c r="Q69" s="2"/>
      <c r="R69" s="19"/>
      <c r="S69" s="2"/>
      <c r="T69" s="2">
        <f>--592.85</f>
        <v>592.85</v>
      </c>
      <c r="U69" s="2"/>
      <c r="V69" s="19"/>
      <c r="W69" s="2"/>
      <c r="X69" s="2">
        <f t="shared" si="2"/>
        <v>-103.35000000000002</v>
      </c>
      <c r="Y69" s="2"/>
      <c r="Z69" s="19">
        <f t="shared" si="3"/>
        <v>-0.17432740153495829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--16747.77</f>
        <v>16747.77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16747.77</v>
      </c>
      <c r="M70" s="2"/>
      <c r="N70" s="19">
        <f t="shared" si="1"/>
        <v>0</v>
      </c>
      <c r="O70" s="11"/>
      <c r="P70" s="2">
        <f>--55393.77</f>
        <v>55393.77</v>
      </c>
      <c r="Q70" s="2"/>
      <c r="R70" s="19"/>
      <c r="S70" s="2"/>
      <c r="T70" s="2">
        <f>--140</f>
        <v>140</v>
      </c>
      <c r="U70" s="2"/>
      <c r="V70" s="19"/>
      <c r="W70" s="2"/>
      <c r="X70" s="2">
        <f t="shared" si="2"/>
        <v>55253.77</v>
      </c>
      <c r="Y70" s="2"/>
      <c r="Z70" s="19">
        <f t="shared" si="3"/>
        <v>394.66978571428569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--19.9</f>
        <v>19.899999999999999</v>
      </c>
      <c r="E71" s="2"/>
      <c r="F71" s="19"/>
      <c r="G71" s="2"/>
      <c r="H71" s="2">
        <f>--27126.9</f>
        <v>27126.9</v>
      </c>
      <c r="I71" s="2"/>
      <c r="J71" s="19"/>
      <c r="K71" s="2"/>
      <c r="L71" s="2">
        <f t="shared" si="0"/>
        <v>-27107</v>
      </c>
      <c r="M71" s="2"/>
      <c r="N71" s="19">
        <f t="shared" si="1"/>
        <v>-0.99926641083205225</v>
      </c>
      <c r="O71" s="11"/>
      <c r="P71" s="2">
        <f>--127.9</f>
        <v>127.9</v>
      </c>
      <c r="Q71" s="2"/>
      <c r="R71" s="19"/>
      <c r="S71" s="2"/>
      <c r="T71" s="2">
        <f>--146467.95</f>
        <v>146467.95000000001</v>
      </c>
      <c r="U71" s="2"/>
      <c r="V71" s="19"/>
      <c r="W71" s="2"/>
      <c r="X71" s="2">
        <f t="shared" si="2"/>
        <v>-146340.05000000002</v>
      </c>
      <c r="Y71" s="2"/>
      <c r="Z71" s="19">
        <f t="shared" si="3"/>
        <v>-0.9991267714199592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>--13</f>
        <v>13</v>
      </c>
      <c r="E72" s="2"/>
      <c r="F72" s="19"/>
      <c r="G72" s="2"/>
      <c r="H72" s="2">
        <f>--57.5</f>
        <v>57.5</v>
      </c>
      <c r="I72" s="2"/>
      <c r="J72" s="19"/>
      <c r="K72" s="2"/>
      <c r="L72" s="2">
        <f t="shared" si="0"/>
        <v>-44.5</v>
      </c>
      <c r="M72" s="2"/>
      <c r="N72" s="19">
        <f t="shared" si="1"/>
        <v>-0.77391304347826084</v>
      </c>
      <c r="O72" s="11"/>
      <c r="P72" s="2">
        <f>--104.5</f>
        <v>104.5</v>
      </c>
      <c r="Q72" s="2"/>
      <c r="R72" s="19"/>
      <c r="S72" s="2"/>
      <c r="T72" s="2">
        <f>--307.4</f>
        <v>307.39999999999998</v>
      </c>
      <c r="U72" s="2"/>
      <c r="V72" s="19"/>
      <c r="W72" s="2"/>
      <c r="X72" s="2">
        <f t="shared" si="2"/>
        <v>-202.89999999999998</v>
      </c>
      <c r="Y72" s="2"/>
      <c r="Z72" s="19">
        <f t="shared" si="3"/>
        <v>-0.6600520494469746</v>
      </c>
    </row>
    <row r="73" spans="1:26" s="24" customFormat="1" hidden="1" outlineLevel="1" x14ac:dyDescent="0.25">
      <c r="A73" s="44"/>
      <c r="B73" s="11" t="str">
        <f>CONCATENATE("          ", "4186", " - ", "NON-TAXABLE SALES-COMPUTER SUP")</f>
        <v xml:space="preserve">          4186 - NON-TAXABLE SALES-COMPUTER SUP</v>
      </c>
      <c r="C73" s="11"/>
      <c r="D73" s="2">
        <f>0</f>
        <v>0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0</f>
        <v>0</v>
      </c>
      <c r="Q73" s="2"/>
      <c r="R73" s="19"/>
      <c r="S73" s="2"/>
      <c r="T73" s="2">
        <f>-30.97</f>
        <v>-30.97</v>
      </c>
      <c r="U73" s="2"/>
      <c r="V73" s="19"/>
      <c r="W73" s="2"/>
      <c r="X73" s="2">
        <f t="shared" si="2"/>
        <v>30.97</v>
      </c>
      <c r="Y73" s="2"/>
      <c r="Z73" s="19">
        <f t="shared" si="3"/>
        <v>-1</v>
      </c>
    </row>
    <row r="74" spans="1:26" s="24" customFormat="1" hidden="1" outlineLevel="1" x14ac:dyDescent="0.25">
      <c r="A74" s="44"/>
      <c r="B74" s="11" t="str">
        <f>CONCATENATE("          ", "4201", " - ", "SALES RETURN TAXABLE-NEW TEXT")</f>
        <v xml:space="preserve">          4201 - SALES RETURN TAXABLE-NEW TEXT</v>
      </c>
      <c r="C74" s="11"/>
      <c r="D74" s="2">
        <f>-681.18</f>
        <v>-681.18</v>
      </c>
      <c r="E74" s="2"/>
      <c r="F74" s="19"/>
      <c r="G74" s="2"/>
      <c r="H74" s="2">
        <f>-631.8</f>
        <v>-631.79999999999995</v>
      </c>
      <c r="I74" s="2"/>
      <c r="J74" s="19"/>
      <c r="K74" s="2"/>
      <c r="L74" s="2">
        <f t="shared" si="0"/>
        <v>-49.379999999999995</v>
      </c>
      <c r="M74" s="2"/>
      <c r="N74" s="19">
        <f t="shared" si="1"/>
        <v>7.8157644824311492E-2</v>
      </c>
      <c r="O74" s="11"/>
      <c r="P74" s="2">
        <f>-35775.84</f>
        <v>-35775.839999999997</v>
      </c>
      <c r="Q74" s="2"/>
      <c r="R74" s="19"/>
      <c r="S74" s="2"/>
      <c r="T74" s="2">
        <f>-78730.37</f>
        <v>-78730.37</v>
      </c>
      <c r="U74" s="2"/>
      <c r="V74" s="19"/>
      <c r="W74" s="2"/>
      <c r="X74" s="2">
        <f t="shared" si="2"/>
        <v>42954.53</v>
      </c>
      <c r="Y74" s="2"/>
      <c r="Z74" s="19">
        <f t="shared" si="3"/>
        <v>-0.54559034842589971</v>
      </c>
    </row>
    <row r="75" spans="1:26" s="24" customFormat="1" hidden="1" outlineLevel="1" x14ac:dyDescent="0.25">
      <c r="A75" s="44"/>
      <c r="B75" s="11" t="str">
        <f>CONCATENATE("          ", "4202", " - ", "SALES RETURN TAXABLE-USED TEXT")</f>
        <v xml:space="preserve">          4202 - SALES RETURN TAXABLE-USED TEXT</v>
      </c>
      <c r="C75" s="11"/>
      <c r="D75" s="2">
        <f>-62.65</f>
        <v>-62.65</v>
      </c>
      <c r="E75" s="2"/>
      <c r="F75" s="19"/>
      <c r="G75" s="2"/>
      <c r="H75" s="2">
        <f>-166.15</f>
        <v>-166.15</v>
      </c>
      <c r="I75" s="2"/>
      <c r="J75" s="19"/>
      <c r="K75" s="2"/>
      <c r="L75" s="2">
        <f t="shared" si="0"/>
        <v>103.5</v>
      </c>
      <c r="M75" s="2"/>
      <c r="N75" s="19">
        <f t="shared" si="1"/>
        <v>-0.62293108636773997</v>
      </c>
      <c r="O75" s="11"/>
      <c r="P75" s="2">
        <f>-13866</f>
        <v>-13866</v>
      </c>
      <c r="Q75" s="2"/>
      <c r="R75" s="19"/>
      <c r="S75" s="2"/>
      <c r="T75" s="2">
        <f>-27208.35</f>
        <v>-27208.35</v>
      </c>
      <c r="U75" s="2"/>
      <c r="V75" s="19"/>
      <c r="W75" s="2"/>
      <c r="X75" s="2">
        <f t="shared" si="2"/>
        <v>13342.349999999999</v>
      </c>
      <c r="Y75" s="2"/>
      <c r="Z75" s="19">
        <f t="shared" si="3"/>
        <v>-0.49037703499109647</v>
      </c>
    </row>
    <row r="76" spans="1:26" s="24" customFormat="1" hidden="1" outlineLevel="1" x14ac:dyDescent="0.25">
      <c r="A76" s="44"/>
      <c r="B76" s="11" t="str">
        <f>CONCATENATE("          ", "4203", " - ", "SALES RETURN TAXABLE-RENTAL TE")</f>
        <v xml:space="preserve">          4203 - SALES RETURN TAXABLE-RENTAL TE</v>
      </c>
      <c r="C76" s="11"/>
      <c r="D76" s="2">
        <f t="shared" ref="D76:D83" si="15">0</f>
        <v>0</v>
      </c>
      <c r="E76" s="2"/>
      <c r="F76" s="19"/>
      <c r="G76" s="2"/>
      <c r="H76" s="2">
        <f t="shared" ref="H76:H78" si="16"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0</f>
        <v>0</v>
      </c>
      <c r="Q76" s="2"/>
      <c r="R76" s="19"/>
      <c r="S76" s="2"/>
      <c r="T76" s="2">
        <f>-144.99</f>
        <v>-144.99</v>
      </c>
      <c r="U76" s="2"/>
      <c r="V76" s="19"/>
      <c r="W76" s="2"/>
      <c r="X76" s="2">
        <f t="shared" si="2"/>
        <v>144.99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"4204", " - ", "SALES RETURN TAXABLE-DIGITAL T")</f>
        <v xml:space="preserve">          4204 - SALES RETURN TAXABLE-DIGITAL T</v>
      </c>
      <c r="C77" s="11"/>
      <c r="D77" s="2">
        <f t="shared" si="15"/>
        <v>0</v>
      </c>
      <c r="E77" s="2"/>
      <c r="F77" s="19"/>
      <c r="G77" s="2"/>
      <c r="H77" s="2">
        <f t="shared" si="16"/>
        <v>0</v>
      </c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-1630.85</f>
        <v>-1630.85</v>
      </c>
      <c r="Q77" s="2"/>
      <c r="R77" s="19"/>
      <c r="S77" s="2"/>
      <c r="T77" s="2">
        <f>-11369.46</f>
        <v>-11369.46</v>
      </c>
      <c r="U77" s="2"/>
      <c r="V77" s="19"/>
      <c r="W77" s="2"/>
      <c r="X77" s="2">
        <f t="shared" si="2"/>
        <v>9738.6099999999988</v>
      </c>
      <c r="Y77" s="2"/>
      <c r="Z77" s="19">
        <f t="shared" si="3"/>
        <v>-0.85655871079189327</v>
      </c>
    </row>
    <row r="78" spans="1:26" s="24" customFormat="1" hidden="1" outlineLevel="1" x14ac:dyDescent="0.25">
      <c r="A78" s="44"/>
      <c r="B78" s="11" t="str">
        <f>CONCATENATE("          ", "4213", " - ", "NON-TAXABLE SALES-TRADE BOOKS")</f>
        <v xml:space="preserve">          4213 - NON-TAXABLE SALES-TRADE BOOKS</v>
      </c>
      <c r="C78" s="11"/>
      <c r="D78" s="2">
        <f t="shared" si="15"/>
        <v>0</v>
      </c>
      <c r="E78" s="2"/>
      <c r="F78" s="19"/>
      <c r="G78" s="2"/>
      <c r="H78" s="2">
        <f t="shared" si="16"/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 t="shared" ref="P78:P82" si="17">0</f>
        <v>0</v>
      </c>
      <c r="Q78" s="2"/>
      <c r="R78" s="19"/>
      <c r="S78" s="2"/>
      <c r="T78" s="2">
        <f>-102.71</f>
        <v>-102.71</v>
      </c>
      <c r="U78" s="2"/>
      <c r="V78" s="19"/>
      <c r="W78" s="2"/>
      <c r="X78" s="2">
        <f t="shared" si="2"/>
        <v>102.71</v>
      </c>
      <c r="Y78" s="2"/>
      <c r="Z78" s="19">
        <f t="shared" si="3"/>
        <v>-1</v>
      </c>
    </row>
    <row r="79" spans="1:26" s="24" customFormat="1" hidden="1" outlineLevel="1" x14ac:dyDescent="0.25">
      <c r="A79" s="44"/>
      <c r="B79" s="11" t="str">
        <f>CONCATENATE("          ", "4214", " - ", "SALES RETURN TAXABLE-REMAINDER")</f>
        <v xml:space="preserve">          4214 - SALES RETURN TAXABLE-REMAINDER</v>
      </c>
      <c r="C79" s="11"/>
      <c r="D79" s="2">
        <f t="shared" si="15"/>
        <v>0</v>
      </c>
      <c r="E79" s="2"/>
      <c r="F79" s="19"/>
      <c r="G79" s="2"/>
      <c r="H79" s="2">
        <f>-11.94</f>
        <v>-11.94</v>
      </c>
      <c r="I79" s="2"/>
      <c r="J79" s="19"/>
      <c r="K79" s="2"/>
      <c r="L79" s="2">
        <f t="shared" si="0"/>
        <v>11.94</v>
      </c>
      <c r="M79" s="2"/>
      <c r="N79" s="19">
        <f t="shared" si="1"/>
        <v>-1</v>
      </c>
      <c r="O79" s="11"/>
      <c r="P79" s="2">
        <f t="shared" si="17"/>
        <v>0</v>
      </c>
      <c r="Q79" s="2"/>
      <c r="R79" s="19"/>
      <c r="S79" s="2"/>
      <c r="T79" s="2">
        <f>-11.94</f>
        <v>-11.94</v>
      </c>
      <c r="U79" s="2"/>
      <c r="V79" s="19"/>
      <c r="W79" s="2"/>
      <c r="X79" s="2">
        <f t="shared" si="2"/>
        <v>11.94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"4217", " - ", "NON-TAXABLE SALES-DORM/HOUSEWA")</f>
        <v xml:space="preserve">          4217 - NON-TAXABLE SALES-DORM/HOUSEWA</v>
      </c>
      <c r="C80" s="11"/>
      <c r="D80" s="2">
        <f t="shared" si="15"/>
        <v>0</v>
      </c>
      <c r="E80" s="2"/>
      <c r="F80" s="19"/>
      <c r="G80" s="2"/>
      <c r="H80" s="2">
        <f t="shared" ref="H80:H81" si="18">0</f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 t="shared" si="17"/>
        <v>0</v>
      </c>
      <c r="Q80" s="2"/>
      <c r="R80" s="19"/>
      <c r="S80" s="2"/>
      <c r="T80" s="2">
        <f>-2.98</f>
        <v>-2.98</v>
      </c>
      <c r="U80" s="2"/>
      <c r="V80" s="19"/>
      <c r="W80" s="2"/>
      <c r="X80" s="2">
        <f t="shared" si="2"/>
        <v>2.98</v>
      </c>
      <c r="Y80" s="2"/>
      <c r="Z80" s="19">
        <f t="shared" si="3"/>
        <v>-1</v>
      </c>
    </row>
    <row r="81" spans="1:26" s="24" customFormat="1" hidden="1" outlineLevel="1" x14ac:dyDescent="0.25">
      <c r="A81" s="44"/>
      <c r="B81" s="11" t="str">
        <f>CONCATENATE("          ", "4218", " - ", "SALES RETURN TAXABLE-STUDY GUI")</f>
        <v xml:space="preserve">          4218 - SALES RETURN TAXABLE-STUDY GUI</v>
      </c>
      <c r="C81" s="11"/>
      <c r="D81" s="2">
        <f t="shared" si="15"/>
        <v>0</v>
      </c>
      <c r="E81" s="2"/>
      <c r="F81" s="19"/>
      <c r="G81" s="2"/>
      <c r="H81" s="2">
        <f t="shared" si="18"/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 t="shared" si="17"/>
        <v>0</v>
      </c>
      <c r="Q81" s="2"/>
      <c r="R81" s="19"/>
      <c r="S81" s="2"/>
      <c r="T81" s="2">
        <f>-32.75</f>
        <v>-32.75</v>
      </c>
      <c r="U81" s="2"/>
      <c r="V81" s="19"/>
      <c r="W81" s="2"/>
      <c r="X81" s="2">
        <f t="shared" si="2"/>
        <v>32.75</v>
      </c>
      <c r="Y81" s="2"/>
      <c r="Z81" s="19">
        <f t="shared" si="3"/>
        <v>-1</v>
      </c>
    </row>
    <row r="82" spans="1:26" s="24" customFormat="1" hidden="1" outlineLevel="1" x14ac:dyDescent="0.25">
      <c r="A82" s="44"/>
      <c r="B82" s="11" t="str">
        <f>CONCATENATE("          ", "4225", " - ", "SALES RETURN TAXABLE-TEST FORM")</f>
        <v xml:space="preserve">          4225 - SALES RETURN TAXABLE-TEST FORM</v>
      </c>
      <c r="C82" s="11"/>
      <c r="D82" s="2">
        <f t="shared" si="15"/>
        <v>0</v>
      </c>
      <c r="E82" s="2"/>
      <c r="F82" s="19"/>
      <c r="G82" s="2"/>
      <c r="H82" s="2">
        <f>-15.51</f>
        <v>-15.51</v>
      </c>
      <c r="I82" s="2"/>
      <c r="J82" s="19"/>
      <c r="K82" s="2"/>
      <c r="L82" s="2">
        <f t="shared" si="0"/>
        <v>15.51</v>
      </c>
      <c r="M82" s="2"/>
      <c r="N82" s="19">
        <f t="shared" si="1"/>
        <v>-1</v>
      </c>
      <c r="O82" s="11"/>
      <c r="P82" s="2">
        <f t="shared" si="17"/>
        <v>0</v>
      </c>
      <c r="Q82" s="2"/>
      <c r="R82" s="19"/>
      <c r="S82" s="2"/>
      <c r="T82" s="2">
        <f>-80.97</f>
        <v>-80.97</v>
      </c>
      <c r="U82" s="2"/>
      <c r="V82" s="19"/>
      <c r="W82" s="2"/>
      <c r="X82" s="2">
        <f t="shared" si="2"/>
        <v>80.97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"4226", " - ", "SALES RETURN TAXABLE-WRITING I")</f>
        <v xml:space="preserve">          4226 - SALES RETURN TAXABLE-WRITING I</v>
      </c>
      <c r="C83" s="11"/>
      <c r="D83" s="2">
        <f t="shared" si="15"/>
        <v>0</v>
      </c>
      <c r="E83" s="2"/>
      <c r="F83" s="19"/>
      <c r="G83" s="2"/>
      <c r="H83" s="2">
        <f>-41.65</f>
        <v>-41.65</v>
      </c>
      <c r="I83" s="2"/>
      <c r="J83" s="19"/>
      <c r="K83" s="2"/>
      <c r="L83" s="2">
        <f t="shared" si="0"/>
        <v>41.65</v>
      </c>
      <c r="M83" s="2"/>
      <c r="N83" s="19">
        <f t="shared" si="1"/>
        <v>-1</v>
      </c>
      <c r="O83" s="11"/>
      <c r="P83" s="2">
        <f>-34.23</f>
        <v>-34.229999999999997</v>
      </c>
      <c r="Q83" s="2"/>
      <c r="R83" s="19"/>
      <c r="S83" s="2"/>
      <c r="T83" s="2">
        <f>-531.36</f>
        <v>-531.36</v>
      </c>
      <c r="U83" s="2"/>
      <c r="V83" s="19"/>
      <c r="W83" s="2"/>
      <c r="X83" s="2">
        <f t="shared" si="2"/>
        <v>497.13</v>
      </c>
      <c r="Y83" s="2"/>
      <c r="Z83" s="19">
        <f t="shared" si="3"/>
        <v>-0.93558039747064137</v>
      </c>
    </row>
    <row r="84" spans="1:26" s="24" customFormat="1" hidden="1" outlineLevel="1" x14ac:dyDescent="0.25">
      <c r="A84" s="44"/>
      <c r="B84" s="11" t="str">
        <f>CONCATENATE("          ", "4227", " - ", "SALES RETURN TAXABLE-SCHOOL SU")</f>
        <v xml:space="preserve">          4227 - SALES RETURN TAXABLE-SCHOOL SU</v>
      </c>
      <c r="C84" s="11"/>
      <c r="D84" s="2">
        <f>-25.82</f>
        <v>-25.82</v>
      </c>
      <c r="E84" s="2"/>
      <c r="F84" s="19"/>
      <c r="G84" s="2"/>
      <c r="H84" s="2">
        <f>-204.76</f>
        <v>-204.76</v>
      </c>
      <c r="I84" s="2"/>
      <c r="J84" s="19"/>
      <c r="K84" s="2"/>
      <c r="L84" s="2">
        <f t="shared" si="0"/>
        <v>178.94</v>
      </c>
      <c r="M84" s="2"/>
      <c r="N84" s="19">
        <f t="shared" si="1"/>
        <v>-0.87390115256886114</v>
      </c>
      <c r="O84" s="11"/>
      <c r="P84" s="2">
        <f>-636.46</f>
        <v>-636.46</v>
      </c>
      <c r="Q84" s="2"/>
      <c r="R84" s="19"/>
      <c r="S84" s="2"/>
      <c r="T84" s="2">
        <f>-5948.58</f>
        <v>-5948.58</v>
      </c>
      <c r="U84" s="2"/>
      <c r="V84" s="19"/>
      <c r="W84" s="2"/>
      <c r="X84" s="2">
        <f t="shared" si="2"/>
        <v>5312.12</v>
      </c>
      <c r="Y84" s="2"/>
      <c r="Z84" s="19">
        <f t="shared" si="3"/>
        <v>-0.89300639816561267</v>
      </c>
    </row>
    <row r="85" spans="1:26" s="24" customFormat="1" hidden="1" outlineLevel="1" x14ac:dyDescent="0.25">
      <c r="A85" s="44"/>
      <c r="B85" s="11" t="str">
        <f>CONCATENATE("          ", "4228", " - ", "SALES RETURN TAXABLE-ART/TECH")</f>
        <v xml:space="preserve">          4228 - SALES RETURN TAXABLE-ART/TECH</v>
      </c>
      <c r="C85" s="11"/>
      <c r="D85" s="2">
        <f t="shared" ref="D85:D86" si="19">0</f>
        <v>0</v>
      </c>
      <c r="E85" s="2"/>
      <c r="F85" s="19"/>
      <c r="G85" s="2"/>
      <c r="H85" s="2">
        <f>-277.33</f>
        <v>-277.33</v>
      </c>
      <c r="I85" s="2"/>
      <c r="J85" s="19"/>
      <c r="K85" s="2"/>
      <c r="L85" s="2">
        <f t="shared" si="0"/>
        <v>277.33</v>
      </c>
      <c r="M85" s="2"/>
      <c r="N85" s="19">
        <f t="shared" si="1"/>
        <v>-1</v>
      </c>
      <c r="O85" s="11"/>
      <c r="P85" s="2">
        <f>-254.69</f>
        <v>-254.69</v>
      </c>
      <c r="Q85" s="2"/>
      <c r="R85" s="19"/>
      <c r="S85" s="2"/>
      <c r="T85" s="2">
        <f>-3148.62</f>
        <v>-3148.62</v>
      </c>
      <c r="U85" s="2"/>
      <c r="V85" s="19"/>
      <c r="W85" s="2"/>
      <c r="X85" s="2">
        <f t="shared" si="2"/>
        <v>2893.93</v>
      </c>
      <c r="Y85" s="2"/>
      <c r="Z85" s="19">
        <f t="shared" si="3"/>
        <v>-0.91911059448266219</v>
      </c>
    </row>
    <row r="86" spans="1:26" s="24" customFormat="1" hidden="1" outlineLevel="1" x14ac:dyDescent="0.25">
      <c r="A86" s="44"/>
      <c r="B86" s="11" t="str">
        <f>CONCATENATE("          ", "4233", " - ", "SALES RETURN TAXABLE-CANDY")</f>
        <v xml:space="preserve">          4233 - SALES RETURN TAXABLE-CANDY</v>
      </c>
      <c r="C86" s="11"/>
      <c r="D86" s="2">
        <f t="shared" si="19"/>
        <v>0</v>
      </c>
      <c r="E86" s="2"/>
      <c r="F86" s="19"/>
      <c r="G86" s="2"/>
      <c r="H86" s="2">
        <f>0</f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0</f>
        <v>0</v>
      </c>
      <c r="Q86" s="2"/>
      <c r="R86" s="19"/>
      <c r="S86" s="2"/>
      <c r="T86" s="2">
        <f>-1.29</f>
        <v>-1.29</v>
      </c>
      <c r="U86" s="2"/>
      <c r="V86" s="19"/>
      <c r="W86" s="2"/>
      <c r="X86" s="2">
        <f t="shared" si="2"/>
        <v>1.29</v>
      </c>
      <c r="Y86" s="2"/>
      <c r="Z86" s="19">
        <f t="shared" si="3"/>
        <v>-1</v>
      </c>
    </row>
    <row r="87" spans="1:26" s="24" customFormat="1" hidden="1" outlineLevel="1" x14ac:dyDescent="0.25">
      <c r="A87" s="44"/>
      <c r="B87" s="11" t="str">
        <f>CONCATENATE("          ", "4240", " - ", "SALES RETURN TAXABLE-LOGO CLOT")</f>
        <v xml:space="preserve">          4240 - SALES RETURN TAXABLE-LOGO CLOT</v>
      </c>
      <c r="C87" s="11"/>
      <c r="D87" s="2">
        <f>-4840.17</f>
        <v>-4840.17</v>
      </c>
      <c r="E87" s="2"/>
      <c r="F87" s="19"/>
      <c r="G87" s="2"/>
      <c r="H87" s="2">
        <f>-8212.91</f>
        <v>-8212.91</v>
      </c>
      <c r="I87" s="2"/>
      <c r="J87" s="19"/>
      <c r="K87" s="2"/>
      <c r="L87" s="2">
        <f t="shared" si="0"/>
        <v>3372.74</v>
      </c>
      <c r="M87" s="2"/>
      <c r="N87" s="19">
        <f t="shared" si="1"/>
        <v>-0.41066321194314803</v>
      </c>
      <c r="O87" s="11"/>
      <c r="P87" s="2">
        <f>-20418.84</f>
        <v>-20418.84</v>
      </c>
      <c r="Q87" s="2"/>
      <c r="R87" s="19"/>
      <c r="S87" s="2"/>
      <c r="T87" s="2">
        <f>-49321.94</f>
        <v>-49321.94</v>
      </c>
      <c r="U87" s="2"/>
      <c r="V87" s="19"/>
      <c r="W87" s="2"/>
      <c r="X87" s="2">
        <f t="shared" si="2"/>
        <v>28903.100000000002</v>
      </c>
      <c r="Y87" s="2"/>
      <c r="Z87" s="19">
        <f t="shared" si="3"/>
        <v>-0.58600898504803345</v>
      </c>
    </row>
    <row r="88" spans="1:26" s="24" customFormat="1" hidden="1" outlineLevel="1" x14ac:dyDescent="0.25">
      <c r="A88" s="44"/>
      <c r="B88" s="11" t="str">
        <f>CONCATENATE("          ", "4241", " - ", "SALES RETURN TAXABLE-LOGO GIFT")</f>
        <v xml:space="preserve">          4241 - SALES RETURN TAXABLE-LOGO GIFT</v>
      </c>
      <c r="C88" s="11"/>
      <c r="D88" s="2">
        <f>-755.16</f>
        <v>-755.16</v>
      </c>
      <c r="E88" s="2"/>
      <c r="F88" s="19"/>
      <c r="G88" s="2"/>
      <c r="H88" s="2">
        <f>-939.28</f>
        <v>-939.28</v>
      </c>
      <c r="I88" s="2"/>
      <c r="J88" s="19"/>
      <c r="K88" s="2"/>
      <c r="L88" s="2">
        <f t="shared" si="0"/>
        <v>184.12</v>
      </c>
      <c r="M88" s="2"/>
      <c r="N88" s="19">
        <f t="shared" si="1"/>
        <v>-0.19602248530789543</v>
      </c>
      <c r="O88" s="11"/>
      <c r="P88" s="2">
        <f>-3560.01</f>
        <v>-3560.01</v>
      </c>
      <c r="Q88" s="2"/>
      <c r="R88" s="19"/>
      <c r="S88" s="2"/>
      <c r="T88" s="2">
        <f>-4148.87</f>
        <v>-4148.87</v>
      </c>
      <c r="U88" s="2"/>
      <c r="V88" s="19"/>
      <c r="W88" s="2"/>
      <c r="X88" s="2">
        <f t="shared" si="2"/>
        <v>588.85999999999967</v>
      </c>
      <c r="Y88" s="2"/>
      <c r="Z88" s="19">
        <f t="shared" si="3"/>
        <v>-0.14193262261772474</v>
      </c>
    </row>
    <row r="89" spans="1:26" s="24" customFormat="1" hidden="1" outlineLevel="1" x14ac:dyDescent="0.25">
      <c r="A89" s="44"/>
      <c r="B89" s="11" t="str">
        <f>CONCATENATE("          ", "4242", " - ", "SALES RETURN TAXABLE-EVERYDAY")</f>
        <v xml:space="preserve">          4242 - SALES RETURN TAXABLE-EVERYDAY</v>
      </c>
      <c r="C89" s="11"/>
      <c r="D89" s="2">
        <f>-287.93</f>
        <v>-287.93</v>
      </c>
      <c r="E89" s="2"/>
      <c r="F89" s="19"/>
      <c r="G89" s="2"/>
      <c r="H89" s="2">
        <f>-1097.55</f>
        <v>-1097.55</v>
      </c>
      <c r="I89" s="2"/>
      <c r="J89" s="19"/>
      <c r="K89" s="2"/>
      <c r="L89" s="2">
        <f t="shared" si="0"/>
        <v>809.61999999999989</v>
      </c>
      <c r="M89" s="2"/>
      <c r="N89" s="19">
        <f t="shared" si="1"/>
        <v>-0.73766115438932156</v>
      </c>
      <c r="O89" s="11"/>
      <c r="P89" s="2">
        <f>-1616.92</f>
        <v>-1616.92</v>
      </c>
      <c r="Q89" s="2"/>
      <c r="R89" s="19"/>
      <c r="S89" s="2"/>
      <c r="T89" s="2">
        <f>-2789.42</f>
        <v>-2789.42</v>
      </c>
      <c r="U89" s="2"/>
      <c r="V89" s="19"/>
      <c r="W89" s="2"/>
      <c r="X89" s="2">
        <f t="shared" si="2"/>
        <v>1172.5</v>
      </c>
      <c r="Y89" s="2"/>
      <c r="Z89" s="19">
        <f t="shared" si="3"/>
        <v>-0.42033827820837305</v>
      </c>
    </row>
    <row r="90" spans="1:26" s="24" customFormat="1" hidden="1" outlineLevel="1" x14ac:dyDescent="0.25">
      <c r="A90" s="44"/>
      <c r="B90" s="11" t="str">
        <f>CONCATENATE("          ", "4243", " - ", "SALES RETURN TAXABLE-CARDS")</f>
        <v xml:space="preserve">          4243 - SALES RETURN TAXABLE-CARDS</v>
      </c>
      <c r="C90" s="11"/>
      <c r="D90" s="2">
        <f>-1765.08</f>
        <v>-1765.08</v>
      </c>
      <c r="E90" s="2"/>
      <c r="F90" s="19"/>
      <c r="G90" s="2"/>
      <c r="H90" s="2">
        <f>-558.63</f>
        <v>-558.63</v>
      </c>
      <c r="I90" s="2"/>
      <c r="J90" s="19"/>
      <c r="K90" s="2"/>
      <c r="L90" s="2">
        <f t="shared" si="0"/>
        <v>-1206.4499999999998</v>
      </c>
      <c r="M90" s="2"/>
      <c r="N90" s="19">
        <f t="shared" si="1"/>
        <v>2.1596584501369418</v>
      </c>
      <c r="O90" s="11"/>
      <c r="P90" s="2">
        <f>-3577.54</f>
        <v>-3577.54</v>
      </c>
      <c r="Q90" s="2"/>
      <c r="R90" s="19"/>
      <c r="S90" s="2"/>
      <c r="T90" s="2">
        <f>-879.47</f>
        <v>-879.47</v>
      </c>
      <c r="U90" s="2"/>
      <c r="V90" s="19"/>
      <c r="W90" s="2"/>
      <c r="X90" s="2">
        <f t="shared" si="2"/>
        <v>-2698.0699999999997</v>
      </c>
      <c r="Y90" s="2"/>
      <c r="Z90" s="19">
        <f t="shared" si="3"/>
        <v>3.0678363105051902</v>
      </c>
    </row>
    <row r="91" spans="1:26" s="24" customFormat="1" hidden="1" outlineLevel="1" x14ac:dyDescent="0.25">
      <c r="A91" s="44"/>
      <c r="B91" s="11" t="str">
        <f>CONCATENATE("          ", "4244", " - ", "SALES RETURN TAXABLE-ACCESSORI")</f>
        <v xml:space="preserve">          4244 - SALES RETURN TAXABLE-ACCESSORI</v>
      </c>
      <c r="C91" s="11"/>
      <c r="D91" s="2">
        <f>-299.93</f>
        <v>-299.93</v>
      </c>
      <c r="E91" s="2"/>
      <c r="F91" s="19"/>
      <c r="G91" s="2"/>
      <c r="H91" s="2">
        <f>-202.71</f>
        <v>-202.71</v>
      </c>
      <c r="I91" s="2"/>
      <c r="J91" s="19"/>
      <c r="K91" s="2"/>
      <c r="L91" s="2">
        <f t="shared" si="0"/>
        <v>-97.22</v>
      </c>
      <c r="M91" s="2"/>
      <c r="N91" s="19">
        <f t="shared" si="1"/>
        <v>0.47960140101623006</v>
      </c>
      <c r="O91" s="11"/>
      <c r="P91" s="2">
        <f>-890.87</f>
        <v>-890.87</v>
      </c>
      <c r="Q91" s="2"/>
      <c r="R91" s="19"/>
      <c r="S91" s="2"/>
      <c r="T91" s="2">
        <f>-1731.77</f>
        <v>-1731.77</v>
      </c>
      <c r="U91" s="2"/>
      <c r="V91" s="19"/>
      <c r="W91" s="2"/>
      <c r="X91" s="2">
        <f t="shared" si="2"/>
        <v>840.9</v>
      </c>
      <c r="Y91" s="2"/>
      <c r="Z91" s="19">
        <f t="shared" si="3"/>
        <v>-0.48557256448604608</v>
      </c>
    </row>
    <row r="92" spans="1:26" s="24" customFormat="1" hidden="1" outlineLevel="1" x14ac:dyDescent="0.25">
      <c r="A92" s="44"/>
      <c r="B92" s="11" t="str">
        <f>CONCATENATE("          ", "4245", " - ", "SALES RETURN TAXABLE-SPECIAL O")</f>
        <v xml:space="preserve">          4245 - SALES RETURN TAXABLE-SPECIAL O</v>
      </c>
      <c r="C92" s="11"/>
      <c r="D92" s="2">
        <f>-9752.79</f>
        <v>-9752.7900000000009</v>
      </c>
      <c r="E92" s="2"/>
      <c r="F92" s="19"/>
      <c r="G92" s="2"/>
      <c r="H92" s="2">
        <f>0</f>
        <v>0</v>
      </c>
      <c r="I92" s="2"/>
      <c r="J92" s="19"/>
      <c r="K92" s="2"/>
      <c r="L92" s="2">
        <f t="shared" si="0"/>
        <v>-9752.7900000000009</v>
      </c>
      <c r="M92" s="2"/>
      <c r="N92" s="19">
        <f t="shared" si="1"/>
        <v>0</v>
      </c>
      <c r="O92" s="11"/>
      <c r="P92" s="2">
        <f>-11345.61</f>
        <v>-11345.61</v>
      </c>
      <c r="Q92" s="2"/>
      <c r="R92" s="19"/>
      <c r="S92" s="2"/>
      <c r="T92" s="2">
        <f>-91.96</f>
        <v>-91.96</v>
      </c>
      <c r="U92" s="2"/>
      <c r="V92" s="19"/>
      <c r="W92" s="2"/>
      <c r="X92" s="2">
        <f t="shared" si="2"/>
        <v>-11253.650000000001</v>
      </c>
      <c r="Y92" s="2"/>
      <c r="Z92" s="19">
        <f t="shared" si="3"/>
        <v>122.37548934319271</v>
      </c>
    </row>
    <row r="93" spans="1:26" s="24" customFormat="1" hidden="1" outlineLevel="1" x14ac:dyDescent="0.25">
      <c r="A93" s="44"/>
      <c r="B93" s="11" t="str">
        <f>CONCATENATE("          ", "4281", " - ", "SALES RETURN TAXABLE-ELECTRONI")</f>
        <v xml:space="preserve">          4281 - SALES RETURN TAXABLE-ELECTRONI</v>
      </c>
      <c r="C93" s="11"/>
      <c r="D93" s="2">
        <f t="shared" ref="D93:D95" si="20">0</f>
        <v>0</v>
      </c>
      <c r="E93" s="2"/>
      <c r="F93" s="19"/>
      <c r="G93" s="2"/>
      <c r="H93" s="2">
        <f>-9.99</f>
        <v>-9.99</v>
      </c>
      <c r="I93" s="2"/>
      <c r="J93" s="19"/>
      <c r="K93" s="2"/>
      <c r="L93" s="2">
        <f t="shared" si="0"/>
        <v>9.99</v>
      </c>
      <c r="M93" s="2"/>
      <c r="N93" s="19">
        <f t="shared" si="1"/>
        <v>-1</v>
      </c>
      <c r="O93" s="11"/>
      <c r="P93" s="2">
        <f t="shared" ref="P93:P95" si="21">0</f>
        <v>0</v>
      </c>
      <c r="Q93" s="2"/>
      <c r="R93" s="19"/>
      <c r="S93" s="2"/>
      <c r="T93" s="2">
        <f>-54.97</f>
        <v>-54.97</v>
      </c>
      <c r="U93" s="2"/>
      <c r="V93" s="19"/>
      <c r="W93" s="2"/>
      <c r="X93" s="2">
        <f t="shared" si="2"/>
        <v>54.97</v>
      </c>
      <c r="Y93" s="2"/>
      <c r="Z93" s="19">
        <f t="shared" si="3"/>
        <v>-1</v>
      </c>
    </row>
    <row r="94" spans="1:26" s="24" customFormat="1" hidden="1" outlineLevel="1" x14ac:dyDescent="0.25">
      <c r="A94" s="44"/>
      <c r="B94" s="11" t="str">
        <f>CONCATENATE("          ", "4292", " - ", "SALES RETURN TAXABLE-GRAD MERC")</f>
        <v xml:space="preserve">          4292 - SALES RETURN TAXABLE-GRAD MERC</v>
      </c>
      <c r="C94" s="11"/>
      <c r="D94" s="2">
        <f t="shared" si="20"/>
        <v>0</v>
      </c>
      <c r="E94" s="2"/>
      <c r="F94" s="19"/>
      <c r="G94" s="2"/>
      <c r="H94" s="2">
        <f t="shared" ref="H94:H96" si="22">0</f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 t="shared" si="21"/>
        <v>0</v>
      </c>
      <c r="Q94" s="2"/>
      <c r="R94" s="19"/>
      <c r="S94" s="2"/>
      <c r="T94" s="2">
        <f>-419.05</f>
        <v>-419.05</v>
      </c>
      <c r="U94" s="2"/>
      <c r="V94" s="19"/>
      <c r="W94" s="2"/>
      <c r="X94" s="2">
        <f t="shared" si="2"/>
        <v>419.05</v>
      </c>
      <c r="Y94" s="2"/>
      <c r="Z94" s="19">
        <f t="shared" si="3"/>
        <v>-1</v>
      </c>
    </row>
    <row r="95" spans="1:26" s="24" customFormat="1" hidden="1" outlineLevel="1" x14ac:dyDescent="0.25">
      <c r="A95" s="44"/>
      <c r="B95" s="11" t="str">
        <f>CONCATENATE("          ", "4295", " - ", "SALES RETURN TAXABLE-CUSTOMER")</f>
        <v xml:space="preserve">          4295 - SALES RETURN TAXABLE-CUSTOMER</v>
      </c>
      <c r="C95" s="11"/>
      <c r="D95" s="2">
        <f t="shared" si="20"/>
        <v>0</v>
      </c>
      <c r="E95" s="2"/>
      <c r="F95" s="19"/>
      <c r="G95" s="2"/>
      <c r="H95" s="2">
        <f t="shared" si="22"/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 t="shared" si="21"/>
        <v>0</v>
      </c>
      <c r="Q95" s="2"/>
      <c r="R95" s="19"/>
      <c r="S95" s="2"/>
      <c r="T95" s="2">
        <f>--0.99</f>
        <v>0.99</v>
      </c>
      <c r="U95" s="2"/>
      <c r="V95" s="19"/>
      <c r="W95" s="2"/>
      <c r="X95" s="2">
        <f t="shared" si="2"/>
        <v>-0.99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"4301", " - ", "SALES RETURN NON TAXABLE-NEW T")</f>
        <v xml:space="preserve">          4301 - SALES RETURN NON TAXABLE-NEW T</v>
      </c>
      <c r="C96" s="11"/>
      <c r="D96" s="2">
        <f>-372.93</f>
        <v>-372.93</v>
      </c>
      <c r="E96" s="2"/>
      <c r="F96" s="19"/>
      <c r="G96" s="2"/>
      <c r="H96" s="2">
        <f t="shared" si="22"/>
        <v>0</v>
      </c>
      <c r="I96" s="2"/>
      <c r="J96" s="19"/>
      <c r="K96" s="2"/>
      <c r="L96" s="2">
        <f t="shared" si="0"/>
        <v>-372.93</v>
      </c>
      <c r="M96" s="2"/>
      <c r="N96" s="19">
        <f t="shared" si="1"/>
        <v>0</v>
      </c>
      <c r="O96" s="11"/>
      <c r="P96" s="2">
        <f>-2749.1</f>
        <v>-2749.1</v>
      </c>
      <c r="Q96" s="2"/>
      <c r="R96" s="19"/>
      <c r="S96" s="2"/>
      <c r="T96" s="2">
        <f>-12310.98</f>
        <v>-12310.98</v>
      </c>
      <c r="U96" s="2"/>
      <c r="V96" s="19"/>
      <c r="W96" s="2"/>
      <c r="X96" s="2">
        <f t="shared" si="2"/>
        <v>9561.8799999999992</v>
      </c>
      <c r="Y96" s="2"/>
      <c r="Z96" s="19">
        <f t="shared" si="3"/>
        <v>-0.77669527527459226</v>
      </c>
    </row>
    <row r="97" spans="1:26" s="24" customFormat="1" hidden="1" outlineLevel="1" x14ac:dyDescent="0.25">
      <c r="A97" s="44"/>
      <c r="B97" s="11" t="str">
        <f>CONCATENATE("          ", "4302", " - ", "SALES RETURN NON TAXABLE-TEXT")</f>
        <v xml:space="preserve">          4302 - SALES RETURN NON TAXABLE-TEXT</v>
      </c>
      <c r="C97" s="11"/>
      <c r="D97" s="2">
        <f>-77.35</f>
        <v>-77.349999999999994</v>
      </c>
      <c r="E97" s="2"/>
      <c r="F97" s="19"/>
      <c r="G97" s="2"/>
      <c r="H97" s="2">
        <f>-14.1</f>
        <v>-14.1</v>
      </c>
      <c r="I97" s="2"/>
      <c r="J97" s="19"/>
      <c r="K97" s="2"/>
      <c r="L97" s="2">
        <f t="shared" si="0"/>
        <v>-63.249999999999993</v>
      </c>
      <c r="M97" s="2"/>
      <c r="N97" s="19">
        <f t="shared" si="1"/>
        <v>4.4858156028368787</v>
      </c>
      <c r="O97" s="11"/>
      <c r="P97" s="2">
        <f>-1470.2</f>
        <v>-1470.2</v>
      </c>
      <c r="Q97" s="2"/>
      <c r="R97" s="19"/>
      <c r="S97" s="2"/>
      <c r="T97" s="2">
        <f>-697.9</f>
        <v>-697.9</v>
      </c>
      <c r="U97" s="2"/>
      <c r="V97" s="19"/>
      <c r="W97" s="2"/>
      <c r="X97" s="2">
        <f t="shared" si="2"/>
        <v>-772.30000000000007</v>
      </c>
      <c r="Y97" s="2"/>
      <c r="Z97" s="19">
        <f t="shared" si="3"/>
        <v>1.1066055308783496</v>
      </c>
    </row>
    <row r="98" spans="1:26" s="24" customFormat="1" hidden="1" outlineLevel="1" x14ac:dyDescent="0.25">
      <c r="A98" s="44"/>
      <c r="B98" s="11" t="str">
        <f>CONCATENATE("          ", "4303", " - ", "SALES RETURN NON-TAXABLE-RENTA")</f>
        <v xml:space="preserve">          4303 - SALES RETURN NON-TAXABLE-RENTA</v>
      </c>
      <c r="C98" s="11"/>
      <c r="D98" s="2">
        <f>0</f>
        <v>0</v>
      </c>
      <c r="E98" s="2"/>
      <c r="F98" s="19"/>
      <c r="G98" s="2"/>
      <c r="H98" s="2">
        <f>0</f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0</f>
        <v>0</v>
      </c>
      <c r="Q98" s="2"/>
      <c r="R98" s="19"/>
      <c r="S98" s="2"/>
      <c r="T98" s="2">
        <f>-184.99</f>
        <v>-184.99</v>
      </c>
      <c r="U98" s="2"/>
      <c r="V98" s="19"/>
      <c r="W98" s="2"/>
      <c r="X98" s="2">
        <f t="shared" si="2"/>
        <v>184.99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"4304", " - ", "SALES RETURN NON TAXABLE-DIGIT")</f>
        <v xml:space="preserve">          4304 - SALES RETURN NON TAXABLE-DIGIT</v>
      </c>
      <c r="C99" s="11"/>
      <c r="D99" s="2">
        <f>-144.23</f>
        <v>-144.22999999999999</v>
      </c>
      <c r="E99" s="2"/>
      <c r="F99" s="19"/>
      <c r="G99" s="2"/>
      <c r="H99" s="2">
        <f>-226.45</f>
        <v>-226.45</v>
      </c>
      <c r="I99" s="2"/>
      <c r="J99" s="19"/>
      <c r="K99" s="2"/>
      <c r="L99" s="2">
        <f t="shared" si="0"/>
        <v>82.22</v>
      </c>
      <c r="M99" s="2"/>
      <c r="N99" s="19">
        <f t="shared" si="1"/>
        <v>-0.36308235813645395</v>
      </c>
      <c r="O99" s="11"/>
      <c r="P99" s="2">
        <f>-14422.77</f>
        <v>-14422.77</v>
      </c>
      <c r="Q99" s="2"/>
      <c r="R99" s="19"/>
      <c r="S99" s="2"/>
      <c r="T99" s="2">
        <f>-13430.32</f>
        <v>-13430.32</v>
      </c>
      <c r="U99" s="2"/>
      <c r="V99" s="19"/>
      <c r="W99" s="2"/>
      <c r="X99" s="2">
        <f t="shared" si="2"/>
        <v>-992.45000000000073</v>
      </c>
      <c r="Y99" s="2"/>
      <c r="Z99" s="19">
        <f t="shared" si="3"/>
        <v>7.3896228831479865E-2</v>
      </c>
    </row>
    <row r="100" spans="1:26" s="24" customFormat="1" hidden="1" outlineLevel="1" x14ac:dyDescent="0.25">
      <c r="A100" s="44"/>
      <c r="B100" s="11" t="str">
        <f>CONCATENATE("          ", "4311", " - ", "SALES RETURN NON TAXABLE-NO VA")</f>
        <v xml:space="preserve">          4311 - SALES RETURN NON TAXABLE-NO VA</v>
      </c>
      <c r="C100" s="11"/>
      <c r="D100" s="2">
        <f t="shared" ref="D100:D101" si="23">0</f>
        <v>0</v>
      </c>
      <c r="E100" s="2"/>
      <c r="F100" s="19"/>
      <c r="G100" s="2"/>
      <c r="H100" s="2">
        <f t="shared" ref="H100:H101" si="24">0</f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 t="shared" ref="P100:P101" si="25">0</f>
        <v>0</v>
      </c>
      <c r="Q100" s="2"/>
      <c r="R100" s="19"/>
      <c r="S100" s="2"/>
      <c r="T100" s="2">
        <f>-387.96</f>
        <v>-387.96</v>
      </c>
      <c r="U100" s="2"/>
      <c r="V100" s="19"/>
      <c r="W100" s="2"/>
      <c r="X100" s="2">
        <f t="shared" si="2"/>
        <v>387.96</v>
      </c>
      <c r="Y100" s="2"/>
      <c r="Z100" s="19">
        <f t="shared" si="3"/>
        <v>-1</v>
      </c>
    </row>
    <row r="101" spans="1:26" s="24" customFormat="1" hidden="1" outlineLevel="1" x14ac:dyDescent="0.25">
      <c r="A101" s="44"/>
      <c r="B101" s="11" t="str">
        <f>CONCATENATE("          ", "4327", " - ", "SALES RETURN NON TAXABLE-SCHOO")</f>
        <v xml:space="preserve">          4327 - SALES RETURN NON TAXABLE-SCHOO</v>
      </c>
      <c r="C101" s="11"/>
      <c r="D101" s="2">
        <f t="shared" si="23"/>
        <v>0</v>
      </c>
      <c r="E101" s="2"/>
      <c r="F101" s="19"/>
      <c r="G101" s="2"/>
      <c r="H101" s="2">
        <f t="shared" si="24"/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 t="shared" si="25"/>
        <v>0</v>
      </c>
      <c r="Q101" s="2"/>
      <c r="R101" s="19"/>
      <c r="S101" s="2"/>
      <c r="T101" s="2">
        <f>-21.87</f>
        <v>-21.87</v>
      </c>
      <c r="U101" s="2"/>
      <c r="V101" s="19"/>
      <c r="W101" s="2"/>
      <c r="X101" s="2">
        <f t="shared" si="2"/>
        <v>21.87</v>
      </c>
      <c r="Y101" s="2"/>
      <c r="Z101" s="19">
        <f t="shared" si="3"/>
        <v>-1</v>
      </c>
    </row>
    <row r="102" spans="1:26" s="24" customFormat="1" hidden="1" outlineLevel="1" x14ac:dyDescent="0.25">
      <c r="A102" s="44"/>
      <c r="B102" s="11" t="str">
        <f>CONCATENATE("          ", "4340", " - ", "SALES RETURN NON TAXABLE-LOGO")</f>
        <v xml:space="preserve">          4340 - SALES RETURN NON TAXABLE-LOGO</v>
      </c>
      <c r="C102" s="11"/>
      <c r="D102" s="2">
        <f>-543.24</f>
        <v>-543.24</v>
      </c>
      <c r="E102" s="2"/>
      <c r="F102" s="19"/>
      <c r="G102" s="2"/>
      <c r="H102" s="2">
        <f>-391.5</f>
        <v>-391.5</v>
      </c>
      <c r="I102" s="2"/>
      <c r="J102" s="19"/>
      <c r="K102" s="2"/>
      <c r="L102" s="2">
        <f t="shared" si="0"/>
        <v>-151.74</v>
      </c>
      <c r="M102" s="2"/>
      <c r="N102" s="19">
        <f t="shared" si="1"/>
        <v>0.38758620689655177</v>
      </c>
      <c r="O102" s="11"/>
      <c r="P102" s="2">
        <f>-1483.72</f>
        <v>-1483.72</v>
      </c>
      <c r="Q102" s="2"/>
      <c r="R102" s="19"/>
      <c r="S102" s="2"/>
      <c r="T102" s="2">
        <f>-714.9</f>
        <v>-714.9</v>
      </c>
      <c r="U102" s="2"/>
      <c r="V102" s="19"/>
      <c r="W102" s="2"/>
      <c r="X102" s="2">
        <f t="shared" si="2"/>
        <v>-768.82</v>
      </c>
      <c r="Y102" s="2"/>
      <c r="Z102" s="19">
        <f t="shared" si="3"/>
        <v>1.0754231361029516</v>
      </c>
    </row>
    <row r="103" spans="1:26" s="24" customFormat="1" hidden="1" outlineLevel="1" x14ac:dyDescent="0.25">
      <c r="A103" s="44"/>
      <c r="B103" s="11" t="str">
        <f>CONCATENATE("          ", "4341", " - ", "SALES RETURN NON TAXABLE-LOGO")</f>
        <v xml:space="preserve">          4341 - SALES RETURN NON TAXABLE-LOGO</v>
      </c>
      <c r="C103" s="11"/>
      <c r="D103" s="2">
        <f>-33.85</f>
        <v>-33.85</v>
      </c>
      <c r="E103" s="2"/>
      <c r="F103" s="19"/>
      <c r="G103" s="2"/>
      <c r="H103" s="2">
        <f>-9.95</f>
        <v>-9.9499999999999993</v>
      </c>
      <c r="I103" s="2"/>
      <c r="J103" s="19"/>
      <c r="K103" s="2"/>
      <c r="L103" s="2">
        <f t="shared" si="0"/>
        <v>-23.900000000000002</v>
      </c>
      <c r="M103" s="2"/>
      <c r="N103" s="19">
        <f t="shared" si="1"/>
        <v>2.4020100502512567</v>
      </c>
      <c r="O103" s="11"/>
      <c r="P103" s="2">
        <f>-335.64</f>
        <v>-335.64</v>
      </c>
      <c r="Q103" s="2"/>
      <c r="R103" s="19"/>
      <c r="S103" s="2"/>
      <c r="T103" s="2">
        <f>-20.85</f>
        <v>-20.85</v>
      </c>
      <c r="U103" s="2"/>
      <c r="V103" s="19"/>
      <c r="W103" s="2"/>
      <c r="X103" s="2">
        <f t="shared" si="2"/>
        <v>-314.78999999999996</v>
      </c>
      <c r="Y103" s="2"/>
      <c r="Z103" s="19">
        <f t="shared" si="3"/>
        <v>15.097841726618702</v>
      </c>
    </row>
    <row r="104" spans="1:26" s="24" customFormat="1" hidden="1" outlineLevel="1" x14ac:dyDescent="0.25">
      <c r="A104" s="44"/>
      <c r="B104" s="11" t="str">
        <f>CONCATENATE("          ", "4342", " - ", "SALES RETURN NON TAXABLE-EVERY")</f>
        <v xml:space="preserve">          4342 - SALES RETURN NON TAXABLE-EVERY</v>
      </c>
      <c r="C104" s="11"/>
      <c r="D104" s="2">
        <f t="shared" ref="D104:D105" si="26">0</f>
        <v>0</v>
      </c>
      <c r="E104" s="2"/>
      <c r="F104" s="19"/>
      <c r="G104" s="2"/>
      <c r="H104" s="2">
        <f t="shared" ref="H104:H105" si="27">0</f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-118.7</f>
        <v>-118.7</v>
      </c>
      <c r="Q104" s="2"/>
      <c r="R104" s="19"/>
      <c r="S104" s="2"/>
      <c r="T104" s="2">
        <f>-109.8</f>
        <v>-109.8</v>
      </c>
      <c r="U104" s="2"/>
      <c r="V104" s="19"/>
      <c r="W104" s="2"/>
      <c r="X104" s="2">
        <f t="shared" si="2"/>
        <v>-8.9000000000000057</v>
      </c>
      <c r="Y104" s="2"/>
      <c r="Z104" s="19">
        <f t="shared" si="3"/>
        <v>8.1056466302367999E-2</v>
      </c>
    </row>
    <row r="105" spans="1:26" s="24" customFormat="1" hidden="1" outlineLevel="1" x14ac:dyDescent="0.25">
      <c r="A105" s="44"/>
      <c r="B105" s="11" t="str">
        <f>CONCATENATE("          ", "4346", " - ", "SALES RETURN NON TAXABLE-COIN-")</f>
        <v xml:space="preserve">          4346 - SALES RETURN NON TAXABLE-COIN-</v>
      </c>
      <c r="C105" s="11"/>
      <c r="D105" s="2">
        <f t="shared" si="26"/>
        <v>0</v>
      </c>
      <c r="E105" s="2"/>
      <c r="F105" s="19"/>
      <c r="G105" s="2"/>
      <c r="H105" s="2">
        <f t="shared" si="27"/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0</f>
        <v>0</v>
      </c>
      <c r="Q105" s="2"/>
      <c r="R105" s="19"/>
      <c r="S105" s="2"/>
      <c r="T105" s="2">
        <f>-8.15</f>
        <v>-8.15</v>
      </c>
      <c r="U105" s="2"/>
      <c r="V105" s="19"/>
      <c r="W105" s="2"/>
      <c r="X105" s="2">
        <f t="shared" si="2"/>
        <v>8.15</v>
      </c>
      <c r="Y105" s="2"/>
      <c r="Z105" s="19">
        <f t="shared" si="3"/>
        <v>-1</v>
      </c>
    </row>
    <row r="106" spans="1:26" x14ac:dyDescent="0.25">
      <c r="A106" s="9"/>
      <c r="B106" s="10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collapsed="1" x14ac:dyDescent="0.25">
      <c r="A107" s="10"/>
      <c r="B107" s="29" t="s">
        <v>8</v>
      </c>
      <c r="C107" s="10"/>
      <c r="D107" s="4">
        <f>SUM(OSRRefD16x_0)</f>
        <v>132849.4</v>
      </c>
      <c r="E107" s="4"/>
      <c r="F107" s="12">
        <f t="shared" ref="F107:F157" si="28">IF(D$12=0,0,D107/D$12)</f>
        <v>0.56862736201853403</v>
      </c>
      <c r="G107" s="4"/>
      <c r="H107" s="4">
        <f>SUM(OSRRefH16x_0)</f>
        <v>194163.06000000006</v>
      </c>
      <c r="I107" s="4"/>
      <c r="J107" s="12">
        <f t="shared" ref="J107:J157" si="29">IF(H$12=0,0,H107/H$12)</f>
        <v>0.43729889038731945</v>
      </c>
      <c r="K107" s="4"/>
      <c r="L107" s="4">
        <f t="shared" ref="L107:L157" si="30">+D107-H107</f>
        <v>-61313.660000000062</v>
      </c>
      <c r="M107" s="4"/>
      <c r="N107" s="12">
        <f t="shared" ref="N107:N157" si="31">IF(H107=0,0,L107/H107)</f>
        <v>-0.3157843721663639</v>
      </c>
      <c r="O107" s="10"/>
      <c r="P107" s="4">
        <f>SUM(OSRRefP16x_0)</f>
        <v>1734623.4300000002</v>
      </c>
      <c r="Q107" s="4"/>
      <c r="R107" s="12">
        <f t="shared" ref="R107:R157" si="32">IF(P$12=0,0,P107/P$12)</f>
        <v>0.64278292700003359</v>
      </c>
      <c r="S107" s="4"/>
      <c r="T107" s="4">
        <f>SUM(OSRRefT16x_0)</f>
        <v>3220426.9600000009</v>
      </c>
      <c r="U107" s="4"/>
      <c r="V107" s="12">
        <f t="shared" ref="V107:V157" si="33">IF(T$12=0,0,T107/T$12)</f>
        <v>0.58392009749534579</v>
      </c>
      <c r="W107" s="4"/>
      <c r="X107" s="4">
        <f t="shared" ref="X107:X157" si="34">+P107-T107</f>
        <v>-1485803.5300000007</v>
      </c>
      <c r="Y107" s="4"/>
      <c r="Z107" s="12">
        <f t="shared" ref="Z107:Z157" si="35">IF(T107=0,0,X107/T107)</f>
        <v>-0.46136849195921537</v>
      </c>
    </row>
    <row r="108" spans="1:26" s="24" customFormat="1" hidden="1" outlineLevel="1" x14ac:dyDescent="0.25">
      <c r="A108" s="44"/>
      <c r="B108" s="11" t="str">
        <f>CONCATENATE("          ", "5001", " - ", "PURCHASES @ COST-NEW TEXT")</f>
        <v xml:space="preserve">          5001 - PURCHASES @ COST-NEW TEXT</v>
      </c>
      <c r="C108" s="11"/>
      <c r="D108" s="2">
        <v>37317.56</v>
      </c>
      <c r="E108" s="2"/>
      <c r="F108" s="19">
        <f t="shared" si="28"/>
        <v>0.15972812598151262</v>
      </c>
      <c r="G108" s="2"/>
      <c r="H108" s="2">
        <v>155219.06</v>
      </c>
      <c r="I108" s="2"/>
      <c r="J108" s="19">
        <f t="shared" si="29"/>
        <v>0.34958824147581286</v>
      </c>
      <c r="K108" s="2"/>
      <c r="L108" s="2">
        <f t="shared" si="30"/>
        <v>-117901.5</v>
      </c>
      <c r="M108" s="2"/>
      <c r="N108" s="19">
        <f t="shared" si="31"/>
        <v>-0.75958132976710468</v>
      </c>
      <c r="O108" s="11"/>
      <c r="P108" s="2">
        <v>1277913.04</v>
      </c>
      <c r="Q108" s="2"/>
      <c r="R108" s="19">
        <f t="shared" si="32"/>
        <v>0.47354409614005438</v>
      </c>
      <c r="S108" s="2"/>
      <c r="T108" s="2">
        <v>1737069.75</v>
      </c>
      <c r="U108" s="2"/>
      <c r="V108" s="19">
        <f t="shared" si="33"/>
        <v>0.3149613235681693</v>
      </c>
      <c r="W108" s="2"/>
      <c r="X108" s="2">
        <f t="shared" si="34"/>
        <v>-459156.70999999996</v>
      </c>
      <c r="Y108" s="2"/>
      <c r="Z108" s="19">
        <f t="shared" si="35"/>
        <v>-0.26432830921153277</v>
      </c>
    </row>
    <row r="109" spans="1:26" s="24" customFormat="1" hidden="1" outlineLevel="1" x14ac:dyDescent="0.25">
      <c r="A109" s="44"/>
      <c r="B109" s="11" t="str">
        <f>CONCATENATE("          ", "5002", " - ", "PURCHASES @ COST-USED TEXT")</f>
        <v xml:space="preserve">          5002 - PURCHASES @ COST-USED TEXT</v>
      </c>
      <c r="C109" s="11"/>
      <c r="D109" s="2">
        <v>70238.87</v>
      </c>
      <c r="E109" s="2"/>
      <c r="F109" s="19">
        <f t="shared" si="28"/>
        <v>0.30063924533541547</v>
      </c>
      <c r="G109" s="2"/>
      <c r="H109" s="2">
        <v>40274.950000000004</v>
      </c>
      <c r="I109" s="2"/>
      <c r="J109" s="19">
        <f t="shared" si="29"/>
        <v>9.0708247724385724E-2</v>
      </c>
      <c r="K109" s="2"/>
      <c r="L109" s="2">
        <f t="shared" si="30"/>
        <v>29963.919999999991</v>
      </c>
      <c r="M109" s="2"/>
      <c r="N109" s="19">
        <f t="shared" si="31"/>
        <v>0.74398403970706328</v>
      </c>
      <c r="O109" s="11"/>
      <c r="P109" s="2">
        <v>164472.92000000001</v>
      </c>
      <c r="Q109" s="2"/>
      <c r="R109" s="19">
        <f t="shared" si="32"/>
        <v>6.0947167610806659E-2</v>
      </c>
      <c r="S109" s="2"/>
      <c r="T109" s="2">
        <v>252522.85</v>
      </c>
      <c r="U109" s="2"/>
      <c r="V109" s="19">
        <f t="shared" si="33"/>
        <v>4.5786837901705603E-2</v>
      </c>
      <c r="W109" s="2"/>
      <c r="X109" s="2">
        <f t="shared" si="34"/>
        <v>-88049.93</v>
      </c>
      <c r="Y109" s="2"/>
      <c r="Z109" s="19">
        <f t="shared" si="35"/>
        <v>-0.34868104015141599</v>
      </c>
    </row>
    <row r="110" spans="1:26" s="24" customFormat="1" hidden="1" outlineLevel="1" x14ac:dyDescent="0.25">
      <c r="A110" s="44"/>
      <c r="B110" s="11" t="str">
        <f>CONCATENATE("          ", "5003", " - ", "PURCHASES @ COST-RENTAL TEXT")</f>
        <v xml:space="preserve">          5003 - PURCHASES @ COST-RENTAL TEXT</v>
      </c>
      <c r="C110" s="11"/>
      <c r="D110" s="2"/>
      <c r="E110" s="2"/>
      <c r="F110" s="19">
        <f t="shared" si="28"/>
        <v>0</v>
      </c>
      <c r="G110" s="2"/>
      <c r="H110" s="2"/>
      <c r="I110" s="2"/>
      <c r="J110" s="19">
        <f t="shared" si="29"/>
        <v>0</v>
      </c>
      <c r="K110" s="2"/>
      <c r="L110" s="2">
        <f t="shared" si="30"/>
        <v>0</v>
      </c>
      <c r="M110" s="2"/>
      <c r="N110" s="19">
        <f t="shared" si="31"/>
        <v>0</v>
      </c>
      <c r="O110" s="11"/>
      <c r="P110" s="2">
        <v>32.520000000000003</v>
      </c>
      <c r="Q110" s="2"/>
      <c r="R110" s="19">
        <f t="shared" si="32"/>
        <v>1.2050627487512428E-5</v>
      </c>
      <c r="S110" s="2"/>
      <c r="T110" s="2">
        <v>-78.400000000000006</v>
      </c>
      <c r="U110" s="2"/>
      <c r="V110" s="19">
        <f t="shared" si="33"/>
        <v>-1.4215300086680154E-5</v>
      </c>
      <c r="W110" s="2"/>
      <c r="X110" s="2">
        <f t="shared" si="34"/>
        <v>110.92000000000002</v>
      </c>
      <c r="Y110" s="2"/>
      <c r="Z110" s="19">
        <f t="shared" si="35"/>
        <v>-1.4147959183673471</v>
      </c>
    </row>
    <row r="111" spans="1:26" s="24" customFormat="1" hidden="1" outlineLevel="1" x14ac:dyDescent="0.25">
      <c r="A111" s="44"/>
      <c r="B111" s="11" t="str">
        <f>CONCATENATE("          ", "5004", " - ", "PURCHASES @ COST-DIGITAL TEXT")</f>
        <v xml:space="preserve">          5004 - PURCHASES @ COST-DIGITAL TEXT</v>
      </c>
      <c r="C111" s="11"/>
      <c r="D111" s="2">
        <v>900</v>
      </c>
      <c r="E111" s="2"/>
      <c r="F111" s="19">
        <f t="shared" si="28"/>
        <v>3.852216312732166E-3</v>
      </c>
      <c r="G111" s="2"/>
      <c r="H111" s="2">
        <v>31572.300000000003</v>
      </c>
      <c r="I111" s="2"/>
      <c r="J111" s="19">
        <f t="shared" si="29"/>
        <v>7.1107922160763046E-2</v>
      </c>
      <c r="K111" s="2"/>
      <c r="L111" s="2">
        <f t="shared" si="30"/>
        <v>-30672.300000000003</v>
      </c>
      <c r="M111" s="2"/>
      <c r="N111" s="19">
        <f t="shared" si="31"/>
        <v>-0.97149399948689197</v>
      </c>
      <c r="O111" s="11"/>
      <c r="P111" s="2">
        <v>197838.11000000002</v>
      </c>
      <c r="Q111" s="2"/>
      <c r="R111" s="19">
        <f t="shared" si="32"/>
        <v>7.3310989128029136E-2</v>
      </c>
      <c r="S111" s="2"/>
      <c r="T111" s="2">
        <v>354352.27</v>
      </c>
      <c r="U111" s="2"/>
      <c r="V111" s="19">
        <f t="shared" si="33"/>
        <v>6.4250304265896799E-2</v>
      </c>
      <c r="W111" s="2"/>
      <c r="X111" s="2">
        <f t="shared" si="34"/>
        <v>-156514.16</v>
      </c>
      <c r="Y111" s="2"/>
      <c r="Z111" s="19">
        <f t="shared" si="35"/>
        <v>-0.44169086316280687</v>
      </c>
    </row>
    <row r="112" spans="1:26" s="24" customFormat="1" hidden="1" outlineLevel="1" x14ac:dyDescent="0.25">
      <c r="A112" s="44"/>
      <c r="B112" s="11" t="str">
        <f>CONCATENATE("          ", "5011", " - ", "PURCHASES @ COST-NO VALUE TEXT")</f>
        <v xml:space="preserve">          5011 - PURCHASES @ COST-NO VALUE TEXT</v>
      </c>
      <c r="C112" s="11"/>
      <c r="D112" s="2"/>
      <c r="E112" s="2"/>
      <c r="F112" s="19">
        <f t="shared" si="28"/>
        <v>0</v>
      </c>
      <c r="G112" s="2"/>
      <c r="H112" s="2">
        <v>1161</v>
      </c>
      <c r="I112" s="2"/>
      <c r="J112" s="19">
        <f t="shared" si="29"/>
        <v>2.6148331806249746E-3</v>
      </c>
      <c r="K112" s="2"/>
      <c r="L112" s="2">
        <f t="shared" si="30"/>
        <v>-1161</v>
      </c>
      <c r="M112" s="2"/>
      <c r="N112" s="19">
        <f t="shared" si="31"/>
        <v>-1</v>
      </c>
      <c r="O112" s="11"/>
      <c r="P112" s="2">
        <v>67.17</v>
      </c>
      <c r="Q112" s="2"/>
      <c r="R112" s="19">
        <f t="shared" si="32"/>
        <v>2.4890548841826869E-5</v>
      </c>
      <c r="S112" s="2"/>
      <c r="T112" s="2">
        <v>4902</v>
      </c>
      <c r="U112" s="2"/>
      <c r="V112" s="19">
        <f t="shared" si="33"/>
        <v>8.8881889062380245E-4</v>
      </c>
      <c r="W112" s="2"/>
      <c r="X112" s="2">
        <f t="shared" si="34"/>
        <v>-4834.83</v>
      </c>
      <c r="Y112" s="2"/>
      <c r="Z112" s="19">
        <f t="shared" si="35"/>
        <v>-0.98629742962056299</v>
      </c>
    </row>
    <row r="113" spans="1:26" s="24" customFormat="1" hidden="1" outlineLevel="1" x14ac:dyDescent="0.25">
      <c r="A113" s="44"/>
      <c r="B113" s="11" t="str">
        <f>CONCATENATE("          ", "5013", " - ", "PURCHASES @ COST-TRADE BOOKS")</f>
        <v xml:space="preserve">          5013 - PURCHASES @ COST-TRADE BOOKS</v>
      </c>
      <c r="C113" s="11"/>
      <c r="D113" s="2">
        <v>31.11</v>
      </c>
      <c r="E113" s="2"/>
      <c r="F113" s="19">
        <f t="shared" si="28"/>
        <v>1.3315827721010855E-4</v>
      </c>
      <c r="G113" s="2"/>
      <c r="H113" s="2">
        <v>37.17</v>
      </c>
      <c r="I113" s="2"/>
      <c r="J113" s="19">
        <f t="shared" si="29"/>
        <v>8.3715201829311206E-5</v>
      </c>
      <c r="K113" s="2"/>
      <c r="L113" s="2">
        <f t="shared" si="30"/>
        <v>-6.0600000000000023</v>
      </c>
      <c r="M113" s="2"/>
      <c r="N113" s="19">
        <f t="shared" si="31"/>
        <v>-0.16303470540758683</v>
      </c>
      <c r="O113" s="11"/>
      <c r="P113" s="2">
        <v>2125.85</v>
      </c>
      <c r="Q113" s="2"/>
      <c r="R113" s="19">
        <f t="shared" si="32"/>
        <v>7.8775604072350229E-4</v>
      </c>
      <c r="S113" s="2"/>
      <c r="T113" s="2">
        <v>735.31</v>
      </c>
      <c r="U113" s="2"/>
      <c r="V113" s="19">
        <f t="shared" si="33"/>
        <v>1.3332464676960181E-4</v>
      </c>
      <c r="W113" s="2"/>
      <c r="X113" s="2">
        <f t="shared" si="34"/>
        <v>1390.54</v>
      </c>
      <c r="Y113" s="2"/>
      <c r="Z113" s="19">
        <f t="shared" si="35"/>
        <v>1.8910935523792687</v>
      </c>
    </row>
    <row r="114" spans="1:26" s="24" customFormat="1" hidden="1" outlineLevel="1" x14ac:dyDescent="0.25">
      <c r="A114" s="44"/>
      <c r="B114" s="11" t="str">
        <f>CONCATENATE("          ", "5014", " - ", "PURCHASES @ COST-REMAINDERS")</f>
        <v xml:space="preserve">          5014 - PURCHASES @ COST-REMAINDERS</v>
      </c>
      <c r="C114" s="11"/>
      <c r="D114" s="2"/>
      <c r="E114" s="2"/>
      <c r="F114" s="19">
        <f t="shared" si="28"/>
        <v>0</v>
      </c>
      <c r="G114" s="2"/>
      <c r="H114" s="2">
        <v>56.98</v>
      </c>
      <c r="I114" s="2"/>
      <c r="J114" s="19">
        <f t="shared" si="29"/>
        <v>1.2833177832214559E-4</v>
      </c>
      <c r="K114" s="2"/>
      <c r="L114" s="2">
        <f t="shared" si="30"/>
        <v>-56.98</v>
      </c>
      <c r="M114" s="2"/>
      <c r="N114" s="19">
        <f t="shared" si="31"/>
        <v>-1</v>
      </c>
      <c r="O114" s="11"/>
      <c r="P114" s="2">
        <v>90.41</v>
      </c>
      <c r="Q114" s="2"/>
      <c r="R114" s="19">
        <f t="shared" si="32"/>
        <v>3.3502374881488271E-5</v>
      </c>
      <c r="S114" s="2"/>
      <c r="T114" s="2">
        <v>513.79</v>
      </c>
      <c r="U114" s="2"/>
      <c r="V114" s="19">
        <f t="shared" si="33"/>
        <v>9.3159171320604533E-5</v>
      </c>
      <c r="W114" s="2"/>
      <c r="X114" s="2">
        <f t="shared" si="34"/>
        <v>-423.38</v>
      </c>
      <c r="Y114" s="2"/>
      <c r="Z114" s="19">
        <f t="shared" si="35"/>
        <v>-0.82403316530099846</v>
      </c>
    </row>
    <row r="115" spans="1:26" s="24" customFormat="1" hidden="1" outlineLevel="1" x14ac:dyDescent="0.25">
      <c r="A115" s="44"/>
      <c r="B115" s="11" t="str">
        <f>CONCATENATE("          ", "5017", " - ", "PURCHASES @ COST-DORM/HOUSEWAR")</f>
        <v xml:space="preserve">          5017 - PURCHASES @ COST-DORM/HOUSEWAR</v>
      </c>
      <c r="C115" s="11"/>
      <c r="D115" s="2"/>
      <c r="E115" s="2"/>
      <c r="F115" s="19">
        <f t="shared" si="28"/>
        <v>0</v>
      </c>
      <c r="G115" s="2"/>
      <c r="H115" s="2"/>
      <c r="I115" s="2"/>
      <c r="J115" s="19">
        <f t="shared" si="29"/>
        <v>0</v>
      </c>
      <c r="K115" s="2"/>
      <c r="L115" s="2">
        <f t="shared" si="30"/>
        <v>0</v>
      </c>
      <c r="M115" s="2"/>
      <c r="N115" s="19">
        <f t="shared" si="31"/>
        <v>0</v>
      </c>
      <c r="O115" s="11"/>
      <c r="P115" s="2"/>
      <c r="Q115" s="2"/>
      <c r="R115" s="19">
        <f t="shared" si="32"/>
        <v>0</v>
      </c>
      <c r="S115" s="2"/>
      <c r="T115" s="2">
        <v>0</v>
      </c>
      <c r="U115" s="2"/>
      <c r="V115" s="19">
        <f t="shared" si="33"/>
        <v>0</v>
      </c>
      <c r="W115" s="2"/>
      <c r="X115" s="2">
        <f t="shared" si="34"/>
        <v>0</v>
      </c>
      <c r="Y115" s="2"/>
      <c r="Z115" s="19">
        <f t="shared" si="35"/>
        <v>0</v>
      </c>
    </row>
    <row r="116" spans="1:26" s="24" customFormat="1" hidden="1" outlineLevel="1" x14ac:dyDescent="0.25">
      <c r="A116" s="44"/>
      <c r="B116" s="11" t="str">
        <f>CONCATENATE("          ", "5018", " - ", "PURCHASES @ COST-STUDY GUIDES")</f>
        <v xml:space="preserve">          5018 - PURCHASES @ COST-STUDY GUIDES</v>
      </c>
      <c r="C116" s="11"/>
      <c r="D116" s="2"/>
      <c r="E116" s="2"/>
      <c r="F116" s="19">
        <f t="shared" si="28"/>
        <v>0</v>
      </c>
      <c r="G116" s="2"/>
      <c r="H116" s="2">
        <v>196.31</v>
      </c>
      <c r="I116" s="2"/>
      <c r="J116" s="19">
        <f t="shared" si="29"/>
        <v>4.4213428224676031E-4</v>
      </c>
      <c r="K116" s="2"/>
      <c r="L116" s="2">
        <f t="shared" si="30"/>
        <v>-196.31</v>
      </c>
      <c r="M116" s="2"/>
      <c r="N116" s="19">
        <f t="shared" si="31"/>
        <v>-1</v>
      </c>
      <c r="O116" s="11"/>
      <c r="P116" s="2">
        <v>106.34</v>
      </c>
      <c r="Q116" s="2"/>
      <c r="R116" s="19">
        <f t="shared" si="32"/>
        <v>3.9405403659965303E-5</v>
      </c>
      <c r="S116" s="2"/>
      <c r="T116" s="2">
        <v>998.4</v>
      </c>
      <c r="U116" s="2"/>
      <c r="V116" s="19">
        <f t="shared" si="33"/>
        <v>1.8102749498139623E-4</v>
      </c>
      <c r="W116" s="2"/>
      <c r="X116" s="2">
        <f t="shared" si="34"/>
        <v>-892.06</v>
      </c>
      <c r="Y116" s="2"/>
      <c r="Z116" s="19">
        <f t="shared" si="35"/>
        <v>-0.89348958333333328</v>
      </c>
    </row>
    <row r="117" spans="1:26" s="24" customFormat="1" hidden="1" outlineLevel="1" x14ac:dyDescent="0.25">
      <c r="A117" s="44"/>
      <c r="B117" s="11" t="str">
        <f>CONCATENATE("          ", "5025", " - ", "PURCHASES @ COST-TEST FORMS")</f>
        <v xml:space="preserve">          5025 - PURCHASES @ COST-TEST FORMS</v>
      </c>
      <c r="C117" s="11"/>
      <c r="D117" s="2"/>
      <c r="E117" s="2"/>
      <c r="F117" s="19">
        <f t="shared" si="28"/>
        <v>0</v>
      </c>
      <c r="G117" s="2"/>
      <c r="H117" s="2">
        <v>0</v>
      </c>
      <c r="I117" s="2"/>
      <c r="J117" s="19">
        <f t="shared" si="29"/>
        <v>0</v>
      </c>
      <c r="K117" s="2"/>
      <c r="L117" s="2">
        <f t="shared" si="30"/>
        <v>0</v>
      </c>
      <c r="M117" s="2"/>
      <c r="N117" s="19">
        <f t="shared" si="31"/>
        <v>0</v>
      </c>
      <c r="O117" s="11"/>
      <c r="P117" s="2">
        <v>599.29</v>
      </c>
      <c r="Q117" s="2"/>
      <c r="R117" s="19">
        <f t="shared" si="32"/>
        <v>2.2207320255200868E-4</v>
      </c>
      <c r="S117" s="2"/>
      <c r="T117" s="2">
        <v>22098.390000000003</v>
      </c>
      <c r="U117" s="2"/>
      <c r="V117" s="19">
        <f t="shared" si="33"/>
        <v>4.0068271081950494E-3</v>
      </c>
      <c r="W117" s="2"/>
      <c r="X117" s="2">
        <f t="shared" si="34"/>
        <v>-21499.100000000002</v>
      </c>
      <c r="Y117" s="2"/>
      <c r="Z117" s="19">
        <f t="shared" si="35"/>
        <v>-0.97288082977990697</v>
      </c>
    </row>
    <row r="118" spans="1:26" s="24" customFormat="1" hidden="1" outlineLevel="1" x14ac:dyDescent="0.25">
      <c r="A118" s="44"/>
      <c r="B118" s="11" t="str">
        <f>CONCATENATE("          ", "5026", " - ", "PURCHASES @ COST-WRITING INSTR")</f>
        <v xml:space="preserve">          5026 - PURCHASES @ COST-WRITING INSTR</v>
      </c>
      <c r="C118" s="11"/>
      <c r="D118" s="2">
        <v>-5.1100000000000003</v>
      </c>
      <c r="E118" s="2"/>
      <c r="F118" s="19">
        <f t="shared" si="28"/>
        <v>-2.1872028175623747E-5</v>
      </c>
      <c r="G118" s="2"/>
      <c r="H118" s="2">
        <v>4344.2</v>
      </c>
      <c r="I118" s="2"/>
      <c r="J118" s="19">
        <f t="shared" si="29"/>
        <v>9.7841156789586683E-3</v>
      </c>
      <c r="K118" s="2"/>
      <c r="L118" s="2">
        <f t="shared" si="30"/>
        <v>-4349.3099999999995</v>
      </c>
      <c r="M118" s="2"/>
      <c r="N118" s="19">
        <f t="shared" si="31"/>
        <v>-1.0011762810183693</v>
      </c>
      <c r="O118" s="11"/>
      <c r="P118" s="2">
        <v>374.91</v>
      </c>
      <c r="Q118" s="2"/>
      <c r="R118" s="19">
        <f t="shared" si="32"/>
        <v>1.3892683737217973E-4</v>
      </c>
      <c r="S118" s="2"/>
      <c r="T118" s="2">
        <v>34294.769999999997</v>
      </c>
      <c r="U118" s="2"/>
      <c r="V118" s="19">
        <f t="shared" si="33"/>
        <v>6.2182454968581101E-3</v>
      </c>
      <c r="W118" s="2"/>
      <c r="X118" s="2">
        <f t="shared" si="34"/>
        <v>-33919.859999999993</v>
      </c>
      <c r="Y118" s="2"/>
      <c r="Z118" s="19">
        <f t="shared" si="35"/>
        <v>-0.98906801241122178</v>
      </c>
    </row>
    <row r="119" spans="1:26" s="24" customFormat="1" hidden="1" outlineLevel="1" x14ac:dyDescent="0.25">
      <c r="A119" s="44"/>
      <c r="B119" s="11" t="str">
        <f>CONCATENATE("          ", "5027", " - ", "PURCHASES @ COST-SCHOOL SUPPLI")</f>
        <v xml:space="preserve">          5027 - PURCHASES @ COST-SCHOOL SUPPLI</v>
      </c>
      <c r="C119" s="11"/>
      <c r="D119" s="2"/>
      <c r="E119" s="2"/>
      <c r="F119" s="19">
        <f t="shared" si="28"/>
        <v>0</v>
      </c>
      <c r="G119" s="2"/>
      <c r="H119" s="2">
        <v>2493.64</v>
      </c>
      <c r="I119" s="2"/>
      <c r="J119" s="19">
        <f t="shared" si="29"/>
        <v>5.6162382536896309E-3</v>
      </c>
      <c r="K119" s="2"/>
      <c r="L119" s="2">
        <f t="shared" si="30"/>
        <v>-2493.64</v>
      </c>
      <c r="M119" s="2"/>
      <c r="N119" s="19">
        <f t="shared" si="31"/>
        <v>-1</v>
      </c>
      <c r="O119" s="11"/>
      <c r="P119" s="2">
        <v>19071.350000000002</v>
      </c>
      <c r="Q119" s="2"/>
      <c r="R119" s="19">
        <f t="shared" si="32"/>
        <v>7.0670890078096604E-3</v>
      </c>
      <c r="S119" s="2"/>
      <c r="T119" s="2">
        <v>78000</v>
      </c>
      <c r="U119" s="2"/>
      <c r="V119" s="19">
        <f t="shared" si="33"/>
        <v>1.4142773045421581E-2</v>
      </c>
      <c r="W119" s="2"/>
      <c r="X119" s="2">
        <f t="shared" si="34"/>
        <v>-58928.649999999994</v>
      </c>
      <c r="Y119" s="2"/>
      <c r="Z119" s="19">
        <f t="shared" si="35"/>
        <v>-0.75549551282051275</v>
      </c>
    </row>
    <row r="120" spans="1:26" s="24" customFormat="1" hidden="1" outlineLevel="1" x14ac:dyDescent="0.25">
      <c r="A120" s="44"/>
      <c r="B120" s="11" t="str">
        <f>CONCATENATE("          ", "5028", " - ", "PURCHASES @ COST-ART/TECH")</f>
        <v xml:space="preserve">          5028 - PURCHASES @ COST-ART/TECH</v>
      </c>
      <c r="C120" s="11"/>
      <c r="D120" s="2"/>
      <c r="E120" s="2"/>
      <c r="F120" s="19">
        <f t="shared" si="28"/>
        <v>0</v>
      </c>
      <c r="G120" s="2"/>
      <c r="H120" s="2">
        <v>7730.31</v>
      </c>
      <c r="I120" s="2"/>
      <c r="J120" s="19">
        <f t="shared" si="29"/>
        <v>1.7410397144286861E-2</v>
      </c>
      <c r="K120" s="2"/>
      <c r="L120" s="2">
        <f t="shared" si="30"/>
        <v>-7730.31</v>
      </c>
      <c r="M120" s="2"/>
      <c r="N120" s="19">
        <f t="shared" si="31"/>
        <v>-1</v>
      </c>
      <c r="O120" s="11"/>
      <c r="P120" s="2">
        <v>41358.449999999997</v>
      </c>
      <c r="Q120" s="2"/>
      <c r="R120" s="19">
        <f t="shared" si="32"/>
        <v>1.5325807946214893E-2</v>
      </c>
      <c r="S120" s="2"/>
      <c r="T120" s="2">
        <v>103000.81999999999</v>
      </c>
      <c r="U120" s="2"/>
      <c r="V120" s="19">
        <f t="shared" si="33"/>
        <v>1.8675861804516924E-2</v>
      </c>
      <c r="W120" s="2"/>
      <c r="X120" s="2">
        <f t="shared" si="34"/>
        <v>-61642.369999999995</v>
      </c>
      <c r="Y120" s="2"/>
      <c r="Z120" s="19">
        <f t="shared" si="35"/>
        <v>-0.59846484717306137</v>
      </c>
    </row>
    <row r="121" spans="1:26" s="24" customFormat="1" hidden="1" outlineLevel="1" x14ac:dyDescent="0.25">
      <c r="A121" s="44"/>
      <c r="B121" s="11" t="str">
        <f>CONCATENATE("          ", "5031", " - ", "PURCHASES @ COST-FOOD")</f>
        <v xml:space="preserve">          5031 - PURCHASES @ COST-FOOD</v>
      </c>
      <c r="C121" s="11"/>
      <c r="D121" s="2">
        <v>-1260</v>
      </c>
      <c r="E121" s="2"/>
      <c r="F121" s="19">
        <f t="shared" si="28"/>
        <v>-5.3931028378250328E-3</v>
      </c>
      <c r="G121" s="2"/>
      <c r="H121" s="2">
        <v>1695.24</v>
      </c>
      <c r="I121" s="2"/>
      <c r="J121" s="19">
        <f t="shared" si="29"/>
        <v>3.8180618442055828E-3</v>
      </c>
      <c r="K121" s="2"/>
      <c r="L121" s="2">
        <f t="shared" si="30"/>
        <v>-2955.24</v>
      </c>
      <c r="M121" s="2"/>
      <c r="N121" s="19">
        <f t="shared" si="31"/>
        <v>-1.7432575918454023</v>
      </c>
      <c r="O121" s="11"/>
      <c r="P121" s="2">
        <v>7275.1</v>
      </c>
      <c r="Q121" s="2"/>
      <c r="R121" s="19">
        <f t="shared" si="32"/>
        <v>2.6958646997048484E-3</v>
      </c>
      <c r="S121" s="2"/>
      <c r="T121" s="2">
        <v>22509.73</v>
      </c>
      <c r="U121" s="2"/>
      <c r="V121" s="19">
        <f t="shared" si="33"/>
        <v>4.0814102910733015E-3</v>
      </c>
      <c r="W121" s="2"/>
      <c r="X121" s="2">
        <f t="shared" si="34"/>
        <v>-15234.63</v>
      </c>
      <c r="Y121" s="2"/>
      <c r="Z121" s="19">
        <f t="shared" si="35"/>
        <v>-0.67680198740722342</v>
      </c>
    </row>
    <row r="122" spans="1:26" s="24" customFormat="1" hidden="1" outlineLevel="1" x14ac:dyDescent="0.25">
      <c r="A122" s="44"/>
      <c r="B122" s="11" t="str">
        <f>CONCATENATE("          ", "5032", " - ", "PURCHASES @ COST-JUICE")</f>
        <v xml:space="preserve">          5032 - PURCHASES @ COST-JUICE</v>
      </c>
      <c r="C122" s="11"/>
      <c r="D122" s="2"/>
      <c r="E122" s="2"/>
      <c r="F122" s="19">
        <f t="shared" si="28"/>
        <v>0</v>
      </c>
      <c r="G122" s="2"/>
      <c r="H122" s="2">
        <v>358.99</v>
      </c>
      <c r="I122" s="2"/>
      <c r="J122" s="19">
        <f t="shared" si="29"/>
        <v>8.0852623902890578E-4</v>
      </c>
      <c r="K122" s="2"/>
      <c r="L122" s="2">
        <f t="shared" si="30"/>
        <v>-358.99</v>
      </c>
      <c r="M122" s="2"/>
      <c r="N122" s="19">
        <f t="shared" si="31"/>
        <v>-1</v>
      </c>
      <c r="O122" s="11"/>
      <c r="P122" s="2"/>
      <c r="Q122" s="2"/>
      <c r="R122" s="19">
        <f t="shared" si="32"/>
        <v>0</v>
      </c>
      <c r="S122" s="2"/>
      <c r="T122" s="2">
        <v>5021.4799999999996</v>
      </c>
      <c r="U122" s="2"/>
      <c r="V122" s="19">
        <f t="shared" si="33"/>
        <v>9.1048271784773785E-4</v>
      </c>
      <c r="W122" s="2"/>
      <c r="X122" s="2">
        <f t="shared" si="34"/>
        <v>-5021.4799999999996</v>
      </c>
      <c r="Y122" s="2"/>
      <c r="Z122" s="19">
        <f t="shared" si="35"/>
        <v>-1</v>
      </c>
    </row>
    <row r="123" spans="1:26" s="24" customFormat="1" hidden="1" outlineLevel="1" x14ac:dyDescent="0.25">
      <c r="A123" s="44"/>
      <c r="B123" s="11" t="str">
        <f>CONCATENATE("          ", "5033", " - ", "PURCHASES @ COST-CANDY")</f>
        <v xml:space="preserve">          5033 - PURCHASES @ COST-CANDY</v>
      </c>
      <c r="C123" s="11"/>
      <c r="D123" s="2"/>
      <c r="E123" s="2"/>
      <c r="F123" s="19">
        <f t="shared" si="28"/>
        <v>0</v>
      </c>
      <c r="G123" s="2"/>
      <c r="H123" s="2">
        <v>260.19</v>
      </c>
      <c r="I123" s="2"/>
      <c r="J123" s="19">
        <f t="shared" si="29"/>
        <v>5.8600641280517841E-4</v>
      </c>
      <c r="K123" s="2"/>
      <c r="L123" s="2">
        <f t="shared" si="30"/>
        <v>-260.19</v>
      </c>
      <c r="M123" s="2"/>
      <c r="N123" s="19">
        <f t="shared" si="31"/>
        <v>-1</v>
      </c>
      <c r="O123" s="11"/>
      <c r="P123" s="2"/>
      <c r="Q123" s="2"/>
      <c r="R123" s="19">
        <f t="shared" si="32"/>
        <v>0</v>
      </c>
      <c r="S123" s="2"/>
      <c r="T123" s="2">
        <v>6197.93</v>
      </c>
      <c r="U123" s="2"/>
      <c r="V123" s="19">
        <f t="shared" si="33"/>
        <v>1.1237938120693561E-3</v>
      </c>
      <c r="W123" s="2"/>
      <c r="X123" s="2">
        <f t="shared" si="34"/>
        <v>-6197.93</v>
      </c>
      <c r="Y123" s="2"/>
      <c r="Z123" s="19">
        <f t="shared" si="35"/>
        <v>-1</v>
      </c>
    </row>
    <row r="124" spans="1:26" s="24" customFormat="1" hidden="1" outlineLevel="1" x14ac:dyDescent="0.25">
      <c r="A124" s="44"/>
      <c r="B124" s="11" t="str">
        <f>CONCATENATE("          ", "5034", " - ", "PURCHASES @ COST-SODA")</f>
        <v xml:space="preserve">          5034 - PURCHASES @ COST-SODA</v>
      </c>
      <c r="C124" s="11"/>
      <c r="D124" s="2"/>
      <c r="E124" s="2"/>
      <c r="F124" s="19">
        <f t="shared" si="28"/>
        <v>0</v>
      </c>
      <c r="G124" s="2"/>
      <c r="H124" s="2">
        <v>42.24</v>
      </c>
      <c r="I124" s="2"/>
      <c r="J124" s="19">
        <f t="shared" si="29"/>
        <v>9.5133982385528799E-5</v>
      </c>
      <c r="K124" s="2"/>
      <c r="L124" s="2">
        <f t="shared" si="30"/>
        <v>-42.24</v>
      </c>
      <c r="M124" s="2"/>
      <c r="N124" s="19">
        <f t="shared" si="31"/>
        <v>-1</v>
      </c>
      <c r="O124" s="11"/>
      <c r="P124" s="2"/>
      <c r="Q124" s="2"/>
      <c r="R124" s="19">
        <f t="shared" si="32"/>
        <v>0</v>
      </c>
      <c r="S124" s="2"/>
      <c r="T124" s="2">
        <v>2124.16</v>
      </c>
      <c r="U124" s="2"/>
      <c r="V124" s="19">
        <f t="shared" si="33"/>
        <v>3.8514759989952184E-4</v>
      </c>
      <c r="W124" s="2"/>
      <c r="X124" s="2">
        <f t="shared" si="34"/>
        <v>-2124.16</v>
      </c>
      <c r="Y124" s="2"/>
      <c r="Z124" s="19">
        <f t="shared" si="35"/>
        <v>-1</v>
      </c>
    </row>
    <row r="125" spans="1:26" s="24" customFormat="1" hidden="1" outlineLevel="1" x14ac:dyDescent="0.25">
      <c r="A125" s="44"/>
      <c r="B125" s="11" t="str">
        <f>CONCATENATE("          ", "5035", " - ", "PURCHASES @ COST-HEALTH &amp; BEAU")</f>
        <v xml:space="preserve">          5035 - PURCHASES @ COST-HEALTH &amp; BEAU</v>
      </c>
      <c r="C125" s="11"/>
      <c r="D125" s="2"/>
      <c r="E125" s="2"/>
      <c r="F125" s="19">
        <f t="shared" si="28"/>
        <v>0</v>
      </c>
      <c r="G125" s="2"/>
      <c r="H125" s="2">
        <v>23.17</v>
      </c>
      <c r="I125" s="2"/>
      <c r="J125" s="19">
        <f t="shared" si="29"/>
        <v>5.2184052364410565E-5</v>
      </c>
      <c r="K125" s="2"/>
      <c r="L125" s="2">
        <f t="shared" si="30"/>
        <v>-23.17</v>
      </c>
      <c r="M125" s="2"/>
      <c r="N125" s="19">
        <f t="shared" si="31"/>
        <v>-1</v>
      </c>
      <c r="O125" s="11"/>
      <c r="P125" s="2"/>
      <c r="Q125" s="2"/>
      <c r="R125" s="19">
        <f t="shared" si="32"/>
        <v>0</v>
      </c>
      <c r="S125" s="2"/>
      <c r="T125" s="2">
        <v>824.38</v>
      </c>
      <c r="U125" s="2"/>
      <c r="V125" s="19">
        <f t="shared" si="33"/>
        <v>1.4947460568185439E-4</v>
      </c>
      <c r="W125" s="2"/>
      <c r="X125" s="2">
        <f t="shared" si="34"/>
        <v>-824.38</v>
      </c>
      <c r="Y125" s="2"/>
      <c r="Z125" s="19">
        <f t="shared" si="35"/>
        <v>-1</v>
      </c>
    </row>
    <row r="126" spans="1:26" s="24" customFormat="1" hidden="1" outlineLevel="1" x14ac:dyDescent="0.25">
      <c r="A126" s="44"/>
      <c r="B126" s="11" t="str">
        <f>CONCATENATE("          ", "5037", " - ", "PURCHASES @ COST-WATER")</f>
        <v xml:space="preserve">          5037 - PURCHASES @ COST-WATER</v>
      </c>
      <c r="C126" s="11"/>
      <c r="D126" s="2"/>
      <c r="E126" s="2"/>
      <c r="F126" s="19">
        <f t="shared" si="28"/>
        <v>0</v>
      </c>
      <c r="G126" s="2"/>
      <c r="H126" s="2">
        <v>235.9</v>
      </c>
      <c r="I126" s="2"/>
      <c r="J126" s="19">
        <f t="shared" si="29"/>
        <v>5.312998684835758E-4</v>
      </c>
      <c r="K126" s="2"/>
      <c r="L126" s="2">
        <f t="shared" si="30"/>
        <v>-235.9</v>
      </c>
      <c r="M126" s="2"/>
      <c r="N126" s="19">
        <f t="shared" si="31"/>
        <v>-1</v>
      </c>
      <c r="O126" s="11"/>
      <c r="P126" s="2"/>
      <c r="Q126" s="2"/>
      <c r="R126" s="19">
        <f t="shared" si="32"/>
        <v>0</v>
      </c>
      <c r="S126" s="2"/>
      <c r="T126" s="2">
        <v>3759.27</v>
      </c>
      <c r="U126" s="2"/>
      <c r="V126" s="19">
        <f t="shared" si="33"/>
        <v>6.8162182598028188E-4</v>
      </c>
      <c r="W126" s="2"/>
      <c r="X126" s="2">
        <f t="shared" si="34"/>
        <v>-3759.27</v>
      </c>
      <c r="Y126" s="2"/>
      <c r="Z126" s="19">
        <f t="shared" si="35"/>
        <v>-1</v>
      </c>
    </row>
    <row r="127" spans="1:26" s="24" customFormat="1" hidden="1" outlineLevel="1" x14ac:dyDescent="0.25">
      <c r="A127" s="44"/>
      <c r="B127" s="11" t="str">
        <f>CONCATENATE("          ", "5040", " - ", "PURCHASES @ COST-LOGO CLOTHING")</f>
        <v xml:space="preserve">          5040 - PURCHASES @ COST-LOGO CLOTHING</v>
      </c>
      <c r="C127" s="11"/>
      <c r="D127" s="2">
        <v>38175.120000000003</v>
      </c>
      <c r="E127" s="2"/>
      <c r="F127" s="19">
        <f t="shared" si="28"/>
        <v>0.16339868889389775</v>
      </c>
      <c r="G127" s="2"/>
      <c r="H127" s="2">
        <v>97946.53</v>
      </c>
      <c r="I127" s="2"/>
      <c r="J127" s="19">
        <f t="shared" si="29"/>
        <v>0.22059761978559816</v>
      </c>
      <c r="K127" s="2"/>
      <c r="L127" s="2">
        <f t="shared" si="30"/>
        <v>-59771.409999999996</v>
      </c>
      <c r="M127" s="2"/>
      <c r="N127" s="19">
        <f t="shared" si="31"/>
        <v>-0.61024530424916534</v>
      </c>
      <c r="O127" s="11"/>
      <c r="P127" s="2">
        <v>132470.39999999999</v>
      </c>
      <c r="Q127" s="2"/>
      <c r="R127" s="19">
        <f t="shared" si="32"/>
        <v>4.9088297771272021E-2</v>
      </c>
      <c r="S127" s="2"/>
      <c r="T127" s="2">
        <v>716238.84000000008</v>
      </c>
      <c r="U127" s="2"/>
      <c r="V127" s="19">
        <f t="shared" si="33"/>
        <v>0.12986670974917977</v>
      </c>
      <c r="W127" s="2"/>
      <c r="X127" s="2">
        <f t="shared" si="34"/>
        <v>-583768.44000000006</v>
      </c>
      <c r="Y127" s="2"/>
      <c r="Z127" s="19">
        <f t="shared" si="35"/>
        <v>-0.81504717057790388</v>
      </c>
    </row>
    <row r="128" spans="1:26" s="24" customFormat="1" hidden="1" outlineLevel="1" x14ac:dyDescent="0.25">
      <c r="A128" s="44"/>
      <c r="B128" s="11" t="str">
        <f>CONCATENATE("          ", "5041", " - ", "PURCHASES @ COST-LOGO GIFTS")</f>
        <v xml:space="preserve">          5041 - PURCHASES @ COST-LOGO GIFTS</v>
      </c>
      <c r="C128" s="11"/>
      <c r="D128" s="2">
        <v>5559.99</v>
      </c>
      <c r="E128" s="2"/>
      <c r="F128" s="19">
        <f t="shared" si="28"/>
        <v>2.379809352958635E-2</v>
      </c>
      <c r="G128" s="2"/>
      <c r="H128" s="2">
        <v>20607.12</v>
      </c>
      <c r="I128" s="2"/>
      <c r="J128" s="19">
        <f t="shared" si="29"/>
        <v>4.6411870054367373E-2</v>
      </c>
      <c r="K128" s="2"/>
      <c r="L128" s="2">
        <f t="shared" si="30"/>
        <v>-15047.13</v>
      </c>
      <c r="M128" s="2"/>
      <c r="N128" s="19">
        <f t="shared" si="31"/>
        <v>-0.73019082724805795</v>
      </c>
      <c r="O128" s="11"/>
      <c r="P128" s="2">
        <v>32201.759999999998</v>
      </c>
      <c r="Q128" s="2"/>
      <c r="R128" s="19">
        <f t="shared" si="32"/>
        <v>1.1932700313723191E-2</v>
      </c>
      <c r="S128" s="2"/>
      <c r="T128" s="2">
        <v>109403.67</v>
      </c>
      <c r="U128" s="2"/>
      <c r="V128" s="19">
        <f t="shared" si="33"/>
        <v>1.9836811219823045E-2</v>
      </c>
      <c r="W128" s="2"/>
      <c r="X128" s="2">
        <f t="shared" si="34"/>
        <v>-77201.91</v>
      </c>
      <c r="Y128" s="2"/>
      <c r="Z128" s="19">
        <f t="shared" si="35"/>
        <v>-0.70566106237569548</v>
      </c>
    </row>
    <row r="129" spans="1:26" s="24" customFormat="1" hidden="1" outlineLevel="1" x14ac:dyDescent="0.25">
      <c r="A129" s="44"/>
      <c r="B129" s="11" t="str">
        <f>CONCATENATE("          ", "5042", " - ", "PURCHASES @ COST-EVERYDAY GIFT")</f>
        <v xml:space="preserve">          5042 - PURCHASES @ COST-EVERYDAY GIFT</v>
      </c>
      <c r="C129" s="11"/>
      <c r="D129" s="2">
        <v>148.6</v>
      </c>
      <c r="E129" s="2"/>
      <c r="F129" s="19">
        <f t="shared" si="28"/>
        <v>6.3604371563555546E-4</v>
      </c>
      <c r="G129" s="2"/>
      <c r="H129" s="2">
        <v>7822.79</v>
      </c>
      <c r="I129" s="2"/>
      <c r="J129" s="19">
        <f t="shared" si="29"/>
        <v>1.761868290875215E-2</v>
      </c>
      <c r="K129" s="2"/>
      <c r="L129" s="2">
        <f t="shared" si="30"/>
        <v>-7674.19</v>
      </c>
      <c r="M129" s="2"/>
      <c r="N129" s="19">
        <f t="shared" si="31"/>
        <v>-0.9810042197221196</v>
      </c>
      <c r="O129" s="11"/>
      <c r="P129" s="2">
        <v>11061.28</v>
      </c>
      <c r="Q129" s="2"/>
      <c r="R129" s="19">
        <f t="shared" si="32"/>
        <v>4.0988734567980155E-3</v>
      </c>
      <c r="S129" s="2"/>
      <c r="T129" s="2">
        <v>88388.11</v>
      </c>
      <c r="U129" s="2"/>
      <c r="V129" s="19">
        <f t="shared" si="33"/>
        <v>1.6026320251843047E-2</v>
      </c>
      <c r="W129" s="2"/>
      <c r="X129" s="2">
        <f t="shared" si="34"/>
        <v>-77326.83</v>
      </c>
      <c r="Y129" s="2"/>
      <c r="Z129" s="19">
        <f t="shared" si="35"/>
        <v>-0.87485556598053749</v>
      </c>
    </row>
    <row r="130" spans="1:26" s="24" customFormat="1" hidden="1" outlineLevel="1" x14ac:dyDescent="0.25">
      <c r="A130" s="44"/>
      <c r="B130" s="11" t="str">
        <f>CONCATENATE("          ", "5043", " - ", "PURCHASES @ COST-CARDS")</f>
        <v xml:space="preserve">          5043 - PURCHASES @ COST-CARDS</v>
      </c>
      <c r="C130" s="11"/>
      <c r="D130" s="2">
        <v>2448</v>
      </c>
      <c r="E130" s="2"/>
      <c r="F130" s="19">
        <f t="shared" si="28"/>
        <v>1.0478028370631493E-2</v>
      </c>
      <c r="G130" s="2"/>
      <c r="H130" s="2">
        <v>3256.15</v>
      </c>
      <c r="I130" s="2"/>
      <c r="J130" s="19">
        <f t="shared" si="29"/>
        <v>7.3335823092954442E-3</v>
      </c>
      <c r="K130" s="2"/>
      <c r="L130" s="2">
        <f t="shared" si="30"/>
        <v>-808.15000000000009</v>
      </c>
      <c r="M130" s="2"/>
      <c r="N130" s="19">
        <f t="shared" si="31"/>
        <v>-0.24819188305207071</v>
      </c>
      <c r="O130" s="11"/>
      <c r="P130" s="2">
        <v>46621.23</v>
      </c>
      <c r="Q130" s="2"/>
      <c r="R130" s="19">
        <f t="shared" si="32"/>
        <v>1.727598633885729E-2</v>
      </c>
      <c r="S130" s="2"/>
      <c r="T130" s="2">
        <v>6784.89</v>
      </c>
      <c r="U130" s="2"/>
      <c r="V130" s="19">
        <f t="shared" si="33"/>
        <v>1.230219992412185E-3</v>
      </c>
      <c r="W130" s="2"/>
      <c r="X130" s="2">
        <f t="shared" si="34"/>
        <v>39836.340000000004</v>
      </c>
      <c r="Y130" s="2"/>
      <c r="Z130" s="19">
        <f t="shared" si="35"/>
        <v>5.8713317386133017</v>
      </c>
    </row>
    <row r="131" spans="1:26" s="24" customFormat="1" hidden="1" outlineLevel="1" x14ac:dyDescent="0.25">
      <c r="A131" s="44"/>
      <c r="B131" s="11" t="str">
        <f>CONCATENATE("          ", "5044", " - ", "PURCHASES @ COST-ACCESSORIES")</f>
        <v xml:space="preserve">          5044 - PURCHASES @ COST-ACCESSORIES</v>
      </c>
      <c r="C131" s="11"/>
      <c r="D131" s="2"/>
      <c r="E131" s="2"/>
      <c r="F131" s="19">
        <f t="shared" si="28"/>
        <v>0</v>
      </c>
      <c r="G131" s="2"/>
      <c r="H131" s="2">
        <v>432</v>
      </c>
      <c r="I131" s="2"/>
      <c r="J131" s="19">
        <f t="shared" si="29"/>
        <v>9.7296118348836258E-4</v>
      </c>
      <c r="K131" s="2"/>
      <c r="L131" s="2">
        <f t="shared" si="30"/>
        <v>-432</v>
      </c>
      <c r="M131" s="2"/>
      <c r="N131" s="19">
        <f t="shared" si="31"/>
        <v>-1</v>
      </c>
      <c r="O131" s="11"/>
      <c r="P131" s="2">
        <v>282.33</v>
      </c>
      <c r="Q131" s="2"/>
      <c r="R131" s="19">
        <f t="shared" si="32"/>
        <v>1.0462034620385558E-4</v>
      </c>
      <c r="S131" s="2"/>
      <c r="T131" s="2">
        <v>17687.580000000002</v>
      </c>
      <c r="U131" s="2"/>
      <c r="V131" s="19">
        <f t="shared" si="33"/>
        <v>3.2070696110607418E-3</v>
      </c>
      <c r="W131" s="2"/>
      <c r="X131" s="2">
        <f t="shared" si="34"/>
        <v>-17405.25</v>
      </c>
      <c r="Y131" s="2"/>
      <c r="Z131" s="19">
        <f t="shared" si="35"/>
        <v>-0.9840379520544924</v>
      </c>
    </row>
    <row r="132" spans="1:26" s="24" customFormat="1" hidden="1" outlineLevel="1" x14ac:dyDescent="0.25">
      <c r="A132" s="44"/>
      <c r="B132" s="11" t="str">
        <f>CONCATENATE("          ", "5045", " - ", "PURCHASES @ COST-SPECIAL ORDER")</f>
        <v xml:space="preserve">          5045 - PURCHASES @ COST-SPECIAL ORDER</v>
      </c>
      <c r="C132" s="11"/>
      <c r="D132" s="2">
        <v>10676.48</v>
      </c>
      <c r="E132" s="2"/>
      <c r="F132" s="19">
        <f t="shared" si="28"/>
        <v>4.5697900465065243E-2</v>
      </c>
      <c r="G132" s="2"/>
      <c r="H132" s="2">
        <v>-1045.9100000000001</v>
      </c>
      <c r="I132" s="2"/>
      <c r="J132" s="19">
        <f t="shared" si="29"/>
        <v>-2.3556246097738735E-3</v>
      </c>
      <c r="K132" s="2"/>
      <c r="L132" s="2">
        <f t="shared" si="30"/>
        <v>11722.39</v>
      </c>
      <c r="M132" s="2"/>
      <c r="N132" s="19">
        <f t="shared" si="31"/>
        <v>-11.207838150510081</v>
      </c>
      <c r="O132" s="11"/>
      <c r="P132" s="2">
        <v>87609</v>
      </c>
      <c r="Q132" s="2"/>
      <c r="R132" s="19">
        <f t="shared" si="32"/>
        <v>3.2464434918618584E-2</v>
      </c>
      <c r="S132" s="2"/>
      <c r="T132" s="2">
        <v>41180.579999999994</v>
      </c>
      <c r="U132" s="2"/>
      <c r="V132" s="19">
        <f t="shared" si="33"/>
        <v>7.4667640617798329E-3</v>
      </c>
      <c r="W132" s="2"/>
      <c r="X132" s="2">
        <f t="shared" si="34"/>
        <v>46428.420000000006</v>
      </c>
      <c r="Y132" s="2"/>
      <c r="Z132" s="19">
        <f t="shared" si="35"/>
        <v>1.1274348248616219</v>
      </c>
    </row>
    <row r="133" spans="1:26" s="24" customFormat="1" hidden="1" outlineLevel="1" x14ac:dyDescent="0.25">
      <c r="A133" s="44"/>
      <c r="B133" s="11" t="str">
        <f>CONCATENATE("          ", "5081", " - ", "PURCHASES @ COST-ELECTRONICS")</f>
        <v xml:space="preserve">          5081 - PURCHASES @ COST-ELECTRONICS</v>
      </c>
      <c r="C133" s="11"/>
      <c r="D133" s="2"/>
      <c r="E133" s="2"/>
      <c r="F133" s="19">
        <f t="shared" si="28"/>
        <v>0</v>
      </c>
      <c r="G133" s="2"/>
      <c r="H133" s="2">
        <v>526.74</v>
      </c>
      <c r="I133" s="2"/>
      <c r="J133" s="19">
        <f t="shared" si="29"/>
        <v>1.1863369763672688E-3</v>
      </c>
      <c r="K133" s="2"/>
      <c r="L133" s="2">
        <f t="shared" si="30"/>
        <v>-526.74</v>
      </c>
      <c r="M133" s="2"/>
      <c r="N133" s="19">
        <f t="shared" si="31"/>
        <v>-1</v>
      </c>
      <c r="O133" s="11"/>
      <c r="P133" s="2"/>
      <c r="Q133" s="2"/>
      <c r="R133" s="19">
        <f t="shared" si="32"/>
        <v>0</v>
      </c>
      <c r="S133" s="2"/>
      <c r="T133" s="2">
        <v>1771.55</v>
      </c>
      <c r="U133" s="2"/>
      <c r="V133" s="19">
        <f t="shared" si="33"/>
        <v>3.2121319985405896E-4</v>
      </c>
      <c r="W133" s="2"/>
      <c r="X133" s="2">
        <f t="shared" si="34"/>
        <v>-1771.55</v>
      </c>
      <c r="Y133" s="2"/>
      <c r="Z133" s="19">
        <f t="shared" si="35"/>
        <v>-1</v>
      </c>
    </row>
    <row r="134" spans="1:26" s="24" customFormat="1" hidden="1" outlineLevel="1" x14ac:dyDescent="0.25">
      <c r="A134" s="44"/>
      <c r="B134" s="11" t="str">
        <f>CONCATENATE("          ", "5082", " - ", "PURCHASES @ COST-COMPUTER HARD")</f>
        <v xml:space="preserve">          5082 - PURCHASES @ COST-COMPUTER HARD</v>
      </c>
      <c r="C134" s="11"/>
      <c r="D134" s="2"/>
      <c r="E134" s="2"/>
      <c r="F134" s="19">
        <f t="shared" si="28"/>
        <v>0</v>
      </c>
      <c r="G134" s="2"/>
      <c r="H134" s="2">
        <v>105</v>
      </c>
      <c r="I134" s="2"/>
      <c r="J134" s="19">
        <f t="shared" si="29"/>
        <v>2.3648362098675481E-4</v>
      </c>
      <c r="K134" s="2"/>
      <c r="L134" s="2">
        <f t="shared" si="30"/>
        <v>-105</v>
      </c>
      <c r="M134" s="2"/>
      <c r="N134" s="19">
        <f t="shared" si="31"/>
        <v>-1</v>
      </c>
      <c r="O134" s="11"/>
      <c r="P134" s="2"/>
      <c r="Q134" s="2"/>
      <c r="R134" s="19">
        <f t="shared" si="32"/>
        <v>0</v>
      </c>
      <c r="S134" s="2"/>
      <c r="T134" s="2">
        <v>349.6</v>
      </c>
      <c r="U134" s="2"/>
      <c r="V134" s="19">
        <f t="shared" si="33"/>
        <v>6.3388634059992116E-5</v>
      </c>
      <c r="W134" s="2"/>
      <c r="X134" s="2">
        <f t="shared" si="34"/>
        <v>-349.6</v>
      </c>
      <c r="Y134" s="2"/>
      <c r="Z134" s="19">
        <f t="shared" si="35"/>
        <v>-1</v>
      </c>
    </row>
    <row r="135" spans="1:26" s="24" customFormat="1" hidden="1" outlineLevel="1" x14ac:dyDescent="0.25">
      <c r="A135" s="44"/>
      <c r="B135" s="11" t="str">
        <f>CONCATENATE("          ", "5083", " - ", "PURCHASES @ COST-COMPUTER EQUI")</f>
        <v xml:space="preserve">          5083 - PURCHASES @ COST-COMPUTER EQUI</v>
      </c>
      <c r="C135" s="11"/>
      <c r="D135" s="2"/>
      <c r="E135" s="2"/>
      <c r="F135" s="19">
        <f t="shared" si="28"/>
        <v>0</v>
      </c>
      <c r="G135" s="2"/>
      <c r="H135" s="2">
        <v>147.19999999999999</v>
      </c>
      <c r="I135" s="2"/>
      <c r="J135" s="19">
        <f t="shared" si="29"/>
        <v>3.315275143738124E-4</v>
      </c>
      <c r="K135" s="2"/>
      <c r="L135" s="2">
        <f t="shared" si="30"/>
        <v>-147.19999999999999</v>
      </c>
      <c r="M135" s="2"/>
      <c r="N135" s="19">
        <f t="shared" si="31"/>
        <v>-1</v>
      </c>
      <c r="O135" s="11"/>
      <c r="P135" s="2"/>
      <c r="Q135" s="2"/>
      <c r="R135" s="19">
        <f t="shared" si="32"/>
        <v>0</v>
      </c>
      <c r="S135" s="2"/>
      <c r="T135" s="2">
        <v>379.35</v>
      </c>
      <c r="U135" s="2"/>
      <c r="V135" s="19">
        <f t="shared" si="33"/>
        <v>6.8782832753598426E-5</v>
      </c>
      <c r="W135" s="2"/>
      <c r="X135" s="2">
        <f t="shared" si="34"/>
        <v>-379.35</v>
      </c>
      <c r="Y135" s="2"/>
      <c r="Z135" s="19">
        <f t="shared" si="35"/>
        <v>-1</v>
      </c>
    </row>
    <row r="136" spans="1:26" s="24" customFormat="1" hidden="1" outlineLevel="1" x14ac:dyDescent="0.25">
      <c r="A136" s="44"/>
      <c r="B136" s="11" t="str">
        <f>CONCATENATE("          ", "5086", " - ", "PURCHASES @ COST-COMPUTER SUPP")</f>
        <v xml:space="preserve">          5086 - PURCHASES @ COST-COMPUTER SUPP</v>
      </c>
      <c r="C136" s="11"/>
      <c r="D136" s="2"/>
      <c r="E136" s="2"/>
      <c r="F136" s="19">
        <f t="shared" si="28"/>
        <v>0</v>
      </c>
      <c r="G136" s="2"/>
      <c r="H136" s="2">
        <v>151.26</v>
      </c>
      <c r="I136" s="2"/>
      <c r="J136" s="19">
        <f t="shared" si="29"/>
        <v>3.406715477186336E-4</v>
      </c>
      <c r="K136" s="2"/>
      <c r="L136" s="2">
        <f t="shared" si="30"/>
        <v>-151.26</v>
      </c>
      <c r="M136" s="2"/>
      <c r="N136" s="19">
        <f t="shared" si="31"/>
        <v>-1</v>
      </c>
      <c r="O136" s="11"/>
      <c r="P136" s="2"/>
      <c r="Q136" s="2"/>
      <c r="R136" s="19">
        <f t="shared" si="32"/>
        <v>0</v>
      </c>
      <c r="S136" s="2"/>
      <c r="T136" s="2">
        <v>379.26</v>
      </c>
      <c r="U136" s="2"/>
      <c r="V136" s="19">
        <f t="shared" si="33"/>
        <v>6.8766514169315237E-5</v>
      </c>
      <c r="W136" s="2"/>
      <c r="X136" s="2">
        <f t="shared" si="34"/>
        <v>-379.26</v>
      </c>
      <c r="Y136" s="2"/>
      <c r="Z136" s="19">
        <f t="shared" si="35"/>
        <v>-1</v>
      </c>
    </row>
    <row r="137" spans="1:26" s="24" customFormat="1" hidden="1" outlineLevel="1" x14ac:dyDescent="0.25">
      <c r="A137" s="44"/>
      <c r="B137" s="11" t="str">
        <f>CONCATENATE("          ", "5092", " - ", "PURCHASES @ COST-GRAD MERCH")</f>
        <v xml:space="preserve">          5092 - PURCHASES @ COST-GRAD MERCH</v>
      </c>
      <c r="C137" s="11"/>
      <c r="D137" s="2"/>
      <c r="E137" s="2"/>
      <c r="F137" s="19">
        <f t="shared" si="28"/>
        <v>0</v>
      </c>
      <c r="G137" s="2"/>
      <c r="H137" s="2"/>
      <c r="I137" s="2"/>
      <c r="J137" s="19">
        <f t="shared" si="29"/>
        <v>0</v>
      </c>
      <c r="K137" s="2"/>
      <c r="L137" s="2">
        <f t="shared" si="30"/>
        <v>0</v>
      </c>
      <c r="M137" s="2"/>
      <c r="N137" s="19">
        <f t="shared" si="31"/>
        <v>0</v>
      </c>
      <c r="O137" s="11"/>
      <c r="P137" s="2"/>
      <c r="Q137" s="2"/>
      <c r="R137" s="19">
        <f t="shared" si="32"/>
        <v>0</v>
      </c>
      <c r="S137" s="2"/>
      <c r="T137" s="2">
        <v>1924.14</v>
      </c>
      <c r="U137" s="2"/>
      <c r="V137" s="19">
        <f t="shared" si="33"/>
        <v>3.4888045291817284E-4</v>
      </c>
      <c r="W137" s="2"/>
      <c r="X137" s="2">
        <f t="shared" si="34"/>
        <v>-1924.14</v>
      </c>
      <c r="Y137" s="2"/>
      <c r="Z137" s="19">
        <f t="shared" si="35"/>
        <v>-1</v>
      </c>
    </row>
    <row r="138" spans="1:26" s="24" customFormat="1" hidden="1" outlineLevel="1" x14ac:dyDescent="0.25">
      <c r="A138" s="44"/>
      <c r="B138" s="11" t="str">
        <f>CONCATENATE("          ", "5095", " - ", "PURCHASES @ COST-CUSTOMER SERV")</f>
        <v xml:space="preserve">          5095 - PURCHASES @ COST-CUSTOMER SERV</v>
      </c>
      <c r="C138" s="11"/>
      <c r="D138" s="2"/>
      <c r="E138" s="2"/>
      <c r="F138" s="19">
        <f t="shared" si="28"/>
        <v>0</v>
      </c>
      <c r="G138" s="2"/>
      <c r="H138" s="2"/>
      <c r="I138" s="2"/>
      <c r="J138" s="19">
        <f t="shared" si="29"/>
        <v>0</v>
      </c>
      <c r="K138" s="2"/>
      <c r="L138" s="2">
        <f t="shared" si="30"/>
        <v>0</v>
      </c>
      <c r="M138" s="2"/>
      <c r="N138" s="19">
        <f t="shared" si="31"/>
        <v>0</v>
      </c>
      <c r="O138" s="11"/>
      <c r="P138" s="2"/>
      <c r="Q138" s="2"/>
      <c r="R138" s="19">
        <f t="shared" si="32"/>
        <v>0</v>
      </c>
      <c r="S138" s="2"/>
      <c r="T138" s="2">
        <v>0</v>
      </c>
      <c r="U138" s="2"/>
      <c r="V138" s="19">
        <f t="shared" si="33"/>
        <v>0</v>
      </c>
      <c r="W138" s="2"/>
      <c r="X138" s="2">
        <f t="shared" si="34"/>
        <v>0</v>
      </c>
      <c r="Y138" s="2"/>
      <c r="Z138" s="19">
        <f t="shared" si="35"/>
        <v>0</v>
      </c>
    </row>
    <row r="139" spans="1:26" s="24" customFormat="1" hidden="1" outlineLevel="1" x14ac:dyDescent="0.25">
      <c r="A139" s="44"/>
      <c r="B139" s="11" t="str">
        <f>CONCATENATE("          ", "5200", " - ", "PURCHASES OFFSET")</f>
        <v xml:space="preserve">          5200 - PURCHASES OFFSET</v>
      </c>
      <c r="C139" s="11"/>
      <c r="D139" s="2">
        <v>-172627.15</v>
      </c>
      <c r="E139" s="2"/>
      <c r="F139" s="19">
        <f t="shared" si="28"/>
        <v>-0.73888569250051395</v>
      </c>
      <c r="G139" s="2"/>
      <c r="H139" s="2">
        <v>-362376</v>
      </c>
      <c r="I139" s="2"/>
      <c r="J139" s="19">
        <f t="shared" si="29"/>
        <v>-0.81615227274948821</v>
      </c>
      <c r="K139" s="2"/>
      <c r="L139" s="2">
        <f t="shared" si="30"/>
        <v>189748.85</v>
      </c>
      <c r="M139" s="2"/>
      <c r="N139" s="19">
        <f t="shared" si="31"/>
        <v>-0.52362421904320378</v>
      </c>
      <c r="O139" s="11"/>
      <c r="P139" s="2">
        <v>-1745022.43</v>
      </c>
      <c r="Q139" s="2"/>
      <c r="R139" s="19">
        <f t="shared" si="32"/>
        <v>-0.64663638564833115</v>
      </c>
      <c r="S139" s="2"/>
      <c r="T139" s="2">
        <v>-2986522</v>
      </c>
      <c r="U139" s="2"/>
      <c r="V139" s="19">
        <f t="shared" si="33"/>
        <v>-0.54150901078408398</v>
      </c>
      <c r="W139" s="2"/>
      <c r="X139" s="2">
        <f t="shared" si="34"/>
        <v>1241499.57</v>
      </c>
      <c r="Y139" s="2"/>
      <c r="Z139" s="19">
        <f t="shared" si="35"/>
        <v>-0.41570079510547725</v>
      </c>
    </row>
    <row r="140" spans="1:26" s="24" customFormat="1" hidden="1" outlineLevel="1" x14ac:dyDescent="0.25">
      <c r="A140" s="44"/>
      <c r="B140" s="11" t="str">
        <f>CONCATENATE("          ", "5300", " - ", "COG$ OFFSET")</f>
        <v xml:space="preserve">          5300 - COG$ OFFSET</v>
      </c>
      <c r="C140" s="11"/>
      <c r="D140" s="2">
        <v>134493</v>
      </c>
      <c r="E140" s="2"/>
      <c r="F140" s="19">
        <f t="shared" si="28"/>
        <v>0.57566236505365243</v>
      </c>
      <c r="G140" s="2"/>
      <c r="H140" s="2">
        <v>170192.47</v>
      </c>
      <c r="I140" s="2"/>
      <c r="J140" s="19">
        <f t="shared" si="29"/>
        <v>0.38331172924075846</v>
      </c>
      <c r="K140" s="2"/>
      <c r="L140" s="2">
        <f t="shared" si="30"/>
        <v>-35699.47</v>
      </c>
      <c r="M140" s="2"/>
      <c r="N140" s="19">
        <f t="shared" si="31"/>
        <v>-0.20975939769838231</v>
      </c>
      <c r="O140" s="11"/>
      <c r="P140" s="2">
        <v>1391133</v>
      </c>
      <c r="Q140" s="2"/>
      <c r="R140" s="19">
        <f t="shared" si="32"/>
        <v>0.51549894122342022</v>
      </c>
      <c r="S140" s="2"/>
      <c r="T140" s="2">
        <v>2513090.4700000002</v>
      </c>
      <c r="U140" s="2"/>
      <c r="V140" s="19">
        <f t="shared" si="33"/>
        <v>0.4556675405105366</v>
      </c>
      <c r="W140" s="2"/>
      <c r="X140" s="2">
        <f t="shared" si="34"/>
        <v>-1121957.4700000002</v>
      </c>
      <c r="Y140" s="2"/>
      <c r="Z140" s="19">
        <f t="shared" si="35"/>
        <v>-0.44644531639165386</v>
      </c>
    </row>
    <row r="141" spans="1:26" s="24" customFormat="1" hidden="1" outlineLevel="1" x14ac:dyDescent="0.25">
      <c r="A141" s="44"/>
      <c r="B141" s="11" t="str">
        <f>CONCATENATE("          ", "5500", " - ", "FREIGHT-IN")</f>
        <v xml:space="preserve">          5500 - FREIGHT-IN</v>
      </c>
      <c r="C141" s="11"/>
      <c r="D141" s="2"/>
      <c r="E141" s="2"/>
      <c r="F141" s="19">
        <f t="shared" si="28"/>
        <v>0</v>
      </c>
      <c r="G141" s="2"/>
      <c r="H141" s="2">
        <v>80</v>
      </c>
      <c r="I141" s="2"/>
      <c r="J141" s="19">
        <f t="shared" si="29"/>
        <v>1.8017799694228936E-4</v>
      </c>
      <c r="K141" s="2"/>
      <c r="L141" s="2">
        <f t="shared" si="30"/>
        <v>-80</v>
      </c>
      <c r="M141" s="2"/>
      <c r="N141" s="19">
        <f t="shared" si="31"/>
        <v>-1</v>
      </c>
      <c r="O141" s="11"/>
      <c r="P141" s="2"/>
      <c r="Q141" s="2"/>
      <c r="R141" s="19">
        <f t="shared" si="32"/>
        <v>0</v>
      </c>
      <c r="S141" s="2"/>
      <c r="T141" s="2">
        <v>115.23</v>
      </c>
      <c r="U141" s="2"/>
      <c r="V141" s="19">
        <f t="shared" si="33"/>
        <v>2.0893227410563191E-5</v>
      </c>
      <c r="W141" s="2"/>
      <c r="X141" s="2">
        <f t="shared" si="34"/>
        <v>-115.23</v>
      </c>
      <c r="Y141" s="2"/>
      <c r="Z141" s="19">
        <f t="shared" si="35"/>
        <v>-1</v>
      </c>
    </row>
    <row r="142" spans="1:26" s="24" customFormat="1" hidden="1" outlineLevel="1" x14ac:dyDescent="0.25">
      <c r="A142" s="44"/>
      <c r="B142" s="11" t="str">
        <f>CONCATENATE("          ", "5501", " - ", "FREIGHT-IN-NEW TEXT")</f>
        <v xml:space="preserve">          5501 - FREIGHT-IN-NEW TEXT</v>
      </c>
      <c r="C142" s="11"/>
      <c r="D142" s="2">
        <v>2414.77</v>
      </c>
      <c r="E142" s="2"/>
      <c r="F142" s="19">
        <f t="shared" si="28"/>
        <v>1.0335795983884725E-2</v>
      </c>
      <c r="G142" s="2"/>
      <c r="H142" s="2">
        <v>4162.3900000000003</v>
      </c>
      <c r="I142" s="2"/>
      <c r="J142" s="19">
        <f t="shared" si="29"/>
        <v>9.3746386586576989E-3</v>
      </c>
      <c r="K142" s="2"/>
      <c r="L142" s="2">
        <f t="shared" si="30"/>
        <v>-1747.6200000000003</v>
      </c>
      <c r="M142" s="2"/>
      <c r="N142" s="19">
        <f t="shared" si="31"/>
        <v>-0.41985974404128401</v>
      </c>
      <c r="O142" s="11"/>
      <c r="P142" s="2">
        <v>37463.58</v>
      </c>
      <c r="Q142" s="2"/>
      <c r="R142" s="19">
        <f t="shared" si="32"/>
        <v>1.3882522968284775E-2</v>
      </c>
      <c r="S142" s="2"/>
      <c r="T142" s="2">
        <v>38669.939999999995</v>
      </c>
      <c r="U142" s="2"/>
      <c r="V142" s="19">
        <f t="shared" si="33"/>
        <v>7.011540834616279E-3</v>
      </c>
      <c r="W142" s="2"/>
      <c r="X142" s="2">
        <f t="shared" si="34"/>
        <v>-1206.3599999999933</v>
      </c>
      <c r="Y142" s="2"/>
      <c r="Z142" s="19">
        <f t="shared" si="35"/>
        <v>-3.1196324587004619E-2</v>
      </c>
    </row>
    <row r="143" spans="1:26" s="24" customFormat="1" hidden="1" outlineLevel="1" x14ac:dyDescent="0.25">
      <c r="A143" s="44"/>
      <c r="B143" s="11" t="str">
        <f>CONCATENATE("          ", "5502", " - ", "FREIGHT-IN-USED TEXT")</f>
        <v xml:space="preserve">          5502 - FREIGHT-IN-USED TEXT</v>
      </c>
      <c r="C143" s="11"/>
      <c r="D143" s="2">
        <v>2389.48</v>
      </c>
      <c r="E143" s="2"/>
      <c r="F143" s="19">
        <f t="shared" si="28"/>
        <v>1.0227548705496952E-2</v>
      </c>
      <c r="G143" s="2"/>
      <c r="H143" s="2">
        <v>563.29999999999995</v>
      </c>
      <c r="I143" s="2"/>
      <c r="J143" s="19">
        <f t="shared" si="29"/>
        <v>1.2686783209698948E-3</v>
      </c>
      <c r="K143" s="2"/>
      <c r="L143" s="2">
        <f t="shared" si="30"/>
        <v>1826.18</v>
      </c>
      <c r="M143" s="2"/>
      <c r="N143" s="19">
        <f t="shared" si="31"/>
        <v>3.2419314752352215</v>
      </c>
      <c r="O143" s="11"/>
      <c r="P143" s="2">
        <v>13522.57</v>
      </c>
      <c r="Q143" s="2"/>
      <c r="R143" s="19">
        <f t="shared" si="32"/>
        <v>5.0109303119253053E-3</v>
      </c>
      <c r="S143" s="2"/>
      <c r="T143" s="2">
        <v>7653.42</v>
      </c>
      <c r="U143" s="2"/>
      <c r="V143" s="19">
        <f t="shared" si="33"/>
        <v>1.3876997702729542E-3</v>
      </c>
      <c r="W143" s="2"/>
      <c r="X143" s="2">
        <f t="shared" si="34"/>
        <v>5869.15</v>
      </c>
      <c r="Y143" s="2"/>
      <c r="Z143" s="19">
        <f t="shared" si="35"/>
        <v>0.76686631597377375</v>
      </c>
    </row>
    <row r="144" spans="1:26" s="24" customFormat="1" hidden="1" outlineLevel="1" x14ac:dyDescent="0.25">
      <c r="A144" s="44"/>
      <c r="B144" s="11" t="str">
        <f>CONCATENATE("          ", "5504", " - ", "FREIGHT-IN-DIGITAL TEXT")</f>
        <v xml:space="preserve">          5504 - FREIGHT-IN-DIGITAL TEXT</v>
      </c>
      <c r="C144" s="11"/>
      <c r="D144" s="2"/>
      <c r="E144" s="2"/>
      <c r="F144" s="19">
        <f t="shared" si="28"/>
        <v>0</v>
      </c>
      <c r="G144" s="2"/>
      <c r="H144" s="2"/>
      <c r="I144" s="2"/>
      <c r="J144" s="19">
        <f t="shared" si="29"/>
        <v>0</v>
      </c>
      <c r="K144" s="2"/>
      <c r="L144" s="2">
        <f t="shared" si="30"/>
        <v>0</v>
      </c>
      <c r="M144" s="2"/>
      <c r="N144" s="19">
        <f t="shared" si="31"/>
        <v>0</v>
      </c>
      <c r="O144" s="11"/>
      <c r="P144" s="2">
        <v>21.98</v>
      </c>
      <c r="Q144" s="2"/>
      <c r="R144" s="19">
        <f t="shared" si="32"/>
        <v>8.1449198085954231E-6</v>
      </c>
      <c r="S144" s="2"/>
      <c r="T144" s="2">
        <v>105.97</v>
      </c>
      <c r="U144" s="2"/>
      <c r="V144" s="19">
        <f t="shared" si="33"/>
        <v>1.9214226405427242E-5</v>
      </c>
      <c r="W144" s="2"/>
      <c r="X144" s="2">
        <f t="shared" si="34"/>
        <v>-83.99</v>
      </c>
      <c r="Y144" s="2"/>
      <c r="Z144" s="19">
        <f t="shared" si="35"/>
        <v>-0.79258280645465695</v>
      </c>
    </row>
    <row r="145" spans="1:26" s="24" customFormat="1" hidden="1" outlineLevel="1" x14ac:dyDescent="0.25">
      <c r="A145" s="44"/>
      <c r="B145" s="11" t="str">
        <f>CONCATENATE("          ", "5513", " - ", "FREIGHT-IN-TRADE BOOKS")</f>
        <v xml:space="preserve">          5513 - FREIGHT-IN-TRADE BOOKS</v>
      </c>
      <c r="C145" s="11"/>
      <c r="D145" s="2"/>
      <c r="E145" s="2"/>
      <c r="F145" s="19">
        <f t="shared" si="28"/>
        <v>0</v>
      </c>
      <c r="G145" s="2"/>
      <c r="H145" s="2">
        <v>9.08</v>
      </c>
      <c r="I145" s="2"/>
      <c r="J145" s="19">
        <f t="shared" si="29"/>
        <v>2.0450202652949843E-5</v>
      </c>
      <c r="K145" s="2"/>
      <c r="L145" s="2">
        <f t="shared" si="30"/>
        <v>-9.08</v>
      </c>
      <c r="M145" s="2"/>
      <c r="N145" s="19">
        <f t="shared" si="31"/>
        <v>-1</v>
      </c>
      <c r="O145" s="11"/>
      <c r="P145" s="2">
        <v>26.46</v>
      </c>
      <c r="Q145" s="2"/>
      <c r="R145" s="19">
        <f t="shared" si="32"/>
        <v>9.8050308523855726E-6</v>
      </c>
      <c r="S145" s="2"/>
      <c r="T145" s="2">
        <v>21.41</v>
      </c>
      <c r="U145" s="2"/>
      <c r="V145" s="19">
        <f t="shared" si="33"/>
        <v>3.8820098833650778E-6</v>
      </c>
      <c r="W145" s="2"/>
      <c r="X145" s="2">
        <f t="shared" si="34"/>
        <v>5.0500000000000007</v>
      </c>
      <c r="Y145" s="2"/>
      <c r="Z145" s="19">
        <f t="shared" si="35"/>
        <v>0.23587108827650632</v>
      </c>
    </row>
    <row r="146" spans="1:26" s="24" customFormat="1" hidden="1" outlineLevel="1" x14ac:dyDescent="0.25">
      <c r="A146" s="44"/>
      <c r="B146" s="11" t="str">
        <f>CONCATENATE("          ", "5518", " - ", "FREIGHT-IN-STUDY GUIDES")</f>
        <v xml:space="preserve">          5518 - FREIGHT-IN-STUDY GUIDES</v>
      </c>
      <c r="C146" s="11"/>
      <c r="D146" s="2"/>
      <c r="E146" s="2"/>
      <c r="F146" s="19">
        <f t="shared" si="28"/>
        <v>0</v>
      </c>
      <c r="G146" s="2"/>
      <c r="H146" s="2">
        <v>8.8699999999999992</v>
      </c>
      <c r="I146" s="2"/>
      <c r="J146" s="19">
        <f t="shared" si="29"/>
        <v>1.9977235410976332E-5</v>
      </c>
      <c r="K146" s="2"/>
      <c r="L146" s="2">
        <f t="shared" si="30"/>
        <v>-8.8699999999999992</v>
      </c>
      <c r="M146" s="2"/>
      <c r="N146" s="19">
        <f t="shared" si="31"/>
        <v>-1</v>
      </c>
      <c r="O146" s="11"/>
      <c r="P146" s="2"/>
      <c r="Q146" s="2"/>
      <c r="R146" s="19">
        <f t="shared" si="32"/>
        <v>0</v>
      </c>
      <c r="S146" s="2"/>
      <c r="T146" s="2">
        <v>21.13</v>
      </c>
      <c r="U146" s="2"/>
      <c r="V146" s="19">
        <f t="shared" si="33"/>
        <v>3.8312409544840767E-6</v>
      </c>
      <c r="W146" s="2"/>
      <c r="X146" s="2">
        <f t="shared" si="34"/>
        <v>-21.13</v>
      </c>
      <c r="Y146" s="2"/>
      <c r="Z146" s="19">
        <f t="shared" si="35"/>
        <v>-1</v>
      </c>
    </row>
    <row r="147" spans="1:26" s="24" customFormat="1" hidden="1" outlineLevel="1" x14ac:dyDescent="0.25">
      <c r="A147" s="44"/>
      <c r="B147" s="11" t="str">
        <f>CONCATENATE("          ", "5525", " - ", "FREIGHT-IN-TEST FORMS")</f>
        <v xml:space="preserve">          5525 - FREIGHT-IN-TEST FORMS</v>
      </c>
      <c r="C147" s="11"/>
      <c r="D147" s="2"/>
      <c r="E147" s="2"/>
      <c r="F147" s="19">
        <f t="shared" si="28"/>
        <v>0</v>
      </c>
      <c r="G147" s="2"/>
      <c r="H147" s="2">
        <v>247.49</v>
      </c>
      <c r="I147" s="2"/>
      <c r="J147" s="19">
        <f t="shared" si="29"/>
        <v>5.5740315579059E-4</v>
      </c>
      <c r="K147" s="2"/>
      <c r="L147" s="2">
        <f t="shared" si="30"/>
        <v>-247.49</v>
      </c>
      <c r="M147" s="2"/>
      <c r="N147" s="19">
        <f t="shared" si="31"/>
        <v>-1</v>
      </c>
      <c r="O147" s="11"/>
      <c r="P147" s="2">
        <v>48.14</v>
      </c>
      <c r="Q147" s="2"/>
      <c r="R147" s="19">
        <f t="shared" si="32"/>
        <v>1.7838782510727193E-5</v>
      </c>
      <c r="S147" s="2"/>
      <c r="T147" s="2">
        <v>622.41</v>
      </c>
      <c r="U147" s="2"/>
      <c r="V147" s="19">
        <f t="shared" si="33"/>
        <v>1.1285388937436982E-4</v>
      </c>
      <c r="W147" s="2"/>
      <c r="X147" s="2">
        <f t="shared" si="34"/>
        <v>-574.27</v>
      </c>
      <c r="Y147" s="2"/>
      <c r="Z147" s="19">
        <f t="shared" si="35"/>
        <v>-0.92265548432705136</v>
      </c>
    </row>
    <row r="148" spans="1:26" s="24" customFormat="1" hidden="1" outlineLevel="1" x14ac:dyDescent="0.25">
      <c r="A148" s="44"/>
      <c r="B148" s="11" t="str">
        <f>CONCATENATE("          ", "5526", " - ", "FREIGHT-IN-WRITING INSTRUMENTS")</f>
        <v xml:space="preserve">          5526 - FREIGHT-IN-WRITING INSTRUMENTS</v>
      </c>
      <c r="C148" s="11"/>
      <c r="D148" s="2"/>
      <c r="E148" s="2"/>
      <c r="F148" s="19">
        <f t="shared" si="28"/>
        <v>0</v>
      </c>
      <c r="G148" s="2"/>
      <c r="H148" s="2">
        <v>42.86</v>
      </c>
      <c r="I148" s="2"/>
      <c r="J148" s="19">
        <f t="shared" si="29"/>
        <v>9.6530361861831528E-5</v>
      </c>
      <c r="K148" s="2"/>
      <c r="L148" s="2">
        <f t="shared" si="30"/>
        <v>-42.86</v>
      </c>
      <c r="M148" s="2"/>
      <c r="N148" s="19">
        <f t="shared" si="31"/>
        <v>-1</v>
      </c>
      <c r="O148" s="11"/>
      <c r="P148" s="2"/>
      <c r="Q148" s="2"/>
      <c r="R148" s="19">
        <f t="shared" si="32"/>
        <v>0</v>
      </c>
      <c r="S148" s="2"/>
      <c r="T148" s="2">
        <v>260.35000000000002</v>
      </c>
      <c r="U148" s="2"/>
      <c r="V148" s="19">
        <f t="shared" si="33"/>
        <v>4.7206037979173193E-5</v>
      </c>
      <c r="W148" s="2"/>
      <c r="X148" s="2">
        <f t="shared" si="34"/>
        <v>-260.35000000000002</v>
      </c>
      <c r="Y148" s="2"/>
      <c r="Z148" s="19">
        <f t="shared" si="35"/>
        <v>-1</v>
      </c>
    </row>
    <row r="149" spans="1:26" s="24" customFormat="1" hidden="1" outlineLevel="1" x14ac:dyDescent="0.25">
      <c r="A149" s="44"/>
      <c r="B149" s="11" t="str">
        <f>CONCATENATE("          ", "5527", " - ", "FREIGHT-IN-SCHOOL SUPPLIES")</f>
        <v xml:space="preserve">          5527 - FREIGHT-IN-SCHOOL SUPPLIES</v>
      </c>
      <c r="C149" s="11"/>
      <c r="D149" s="2">
        <v>121.5</v>
      </c>
      <c r="E149" s="2"/>
      <c r="F149" s="19">
        <f t="shared" si="28"/>
        <v>5.2004920221884244E-4</v>
      </c>
      <c r="G149" s="2"/>
      <c r="H149" s="2">
        <v>25.34</v>
      </c>
      <c r="I149" s="2"/>
      <c r="J149" s="19">
        <f t="shared" si="29"/>
        <v>5.7071380531470161E-5</v>
      </c>
      <c r="K149" s="2"/>
      <c r="L149" s="2">
        <f t="shared" si="30"/>
        <v>96.16</v>
      </c>
      <c r="M149" s="2"/>
      <c r="N149" s="19">
        <f t="shared" si="31"/>
        <v>3.7947908445146012</v>
      </c>
      <c r="O149" s="11"/>
      <c r="P149" s="2">
        <v>177.5</v>
      </c>
      <c r="Q149" s="2"/>
      <c r="R149" s="19">
        <f t="shared" si="32"/>
        <v>6.577448890016777E-5</v>
      </c>
      <c r="S149" s="2"/>
      <c r="T149" s="2">
        <v>897.92</v>
      </c>
      <c r="U149" s="2"/>
      <c r="V149" s="19">
        <f t="shared" si="33"/>
        <v>1.6280870221724289E-4</v>
      </c>
      <c r="W149" s="2"/>
      <c r="X149" s="2">
        <f t="shared" si="34"/>
        <v>-720.42</v>
      </c>
      <c r="Y149" s="2"/>
      <c r="Z149" s="19">
        <f t="shared" si="35"/>
        <v>-0.80232091945830364</v>
      </c>
    </row>
    <row r="150" spans="1:26" s="24" customFormat="1" hidden="1" outlineLevel="1" x14ac:dyDescent="0.25">
      <c r="A150" s="44"/>
      <c r="B150" s="11" t="str">
        <f>CONCATENATE("          ", "5528", " - ", "FREIGHT-IN-ART/TECH")</f>
        <v xml:space="preserve">          5528 - FREIGHT-IN-ART/TECH</v>
      </c>
      <c r="C150" s="11"/>
      <c r="D150" s="2">
        <v>4.29</v>
      </c>
      <c r="E150" s="2"/>
      <c r="F150" s="19">
        <f t="shared" si="28"/>
        <v>1.8362231090689991E-5</v>
      </c>
      <c r="G150" s="2"/>
      <c r="H150" s="2">
        <v>187.14</v>
      </c>
      <c r="I150" s="2"/>
      <c r="J150" s="19">
        <f t="shared" si="29"/>
        <v>4.2148137934725036E-4</v>
      </c>
      <c r="K150" s="2"/>
      <c r="L150" s="2">
        <f t="shared" si="30"/>
        <v>-182.85</v>
      </c>
      <c r="M150" s="2"/>
      <c r="N150" s="19">
        <f t="shared" si="31"/>
        <v>-0.97707598589291444</v>
      </c>
      <c r="O150" s="11"/>
      <c r="P150" s="2">
        <v>290.20999999999998</v>
      </c>
      <c r="Q150" s="2"/>
      <c r="R150" s="19">
        <f t="shared" si="32"/>
        <v>1.0754036295052218E-4</v>
      </c>
      <c r="S150" s="2"/>
      <c r="T150" s="2">
        <v>1110.6400000000001</v>
      </c>
      <c r="U150" s="2"/>
      <c r="V150" s="19">
        <f t="shared" si="33"/>
        <v>2.0137858275855162E-4</v>
      </c>
      <c r="W150" s="2"/>
      <c r="X150" s="2">
        <f t="shared" si="34"/>
        <v>-820.43000000000006</v>
      </c>
      <c r="Y150" s="2"/>
      <c r="Z150" s="19">
        <f t="shared" si="35"/>
        <v>-0.7387002088885688</v>
      </c>
    </row>
    <row r="151" spans="1:26" s="24" customFormat="1" hidden="1" outlineLevel="1" x14ac:dyDescent="0.25">
      <c r="A151" s="44"/>
      <c r="B151" s="11" t="str">
        <f>CONCATENATE("          ", "5540", " - ", "FREIGHT-IN-LOGO CLOTHING")</f>
        <v xml:space="preserve">          5540 - FREIGHT-IN-LOGO CLOTHING</v>
      </c>
      <c r="C151" s="11"/>
      <c r="D151" s="2">
        <v>907.48</v>
      </c>
      <c r="E151" s="2"/>
      <c r="F151" s="19">
        <f t="shared" si="28"/>
        <v>3.8842325105313182E-3</v>
      </c>
      <c r="G151" s="2"/>
      <c r="H151" s="2">
        <v>4036.06</v>
      </c>
      <c r="I151" s="2"/>
      <c r="J151" s="19">
        <f t="shared" si="29"/>
        <v>9.0901150792362054E-3</v>
      </c>
      <c r="K151" s="2"/>
      <c r="L151" s="2">
        <f t="shared" si="30"/>
        <v>-3128.58</v>
      </c>
      <c r="M151" s="2"/>
      <c r="N151" s="19">
        <f t="shared" si="31"/>
        <v>-0.77515696000555001</v>
      </c>
      <c r="O151" s="11"/>
      <c r="P151" s="2">
        <v>5442.96</v>
      </c>
      <c r="Q151" s="2"/>
      <c r="R151" s="19">
        <f t="shared" si="32"/>
        <v>2.0169459836848289E-3</v>
      </c>
      <c r="S151" s="2"/>
      <c r="T151" s="2">
        <v>24277.390000000003</v>
      </c>
      <c r="U151" s="2"/>
      <c r="V151" s="19">
        <f t="shared" si="33"/>
        <v>4.401918165451121E-3</v>
      </c>
      <c r="W151" s="2"/>
      <c r="X151" s="2">
        <f t="shared" si="34"/>
        <v>-18834.430000000004</v>
      </c>
      <c r="Y151" s="2"/>
      <c r="Z151" s="19">
        <f t="shared" si="35"/>
        <v>-0.77580127023539192</v>
      </c>
    </row>
    <row r="152" spans="1:26" s="24" customFormat="1" hidden="1" outlineLevel="1" x14ac:dyDescent="0.25">
      <c r="A152" s="44"/>
      <c r="B152" s="11" t="str">
        <f>CONCATENATE("          ", "5541", " - ", "FREIGHT-IN-LOGO GIFTS")</f>
        <v xml:space="preserve">          5541 - FREIGHT-IN-LOGO GIFTS</v>
      </c>
      <c r="C152" s="11"/>
      <c r="D152" s="2">
        <v>84.07</v>
      </c>
      <c r="E152" s="2"/>
      <c r="F152" s="19">
        <f t="shared" si="28"/>
        <v>3.598398060126591E-4</v>
      </c>
      <c r="G152" s="2"/>
      <c r="H152" s="2">
        <v>709.94</v>
      </c>
      <c r="I152" s="2"/>
      <c r="J152" s="19">
        <f t="shared" si="29"/>
        <v>1.5989445893651115E-3</v>
      </c>
      <c r="K152" s="2"/>
      <c r="L152" s="2">
        <f t="shared" si="30"/>
        <v>-625.87000000000012</v>
      </c>
      <c r="M152" s="2"/>
      <c r="N152" s="19">
        <f t="shared" si="31"/>
        <v>-0.88158154210214956</v>
      </c>
      <c r="O152" s="11"/>
      <c r="P152" s="2">
        <v>1519.94</v>
      </c>
      <c r="Q152" s="2"/>
      <c r="R152" s="19">
        <f t="shared" si="32"/>
        <v>5.6322972765589295E-4</v>
      </c>
      <c r="S152" s="2"/>
      <c r="T152" s="2">
        <v>3562.77</v>
      </c>
      <c r="U152" s="2"/>
      <c r="V152" s="19">
        <f t="shared" si="33"/>
        <v>6.4599291696200824E-4</v>
      </c>
      <c r="W152" s="2"/>
      <c r="X152" s="2">
        <f t="shared" si="34"/>
        <v>-2042.83</v>
      </c>
      <c r="Y152" s="2"/>
      <c r="Z152" s="19">
        <f t="shared" si="35"/>
        <v>-0.57338250855373762</v>
      </c>
    </row>
    <row r="153" spans="1:26" s="24" customFormat="1" hidden="1" outlineLevel="1" x14ac:dyDescent="0.25">
      <c r="A153" s="44"/>
      <c r="B153" s="11" t="str">
        <f>CONCATENATE("          ", "5542", " - ", "FREIGHT-IN-EVERYDAY GIFTS")</f>
        <v xml:space="preserve">          5542 - FREIGHT-IN-EVERYDAY GIFTS</v>
      </c>
      <c r="C153" s="11"/>
      <c r="D153" s="2"/>
      <c r="E153" s="2"/>
      <c r="F153" s="19">
        <f t="shared" si="28"/>
        <v>0</v>
      </c>
      <c r="G153" s="2"/>
      <c r="H153" s="2">
        <v>194.82</v>
      </c>
      <c r="I153" s="2"/>
      <c r="J153" s="19">
        <f t="shared" si="29"/>
        <v>4.3877846705371018E-4</v>
      </c>
      <c r="K153" s="2"/>
      <c r="L153" s="2">
        <f t="shared" si="30"/>
        <v>-194.82</v>
      </c>
      <c r="M153" s="2"/>
      <c r="N153" s="19">
        <f t="shared" si="31"/>
        <v>-1</v>
      </c>
      <c r="O153" s="11"/>
      <c r="P153" s="2">
        <v>196.55</v>
      </c>
      <c r="Q153" s="2"/>
      <c r="R153" s="19">
        <f t="shared" si="32"/>
        <v>7.2833666441284373E-5</v>
      </c>
      <c r="S153" s="2"/>
      <c r="T153" s="2">
        <v>1708.33</v>
      </c>
      <c r="U153" s="2"/>
      <c r="V153" s="19">
        <f t="shared" si="33"/>
        <v>3.0975030098314164E-4</v>
      </c>
      <c r="W153" s="2"/>
      <c r="X153" s="2">
        <f t="shared" si="34"/>
        <v>-1511.78</v>
      </c>
      <c r="Y153" s="2"/>
      <c r="Z153" s="19">
        <f t="shared" si="35"/>
        <v>-0.88494611696803316</v>
      </c>
    </row>
    <row r="154" spans="1:26" s="24" customFormat="1" hidden="1" outlineLevel="1" x14ac:dyDescent="0.25">
      <c r="A154" s="44"/>
      <c r="B154" s="11" t="str">
        <f>CONCATENATE("          ", "5543", " - ", "FREIGHT-IN-CARDS")</f>
        <v xml:space="preserve">          5543 - FREIGHT-IN-CARDS</v>
      </c>
      <c r="C154" s="11"/>
      <c r="D154" s="2">
        <v>605.41</v>
      </c>
      <c r="E154" s="2"/>
      <c r="F154" s="19">
        <f t="shared" si="28"/>
        <v>2.5913003087679786E-3</v>
      </c>
      <c r="G154" s="2"/>
      <c r="H154" s="2">
        <v>77.760000000000005</v>
      </c>
      <c r="I154" s="2"/>
      <c r="J154" s="19">
        <f t="shared" si="29"/>
        <v>1.7513301302790528E-4</v>
      </c>
      <c r="K154" s="2"/>
      <c r="L154" s="2">
        <f t="shared" si="30"/>
        <v>527.65</v>
      </c>
      <c r="M154" s="2"/>
      <c r="N154" s="19">
        <f t="shared" si="31"/>
        <v>6.7856224279835384</v>
      </c>
      <c r="O154" s="11"/>
      <c r="P154" s="2">
        <v>7117.72</v>
      </c>
      <c r="Q154" s="2"/>
      <c r="R154" s="19">
        <f t="shared" si="32"/>
        <v>2.6375458880817022E-3</v>
      </c>
      <c r="S154" s="2"/>
      <c r="T154" s="2">
        <v>121.35</v>
      </c>
      <c r="U154" s="2"/>
      <c r="V154" s="19">
        <f t="shared" si="33"/>
        <v>2.2002891141819344E-5</v>
      </c>
      <c r="W154" s="2"/>
      <c r="X154" s="2">
        <f t="shared" si="34"/>
        <v>6996.37</v>
      </c>
      <c r="Y154" s="2"/>
      <c r="Z154" s="19">
        <f t="shared" si="35"/>
        <v>57.654470539761022</v>
      </c>
    </row>
    <row r="155" spans="1:26" s="24" customFormat="1" hidden="1" outlineLevel="1" x14ac:dyDescent="0.25">
      <c r="A155" s="44"/>
      <c r="B155" s="11" t="str">
        <f>CONCATENATE("          ", "5544", " - ", "FREIGHT-IN-ACCESSORIES")</f>
        <v xml:space="preserve">          5544 - FREIGHT-IN-ACCESSORIES</v>
      </c>
      <c r="C155" s="11"/>
      <c r="D155" s="2"/>
      <c r="E155" s="2"/>
      <c r="F155" s="19">
        <f t="shared" si="28"/>
        <v>0</v>
      </c>
      <c r="G155" s="2"/>
      <c r="H155" s="2">
        <v>28.4</v>
      </c>
      <c r="I155" s="2"/>
      <c r="J155" s="19">
        <f t="shared" si="29"/>
        <v>6.396318891451272E-5</v>
      </c>
      <c r="K155" s="2"/>
      <c r="L155" s="2">
        <f t="shared" si="30"/>
        <v>-28.4</v>
      </c>
      <c r="M155" s="2"/>
      <c r="N155" s="19">
        <f t="shared" si="31"/>
        <v>-1</v>
      </c>
      <c r="O155" s="11"/>
      <c r="P155" s="2"/>
      <c r="Q155" s="2"/>
      <c r="R155" s="19">
        <f t="shared" si="32"/>
        <v>0</v>
      </c>
      <c r="S155" s="2"/>
      <c r="T155" s="2">
        <v>442.31</v>
      </c>
      <c r="U155" s="2"/>
      <c r="V155" s="19">
        <f t="shared" si="33"/>
        <v>8.0198589047697684E-5</v>
      </c>
      <c r="W155" s="2"/>
      <c r="X155" s="2">
        <f t="shared" si="34"/>
        <v>-442.31</v>
      </c>
      <c r="Y155" s="2"/>
      <c r="Z155" s="19">
        <f t="shared" si="35"/>
        <v>-1</v>
      </c>
    </row>
    <row r="156" spans="1:26" s="24" customFormat="1" hidden="1" outlineLevel="1" x14ac:dyDescent="0.25">
      <c r="A156" s="44"/>
      <c r="B156" s="11" t="str">
        <f>CONCATENATE("          ", "5545", " - ", "FREIGHT-IN-SPECIAL ORDERS")</f>
        <v xml:space="preserve">          5545 - FREIGHT-IN-SPECIAL ORDERS</v>
      </c>
      <c r="C156" s="11"/>
      <c r="D156" s="2">
        <v>225.93</v>
      </c>
      <c r="E156" s="2"/>
      <c r="F156" s="19">
        <f t="shared" si="28"/>
        <v>9.6703470170619811E-4</v>
      </c>
      <c r="G156" s="2"/>
      <c r="H156" s="2">
        <v>322.61</v>
      </c>
      <c r="I156" s="2"/>
      <c r="J156" s="19">
        <f t="shared" si="29"/>
        <v>7.2659029491939971E-4</v>
      </c>
      <c r="K156" s="2"/>
      <c r="L156" s="2">
        <f t="shared" si="30"/>
        <v>-96.68</v>
      </c>
      <c r="M156" s="2"/>
      <c r="N156" s="19">
        <f t="shared" si="31"/>
        <v>-0.29968072905365611</v>
      </c>
      <c r="O156" s="11"/>
      <c r="P156" s="2">
        <v>1113.79</v>
      </c>
      <c r="Q156" s="2"/>
      <c r="R156" s="19">
        <f t="shared" si="32"/>
        <v>4.1272658023728371E-4</v>
      </c>
      <c r="S156" s="2"/>
      <c r="T156" s="2">
        <v>827.67</v>
      </c>
      <c r="U156" s="2"/>
      <c r="V156" s="19">
        <f t="shared" si="33"/>
        <v>1.5007114059620614E-4</v>
      </c>
      <c r="W156" s="2"/>
      <c r="X156" s="2">
        <f t="shared" si="34"/>
        <v>286.12</v>
      </c>
      <c r="Y156" s="2"/>
      <c r="Z156" s="19">
        <f t="shared" si="35"/>
        <v>0.34569333188348017</v>
      </c>
    </row>
    <row r="157" spans="1:26" s="24" customFormat="1" hidden="1" outlineLevel="1" x14ac:dyDescent="0.25">
      <c r="A157" s="44"/>
      <c r="B157" s="11" t="str">
        <f>CONCATENATE("          ", "5592", " - ", "FREIGHT-IN-GRAD MERCH")</f>
        <v xml:space="preserve">          5592 - FREIGHT-IN-GRAD MERCH</v>
      </c>
      <c r="C157" s="11"/>
      <c r="D157" s="2"/>
      <c r="E157" s="2"/>
      <c r="F157" s="19">
        <f t="shared" si="28"/>
        <v>0</v>
      </c>
      <c r="G157" s="2"/>
      <c r="H157" s="2"/>
      <c r="I157" s="2"/>
      <c r="J157" s="19">
        <f t="shared" si="29"/>
        <v>0</v>
      </c>
      <c r="K157" s="2"/>
      <c r="L157" s="2">
        <f t="shared" si="30"/>
        <v>0</v>
      </c>
      <c r="M157" s="2"/>
      <c r="N157" s="19">
        <f t="shared" si="31"/>
        <v>0</v>
      </c>
      <c r="O157" s="11"/>
      <c r="P157" s="2"/>
      <c r="Q157" s="2"/>
      <c r="R157" s="19">
        <f t="shared" si="32"/>
        <v>0</v>
      </c>
      <c r="S157" s="2"/>
      <c r="T157" s="2">
        <v>105.78</v>
      </c>
      <c r="U157" s="2"/>
      <c r="V157" s="19">
        <f t="shared" si="33"/>
        <v>1.917977606082942E-5</v>
      </c>
      <c r="W157" s="2"/>
      <c r="X157" s="2">
        <f t="shared" si="34"/>
        <v>-105.78</v>
      </c>
      <c r="Y157" s="2"/>
      <c r="Z157" s="19">
        <f t="shared" si="35"/>
        <v>-1</v>
      </c>
    </row>
    <row r="158" spans="1:26" x14ac:dyDescent="0.25">
      <c r="A158" s="9"/>
      <c r="B158" s="10"/>
      <c r="C158" s="10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O158" s="10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x14ac:dyDescent="0.25">
      <c r="A159" s="10"/>
      <c r="B159" s="28" t="s">
        <v>6</v>
      </c>
      <c r="C159" s="28"/>
      <c r="D159" s="20">
        <f>D12-D107</f>
        <v>100782.33999999997</v>
      </c>
      <c r="E159" s="14"/>
      <c r="F159" s="21">
        <f>IF(D$12=0,0,D159/D$12)</f>
        <v>0.43137263798146597</v>
      </c>
      <c r="G159" s="14"/>
      <c r="H159" s="20">
        <f>H12-H107</f>
        <v>249842.31999999977</v>
      </c>
      <c r="I159" s="14"/>
      <c r="J159" s="21">
        <f>IF(H$12=0,0,H159/H$12)</f>
        <v>0.56270110961268049</v>
      </c>
      <c r="K159" s="15"/>
      <c r="L159" s="20">
        <f>+D159-H159</f>
        <v>-149059.97999999981</v>
      </c>
      <c r="M159" s="15"/>
      <c r="N159" s="21">
        <f>IF(H159=0,0,L159/H159)</f>
        <v>-0.59661621778087848</v>
      </c>
      <c r="O159" s="29"/>
      <c r="P159" s="20">
        <f>P12-P107</f>
        <v>963991.22999999952</v>
      </c>
      <c r="Q159" s="14"/>
      <c r="R159" s="21">
        <f>IF(P$12=0,0,P159/P$12)</f>
        <v>0.35721707299996647</v>
      </c>
      <c r="S159" s="14"/>
      <c r="T159" s="20">
        <f>T12-T107</f>
        <v>2294757.3499999978</v>
      </c>
      <c r="U159" s="14"/>
      <c r="V159" s="21">
        <f>IF(T$12=0,0,T159/T$12)</f>
        <v>0.41607990250465415</v>
      </c>
      <c r="W159" s="15"/>
      <c r="X159" s="20">
        <f>+P159-T159</f>
        <v>-1330766.1199999982</v>
      </c>
      <c r="Y159" s="15"/>
      <c r="Z159" s="21">
        <f>IF(T159=0,0,X159/T159)</f>
        <v>-0.57991583293109383</v>
      </c>
    </row>
    <row r="160" spans="1:26" x14ac:dyDescent="0.25">
      <c r="A160" s="9"/>
      <c r="B160" s="10"/>
      <c r="C160" s="9"/>
      <c r="D160" s="1"/>
      <c r="E160" s="1"/>
      <c r="F160" s="5"/>
      <c r="G160" s="1"/>
      <c r="H160" s="1"/>
      <c r="I160" s="1"/>
      <c r="J160" s="5"/>
      <c r="K160" s="1"/>
      <c r="L160" s="1"/>
      <c r="M160" s="1"/>
      <c r="N160" s="5"/>
      <c r="O160" s="37"/>
      <c r="P160" s="1"/>
      <c r="Q160" s="1"/>
      <c r="R160" s="5"/>
      <c r="S160" s="1"/>
      <c r="T160" s="1"/>
      <c r="U160" s="1"/>
      <c r="V160" s="5"/>
      <c r="W160" s="1"/>
      <c r="X160" s="1"/>
      <c r="Y160" s="1"/>
      <c r="Z160" s="5"/>
    </row>
    <row r="161" spans="1:26" s="23" customFormat="1" x14ac:dyDescent="0.25">
      <c r="A161" s="10"/>
      <c r="B161" s="29" t="s">
        <v>9</v>
      </c>
      <c r="C161" s="10"/>
      <c r="D161" s="22">
        <f>SUM(OSRRefD22x_0)</f>
        <v>248625.32000000004</v>
      </c>
      <c r="E161" s="22"/>
      <c r="F161" s="36">
        <f t="shared" ref="F161:F172" si="36">IF(D$12=0,0,D161/D$12)</f>
        <v>1.0641761260691722</v>
      </c>
      <c r="G161" s="22"/>
      <c r="H161" s="22">
        <f>SUM(OSRRefH22x_0)</f>
        <v>344082.65</v>
      </c>
      <c r="I161" s="22"/>
      <c r="J161" s="36">
        <f t="shared" ref="J161:J172" si="37">IF(H$12=0,0,H161/H$12)</f>
        <v>0.77495153324493538</v>
      </c>
      <c r="K161" s="4"/>
      <c r="L161" s="22">
        <f t="shared" ref="L161:L172" si="38">+D161-H161</f>
        <v>-95457.329999999987</v>
      </c>
      <c r="M161" s="4"/>
      <c r="N161" s="36">
        <f t="shared" ref="N161:N172" si="39">IF(H161=0,0,L161/H161)</f>
        <v>-0.27742558364974224</v>
      </c>
      <c r="O161" s="10"/>
      <c r="P161" s="22">
        <f>SUM(OSRRefP22x_0)</f>
        <v>1607425.1699999985</v>
      </c>
      <c r="Q161" s="22"/>
      <c r="R161" s="36">
        <f t="shared" ref="R161:R172" si="40">IF(P$12=0,0,P161/P$12)</f>
        <v>0.59564827606769122</v>
      </c>
      <c r="S161" s="22"/>
      <c r="T161" s="22">
        <f>SUM(OSRRefT22x_0)</f>
        <v>2240086.38</v>
      </c>
      <c r="U161" s="22"/>
      <c r="V161" s="36">
        <f t="shared" ref="V161:V172" si="41">IF(T$12=0,0,T161/T$12)</f>
        <v>0.40616709326256412</v>
      </c>
      <c r="W161" s="4"/>
      <c r="X161" s="22">
        <f t="shared" ref="X161:X172" si="42">+P161-T161</f>
        <v>-632661.21000000136</v>
      </c>
      <c r="Y161" s="4"/>
      <c r="Z161" s="36">
        <f t="shared" ref="Z161:Z172" si="43">IF(T161=0,0,X161/T161)</f>
        <v>-0.28242714908163558</v>
      </c>
    </row>
    <row r="162" spans="1:26" s="25" customFormat="1" outlineLevel="1" collapsed="1" x14ac:dyDescent="0.25">
      <c r="A162" s="26"/>
      <c r="B162" s="13" t="str">
        <f>CONCATENATE("     ","*Benefits                                         ")</f>
        <v xml:space="preserve">     *Benefits                                         </v>
      </c>
      <c r="C162" s="13"/>
      <c r="D162" s="1">
        <f>SUM(OSRRefD22_0x_0)</f>
        <v>43322.830000000009</v>
      </c>
      <c r="E162" s="1"/>
      <c r="F162" s="5">
        <f t="shared" si="36"/>
        <v>0.18543212493302502</v>
      </c>
      <c r="G162" s="1"/>
      <c r="H162" s="1">
        <f>SUM(OSRRefH22_0x_0)</f>
        <v>41617.129999999997</v>
      </c>
      <c r="I162" s="1"/>
      <c r="J162" s="5">
        <f t="shared" si="37"/>
        <v>9.3731139023585736E-2</v>
      </c>
      <c r="K162" s="1"/>
      <c r="L162" s="1">
        <f t="shared" si="38"/>
        <v>1705.7000000000116</v>
      </c>
      <c r="M162" s="1"/>
      <c r="N162" s="5">
        <f t="shared" si="39"/>
        <v>4.0985526873189279E-2</v>
      </c>
      <c r="O162" s="13"/>
      <c r="P162" s="1">
        <f>SUM(OSRRefP22_0x_0)</f>
        <v>267864.59999999998</v>
      </c>
      <c r="Q162" s="1"/>
      <c r="R162" s="5">
        <f t="shared" si="40"/>
        <v>9.9260040334917629E-2</v>
      </c>
      <c r="S162" s="1"/>
      <c r="T162" s="1">
        <f>SUM(OSRRefT22_0x_0)</f>
        <v>301746.37</v>
      </c>
      <c r="U162" s="1"/>
      <c r="V162" s="5">
        <f t="shared" si="41"/>
        <v>5.4711928566535985E-2</v>
      </c>
      <c r="W162" s="1"/>
      <c r="X162" s="1">
        <f t="shared" si="42"/>
        <v>-33881.770000000019</v>
      </c>
      <c r="Y162" s="1"/>
      <c r="Z162" s="5">
        <f t="shared" si="43"/>
        <v>-0.11228559269826517</v>
      </c>
    </row>
    <row r="163" spans="1:26" s="24" customFormat="1" hidden="1" outlineLevel="2" x14ac:dyDescent="0.25">
      <c r="A163" s="27"/>
      <c r="B163" s="11" t="str">
        <f>CONCATENATE("          ", "6111", " - ", "F.I.C.A.")</f>
        <v xml:space="preserve">          6111 - F.I.C.A.</v>
      </c>
      <c r="C163" s="11"/>
      <c r="D163" s="7">
        <v>7317.04</v>
      </c>
      <c r="E163" s="2"/>
      <c r="F163" s="6">
        <f t="shared" si="36"/>
        <v>3.1318689832126413E-2</v>
      </c>
      <c r="G163" s="2"/>
      <c r="H163" s="7">
        <v>6245.27</v>
      </c>
      <c r="I163" s="2"/>
      <c r="J163" s="6">
        <f t="shared" si="37"/>
        <v>1.4065752987047144E-2</v>
      </c>
      <c r="K163" s="2"/>
      <c r="L163" s="7">
        <f t="shared" si="38"/>
        <v>1071.7699999999995</v>
      </c>
      <c r="M163" s="2"/>
      <c r="N163" s="6">
        <f t="shared" si="39"/>
        <v>0.17161307677650436</v>
      </c>
      <c r="O163" s="11"/>
      <c r="P163" s="7">
        <v>55517.24</v>
      </c>
      <c r="Q163" s="2"/>
      <c r="R163" s="6">
        <f t="shared" si="40"/>
        <v>2.057249625998845E-2</v>
      </c>
      <c r="S163" s="2"/>
      <c r="T163" s="7">
        <v>60560.19999999999</v>
      </c>
      <c r="U163" s="2"/>
      <c r="V163" s="6">
        <f t="shared" si="41"/>
        <v>1.098063031006846E-2</v>
      </c>
      <c r="W163" s="2"/>
      <c r="X163" s="7">
        <f t="shared" si="42"/>
        <v>-5042.9599999999919</v>
      </c>
      <c r="Y163" s="2"/>
      <c r="Z163" s="6">
        <f t="shared" si="43"/>
        <v>-8.327185181026471E-2</v>
      </c>
    </row>
    <row r="164" spans="1:26" s="24" customFormat="1" hidden="1" outlineLevel="2" x14ac:dyDescent="0.25">
      <c r="A164" s="27"/>
      <c r="B164" s="11" t="str">
        <f>CONCATENATE("          ", "6112", " - ", "COMPENSATION INSURANCE")</f>
        <v xml:space="preserve">          6112 - COMPENSATION INSURANCE</v>
      </c>
      <c r="C164" s="11"/>
      <c r="D164" s="7">
        <v>2948.75</v>
      </c>
      <c r="E164" s="2"/>
      <c r="F164" s="6">
        <f t="shared" si="36"/>
        <v>1.2621358724632195E-2</v>
      </c>
      <c r="G164" s="2"/>
      <c r="H164" s="7">
        <v>3045.75</v>
      </c>
      <c r="I164" s="2"/>
      <c r="J164" s="6">
        <f t="shared" si="37"/>
        <v>6.8597141773372233E-3</v>
      </c>
      <c r="K164" s="2"/>
      <c r="L164" s="7">
        <f t="shared" si="38"/>
        <v>-97</v>
      </c>
      <c r="M164" s="2"/>
      <c r="N164" s="6">
        <f t="shared" si="39"/>
        <v>-3.1847656570631204E-2</v>
      </c>
      <c r="O164" s="11"/>
      <c r="P164" s="7">
        <v>15685.409999999998</v>
      </c>
      <c r="Q164" s="2"/>
      <c r="R164" s="6">
        <f t="shared" si="40"/>
        <v>5.8123933855751013E-3</v>
      </c>
      <c r="S164" s="2"/>
      <c r="T164" s="7">
        <v>13449.8</v>
      </c>
      <c r="U164" s="2"/>
      <c r="V164" s="6">
        <f t="shared" si="41"/>
        <v>2.4386854987988611E-3</v>
      </c>
      <c r="W164" s="2"/>
      <c r="X164" s="7">
        <f t="shared" si="42"/>
        <v>2235.6099999999988</v>
      </c>
      <c r="Y164" s="2"/>
      <c r="Z164" s="6">
        <f t="shared" si="43"/>
        <v>0.16621882853276621</v>
      </c>
    </row>
    <row r="165" spans="1:26" s="24" customFormat="1" hidden="1" outlineLevel="2" x14ac:dyDescent="0.25">
      <c r="A165" s="27"/>
      <c r="B165" s="11" t="str">
        <f>CONCATENATE("          ", "6113", " - ", "GROUP INSURANCE")</f>
        <v xml:space="preserve">          6113 - GROUP INSURANCE</v>
      </c>
      <c r="C165" s="11"/>
      <c r="D165" s="7">
        <v>15010.270000000002</v>
      </c>
      <c r="E165" s="2"/>
      <c r="F165" s="6">
        <f t="shared" si="36"/>
        <v>6.4247563280571407E-2</v>
      </c>
      <c r="G165" s="2"/>
      <c r="H165" s="7">
        <v>16667.599999999999</v>
      </c>
      <c r="I165" s="2"/>
      <c r="J165" s="6">
        <f t="shared" si="37"/>
        <v>3.7539184772941277E-2</v>
      </c>
      <c r="K165" s="2"/>
      <c r="L165" s="7">
        <f t="shared" si="38"/>
        <v>-1657.3299999999963</v>
      </c>
      <c r="M165" s="2"/>
      <c r="N165" s="6">
        <f t="shared" si="39"/>
        <v>-9.9434231683025537E-2</v>
      </c>
      <c r="O165" s="11"/>
      <c r="P165" s="7">
        <v>88397.7</v>
      </c>
      <c r="Q165" s="2"/>
      <c r="R165" s="6">
        <f t="shared" si="40"/>
        <v>3.2756695985635832E-2</v>
      </c>
      <c r="S165" s="2"/>
      <c r="T165" s="7">
        <v>110919.93</v>
      </c>
      <c r="U165" s="2"/>
      <c r="V165" s="6">
        <f t="shared" si="41"/>
        <v>2.0111735848769852E-2</v>
      </c>
      <c r="W165" s="2"/>
      <c r="X165" s="7">
        <f t="shared" si="42"/>
        <v>-22522.229999999996</v>
      </c>
      <c r="Y165" s="2"/>
      <c r="Z165" s="6">
        <f t="shared" si="43"/>
        <v>-0.20304944296304547</v>
      </c>
    </row>
    <row r="166" spans="1:26" s="24" customFormat="1" hidden="1" outlineLevel="2" x14ac:dyDescent="0.25">
      <c r="A166" s="27"/>
      <c r="B166" s="11" t="str">
        <f>CONCATENATE("          ", "6114", " - ", "STATE UNEMPLOYMENT INSURANCE")</f>
        <v xml:space="preserve">          6114 - STATE UNEMPLOYMENT INSURANCE</v>
      </c>
      <c r="C166" s="11"/>
      <c r="D166" s="7"/>
      <c r="E166" s="2"/>
      <c r="F166" s="6">
        <f t="shared" si="36"/>
        <v>0</v>
      </c>
      <c r="G166" s="2"/>
      <c r="H166" s="7">
        <v>558.37</v>
      </c>
      <c r="I166" s="2"/>
      <c r="J166" s="6">
        <f t="shared" si="37"/>
        <v>1.2575748519083265E-3</v>
      </c>
      <c r="K166" s="2"/>
      <c r="L166" s="7">
        <f t="shared" si="38"/>
        <v>-558.37</v>
      </c>
      <c r="M166" s="2"/>
      <c r="N166" s="6">
        <f t="shared" si="39"/>
        <v>-1</v>
      </c>
      <c r="O166" s="11"/>
      <c r="P166" s="7">
        <v>1948.27</v>
      </c>
      <c r="Q166" s="2"/>
      <c r="R166" s="6">
        <f t="shared" si="40"/>
        <v>7.2195190698326678E-4</v>
      </c>
      <c r="S166" s="2"/>
      <c r="T166" s="7">
        <v>2957.17</v>
      </c>
      <c r="U166" s="2"/>
      <c r="V166" s="6">
        <f t="shared" si="41"/>
        <v>5.3618697649652992E-4</v>
      </c>
      <c r="W166" s="2"/>
      <c r="X166" s="7">
        <f t="shared" si="42"/>
        <v>-1008.9000000000001</v>
      </c>
      <c r="Y166" s="2"/>
      <c r="Z166" s="6">
        <f t="shared" si="43"/>
        <v>-0.34117078152422758</v>
      </c>
    </row>
    <row r="167" spans="1:26" s="24" customFormat="1" hidden="1" outlineLevel="2" x14ac:dyDescent="0.25">
      <c r="A167" s="27"/>
      <c r="B167" s="11" t="str">
        <f>CONCATENATE("          ", "6115", " - ", "P.E.R.S.")</f>
        <v xml:space="preserve">          6115 - P.E.R.S.</v>
      </c>
      <c r="C167" s="11"/>
      <c r="D167" s="7">
        <v>6456.79</v>
      </c>
      <c r="E167" s="2"/>
      <c r="F167" s="6">
        <f t="shared" si="36"/>
        <v>2.7636613073206581E-2</v>
      </c>
      <c r="G167" s="2"/>
      <c r="H167" s="7">
        <v>5944.58</v>
      </c>
      <c r="I167" s="2"/>
      <c r="J167" s="6">
        <f t="shared" si="37"/>
        <v>1.3388531463289931E-2</v>
      </c>
      <c r="K167" s="2"/>
      <c r="L167" s="7">
        <f t="shared" si="38"/>
        <v>512.21</v>
      </c>
      <c r="M167" s="2"/>
      <c r="N167" s="6">
        <f t="shared" si="39"/>
        <v>8.6164203358353328E-2</v>
      </c>
      <c r="O167" s="11"/>
      <c r="P167" s="7">
        <v>40018.049999999996</v>
      </c>
      <c r="Q167" s="2"/>
      <c r="R167" s="6">
        <f t="shared" si="40"/>
        <v>1.4829108650880893E-2</v>
      </c>
      <c r="S167" s="2"/>
      <c r="T167" s="7">
        <v>41767.040000000001</v>
      </c>
      <c r="U167" s="2"/>
      <c r="V167" s="6">
        <f t="shared" si="41"/>
        <v>7.57309958332109E-3</v>
      </c>
      <c r="W167" s="2"/>
      <c r="X167" s="7">
        <f t="shared" si="42"/>
        <v>-1748.9900000000052</v>
      </c>
      <c r="Y167" s="2"/>
      <c r="Z167" s="6">
        <f t="shared" si="43"/>
        <v>-4.1874885076845406E-2</v>
      </c>
    </row>
    <row r="168" spans="1:26" s="24" customFormat="1" hidden="1" outlineLevel="2" x14ac:dyDescent="0.25">
      <c r="A168" s="27"/>
      <c r="B168" s="11" t="str">
        <f>CONCATENATE("          ", "6116", " - ", "EDUCATIONAL BENEFITS")</f>
        <v xml:space="preserve">          6116 - EDUCATIONAL BENEFITS</v>
      </c>
      <c r="C168" s="11"/>
      <c r="D168" s="7"/>
      <c r="E168" s="2"/>
      <c r="F168" s="6">
        <f t="shared" si="36"/>
        <v>0</v>
      </c>
      <c r="G168" s="2"/>
      <c r="H168" s="7"/>
      <c r="I168" s="2"/>
      <c r="J168" s="6">
        <f t="shared" si="37"/>
        <v>0</v>
      </c>
      <c r="K168" s="2"/>
      <c r="L168" s="7">
        <f t="shared" si="38"/>
        <v>0</v>
      </c>
      <c r="M168" s="2"/>
      <c r="N168" s="6">
        <f t="shared" si="39"/>
        <v>0</v>
      </c>
      <c r="O168" s="11"/>
      <c r="P168" s="7">
        <v>0</v>
      </c>
      <c r="Q168" s="2"/>
      <c r="R168" s="6">
        <f t="shared" si="40"/>
        <v>0</v>
      </c>
      <c r="S168" s="2"/>
      <c r="T168" s="7"/>
      <c r="U168" s="2"/>
      <c r="V168" s="6">
        <f t="shared" si="41"/>
        <v>0</v>
      </c>
      <c r="W168" s="2"/>
      <c r="X168" s="7">
        <f t="shared" si="42"/>
        <v>0</v>
      </c>
      <c r="Y168" s="2"/>
      <c r="Z168" s="6">
        <f t="shared" si="43"/>
        <v>0</v>
      </c>
    </row>
    <row r="169" spans="1:26" s="24" customFormat="1" hidden="1" outlineLevel="2" x14ac:dyDescent="0.25">
      <c r="A169" s="27"/>
      <c r="B169" s="11" t="str">
        <f>CONCATENATE("          ", "6117", " - ", "RETIREMENT STAFF HOURLY")</f>
        <v xml:space="preserve">          6117 - RETIREMENT STAFF HOURLY</v>
      </c>
      <c r="C169" s="11"/>
      <c r="D169" s="7">
        <v>440.47</v>
      </c>
      <c r="E169" s="2"/>
      <c r="F169" s="6">
        <f t="shared" si="36"/>
        <v>1.8853174658545972E-3</v>
      </c>
      <c r="G169" s="2"/>
      <c r="H169" s="7">
        <v>92.54</v>
      </c>
      <c r="I169" s="2"/>
      <c r="J169" s="6">
        <f t="shared" si="37"/>
        <v>2.0842089796299326E-4</v>
      </c>
      <c r="K169" s="2"/>
      <c r="L169" s="7">
        <f t="shared" si="38"/>
        <v>347.93</v>
      </c>
      <c r="M169" s="2"/>
      <c r="N169" s="6">
        <f t="shared" si="39"/>
        <v>3.7597795547871189</v>
      </c>
      <c r="O169" s="11"/>
      <c r="P169" s="7">
        <v>1734.12</v>
      </c>
      <c r="Q169" s="2"/>
      <c r="R169" s="6">
        <f t="shared" si="40"/>
        <v>6.425963757270925E-4</v>
      </c>
      <c r="S169" s="2"/>
      <c r="T169" s="7">
        <v>738.74</v>
      </c>
      <c r="U169" s="2"/>
      <c r="V169" s="6">
        <f t="shared" si="41"/>
        <v>1.3394656614839408E-4</v>
      </c>
      <c r="W169" s="2"/>
      <c r="X169" s="7">
        <f t="shared" si="42"/>
        <v>995.37999999999988</v>
      </c>
      <c r="Y169" s="2"/>
      <c r="Z169" s="6">
        <f t="shared" si="43"/>
        <v>1.3474023337033325</v>
      </c>
    </row>
    <row r="170" spans="1:26" s="24" customFormat="1" hidden="1" outlineLevel="2" x14ac:dyDescent="0.25">
      <c r="A170" s="27"/>
      <c r="B170" s="11" t="str">
        <f>CONCATENATE("          ", "6118", " - ", "VACATION")</f>
        <v xml:space="preserve">          6118 - VACATION</v>
      </c>
      <c r="C170" s="11"/>
      <c r="D170" s="7">
        <v>5850.94</v>
      </c>
      <c r="E170" s="2"/>
      <c r="F170" s="6">
        <f t="shared" si="36"/>
        <v>2.504342945868571E-2</v>
      </c>
      <c r="G170" s="2"/>
      <c r="H170" s="7">
        <v>4131.93</v>
      </c>
      <c r="I170" s="2"/>
      <c r="J170" s="6">
        <f t="shared" si="37"/>
        <v>9.3060358863219228E-3</v>
      </c>
      <c r="K170" s="2"/>
      <c r="L170" s="7">
        <f t="shared" si="38"/>
        <v>1719.0099999999993</v>
      </c>
      <c r="M170" s="2"/>
      <c r="N170" s="6">
        <f t="shared" si="39"/>
        <v>0.41603076528401961</v>
      </c>
      <c r="O170" s="11"/>
      <c r="P170" s="7">
        <v>32286.25</v>
      </c>
      <c r="Q170" s="2"/>
      <c r="R170" s="6">
        <f t="shared" si="40"/>
        <v>1.1964008970439671E-2</v>
      </c>
      <c r="S170" s="2"/>
      <c r="T170" s="7">
        <v>33641.299999999996</v>
      </c>
      <c r="U170" s="2"/>
      <c r="V170" s="6">
        <f t="shared" si="41"/>
        <v>6.0997598827300121E-3</v>
      </c>
      <c r="W170" s="2"/>
      <c r="X170" s="7">
        <f t="shared" si="42"/>
        <v>-1355.0499999999956</v>
      </c>
      <c r="Y170" s="2"/>
      <c r="Z170" s="6">
        <f t="shared" si="43"/>
        <v>-4.0279359002178744E-2</v>
      </c>
    </row>
    <row r="171" spans="1:26" s="24" customFormat="1" hidden="1" outlineLevel="2" x14ac:dyDescent="0.25">
      <c r="A171" s="27"/>
      <c r="B171" s="11" t="str">
        <f>CONCATENATE("          ", "6119", " - ", "SICK LEAVE")</f>
        <v xml:space="preserve">          6119 - SICK LEAVE</v>
      </c>
      <c r="C171" s="11"/>
      <c r="D171" s="7">
        <v>4031.99</v>
      </c>
      <c r="E171" s="2"/>
      <c r="F171" s="6">
        <f t="shared" si="36"/>
        <v>1.7257886278636628E-2</v>
      </c>
      <c r="G171" s="2"/>
      <c r="H171" s="7">
        <v>3134.75</v>
      </c>
      <c r="I171" s="2"/>
      <c r="J171" s="6">
        <f t="shared" si="37"/>
        <v>7.06016219893552E-3</v>
      </c>
      <c r="K171" s="2"/>
      <c r="L171" s="7">
        <f t="shared" si="38"/>
        <v>897.23999999999978</v>
      </c>
      <c r="M171" s="2"/>
      <c r="N171" s="6">
        <f t="shared" si="39"/>
        <v>0.28622378180078151</v>
      </c>
      <c r="O171" s="11"/>
      <c r="P171" s="7">
        <v>23381.11</v>
      </c>
      <c r="Q171" s="2"/>
      <c r="R171" s="6">
        <f t="shared" si="40"/>
        <v>8.6641158319357842E-3</v>
      </c>
      <c r="S171" s="2"/>
      <c r="T171" s="7">
        <v>26189.25</v>
      </c>
      <c r="U171" s="2"/>
      <c r="V171" s="6">
        <f t="shared" si="41"/>
        <v>4.7485720382026558E-3</v>
      </c>
      <c r="W171" s="2"/>
      <c r="X171" s="7">
        <f t="shared" si="42"/>
        <v>-2808.1399999999994</v>
      </c>
      <c r="Y171" s="2"/>
      <c r="Z171" s="6">
        <f t="shared" si="43"/>
        <v>-0.10722491098446879</v>
      </c>
    </row>
    <row r="172" spans="1:26" s="24" customFormat="1" hidden="1" outlineLevel="2" x14ac:dyDescent="0.25">
      <c r="A172" s="27"/>
      <c r="B172" s="11" t="str">
        <f>CONCATENATE("          ", "6156", " - ", "EMPLOYEE MEALS")</f>
        <v xml:space="preserve">          6156 - EMPLOYEE MEALS</v>
      </c>
      <c r="C172" s="11"/>
      <c r="D172" s="7">
        <v>1266.58</v>
      </c>
      <c r="E172" s="2"/>
      <c r="F172" s="6">
        <f t="shared" si="36"/>
        <v>5.4212668193114521E-3</v>
      </c>
      <c r="G172" s="2"/>
      <c r="H172" s="7">
        <v>1796.34</v>
      </c>
      <c r="I172" s="2"/>
      <c r="J172" s="6">
        <f t="shared" si="37"/>
        <v>4.0457617878414008E-3</v>
      </c>
      <c r="K172" s="2"/>
      <c r="L172" s="7">
        <f t="shared" si="38"/>
        <v>-529.76</v>
      </c>
      <c r="M172" s="2"/>
      <c r="N172" s="6">
        <f t="shared" si="39"/>
        <v>-0.29491076299586938</v>
      </c>
      <c r="O172" s="11"/>
      <c r="P172" s="7">
        <v>8896.4500000000007</v>
      </c>
      <c r="Q172" s="2"/>
      <c r="R172" s="6">
        <f t="shared" si="40"/>
        <v>3.2966729677515356E-3</v>
      </c>
      <c r="S172" s="2"/>
      <c r="T172" s="7">
        <v>11522.94</v>
      </c>
      <c r="U172" s="2"/>
      <c r="V172" s="6">
        <f t="shared" si="41"/>
        <v>2.0893118620001301E-3</v>
      </c>
      <c r="W172" s="2"/>
      <c r="X172" s="7">
        <f t="shared" si="42"/>
        <v>-2626.49</v>
      </c>
      <c r="Y172" s="2"/>
      <c r="Z172" s="6">
        <f t="shared" si="43"/>
        <v>-0.22793575250760653</v>
      </c>
    </row>
    <row r="173" spans="1:26" s="25" customFormat="1" outlineLevel="1" collapsed="1" x14ac:dyDescent="0.25">
      <c r="A173" s="26"/>
      <c r="B173" s="13" t="str">
        <f>CONCATENATE("     ","*Payroll                                          ")</f>
        <v xml:space="preserve">     *Payroll                                          </v>
      </c>
      <c r="C173" s="13"/>
      <c r="D173" s="1">
        <f>SUM(OSRRefD22_1x_0)</f>
        <v>119812.64000000001</v>
      </c>
      <c r="E173" s="1"/>
      <c r="F173" s="5">
        <f t="shared" ref="F173:F180" si="44">IF(D$12=0,0,D173/D$12)</f>
        <v>0.51282689586611829</v>
      </c>
      <c r="G173" s="1"/>
      <c r="H173" s="1">
        <f>SUM(OSRRefH22_1x_0)</f>
        <v>143833.29</v>
      </c>
      <c r="I173" s="1"/>
      <c r="J173" s="5">
        <f t="shared" ref="J173:J180" si="45">IF(H$12=0,0,H173/H$12)</f>
        <v>0.32394492607274278</v>
      </c>
      <c r="K173" s="1"/>
      <c r="L173" s="1">
        <f t="shared" ref="L173:L180" si="46">+D173-H173</f>
        <v>-24020.649999999994</v>
      </c>
      <c r="M173" s="1"/>
      <c r="N173" s="5">
        <f t="shared" ref="N173:N180" si="47">IF(H173=0,0,L173/H173)</f>
        <v>-0.16700341068468916</v>
      </c>
      <c r="O173" s="13"/>
      <c r="P173" s="1">
        <f>SUM(OSRRefP22_1x_0)</f>
        <v>730222.49999999977</v>
      </c>
      <c r="Q173" s="1"/>
      <c r="R173" s="5">
        <f t="shared" ref="R173:R180" si="48">IF(P$12=0,0,P173/P$12)</f>
        <v>0.27059161532902953</v>
      </c>
      <c r="S173" s="1"/>
      <c r="T173" s="1">
        <f>SUM(OSRRefT22_1x_0)</f>
        <v>1034771.15</v>
      </c>
      <c r="U173" s="1"/>
      <c r="V173" s="5">
        <f t="shared" ref="V173:V180" si="49">IF(T$12=0,0,T173/T$12)</f>
        <v>0.18762222472307552</v>
      </c>
      <c r="W173" s="1"/>
      <c r="X173" s="1">
        <f t="shared" ref="X173:X180" si="50">+P173-T173</f>
        <v>-304548.65000000026</v>
      </c>
      <c r="Y173" s="1"/>
      <c r="Z173" s="5">
        <f t="shared" ref="Z173:Z180" si="51">IF(T173=0,0,X173/T173)</f>
        <v>-0.29431497969381948</v>
      </c>
    </row>
    <row r="174" spans="1:26" s="24" customFormat="1" hidden="1" outlineLevel="2" x14ac:dyDescent="0.25">
      <c r="A174" s="27"/>
      <c r="B174" s="11" t="str">
        <f>CONCATENATE("          ", "6001", " - ", "ADMINISTRATIVE SALARIES")</f>
        <v xml:space="preserve">          6001 - ADMINISTRATIVE SALARIES</v>
      </c>
      <c r="C174" s="11"/>
      <c r="D174" s="7">
        <v>3745.16</v>
      </c>
      <c r="E174" s="2"/>
      <c r="F174" s="6">
        <f t="shared" si="44"/>
        <v>1.6030184939768887E-2</v>
      </c>
      <c r="G174" s="2"/>
      <c r="H174" s="7">
        <v>10181.280000000001</v>
      </c>
      <c r="I174" s="2"/>
      <c r="J174" s="6">
        <f t="shared" si="45"/>
        <v>2.29305329588574E-2</v>
      </c>
      <c r="K174" s="2"/>
      <c r="L174" s="7">
        <f t="shared" si="46"/>
        <v>-6436.1200000000008</v>
      </c>
      <c r="M174" s="2"/>
      <c r="N174" s="6">
        <f t="shared" si="47"/>
        <v>-0.63215234233809503</v>
      </c>
      <c r="O174" s="11"/>
      <c r="P174" s="7">
        <v>24883.11</v>
      </c>
      <c r="Q174" s="2"/>
      <c r="R174" s="6">
        <f t="shared" si="48"/>
        <v>9.2206977042065003E-3</v>
      </c>
      <c r="S174" s="2"/>
      <c r="T174" s="7">
        <v>66982.11</v>
      </c>
      <c r="U174" s="2"/>
      <c r="V174" s="6">
        <f t="shared" si="49"/>
        <v>1.2145035638890555E-2</v>
      </c>
      <c r="W174" s="2"/>
      <c r="X174" s="7">
        <f t="shared" si="50"/>
        <v>-42099</v>
      </c>
      <c r="Y174" s="2"/>
      <c r="Z174" s="6">
        <f t="shared" si="51"/>
        <v>-0.62851110542800159</v>
      </c>
    </row>
    <row r="175" spans="1:26" s="24" customFormat="1" hidden="1" outlineLevel="2" x14ac:dyDescent="0.25">
      <c r="A175" s="27"/>
      <c r="B175" s="11" t="str">
        <f>CONCATENATE("          ", "6002", " - ", "STAFF SALARIES")</f>
        <v xml:space="preserve">          6002 - STAFF SALARIES</v>
      </c>
      <c r="C175" s="11"/>
      <c r="D175" s="7">
        <v>60554.25</v>
      </c>
      <c r="E175" s="2"/>
      <c r="F175" s="6">
        <f t="shared" si="44"/>
        <v>0.25918674406140196</v>
      </c>
      <c r="G175" s="2"/>
      <c r="H175" s="7">
        <v>51868.94</v>
      </c>
      <c r="I175" s="2"/>
      <c r="J175" s="6">
        <f t="shared" si="45"/>
        <v>0.11682052140899739</v>
      </c>
      <c r="K175" s="2"/>
      <c r="L175" s="7">
        <f t="shared" si="46"/>
        <v>8685.3099999999977</v>
      </c>
      <c r="M175" s="2"/>
      <c r="N175" s="6">
        <f t="shared" si="47"/>
        <v>0.16744722371423046</v>
      </c>
      <c r="O175" s="11"/>
      <c r="P175" s="7">
        <v>335512.19</v>
      </c>
      <c r="Q175" s="2"/>
      <c r="R175" s="6">
        <f t="shared" si="48"/>
        <v>0.12432756516634355</v>
      </c>
      <c r="S175" s="2"/>
      <c r="T175" s="7">
        <v>349483.32</v>
      </c>
      <c r="U175" s="2"/>
      <c r="V175" s="6">
        <f t="shared" si="49"/>
        <v>6.3367477922056992E-2</v>
      </c>
      <c r="W175" s="2"/>
      <c r="X175" s="7">
        <f t="shared" si="50"/>
        <v>-13971.130000000005</v>
      </c>
      <c r="Y175" s="2"/>
      <c r="Z175" s="6">
        <f t="shared" si="51"/>
        <v>-3.9976528779685404E-2</v>
      </c>
    </row>
    <row r="176" spans="1:26" s="24" customFormat="1" hidden="1" outlineLevel="2" x14ac:dyDescent="0.25">
      <c r="A176" s="27"/>
      <c r="B176" s="11" t="str">
        <f>CONCATENATE("          ", "6004", " - ", "STAFF HOURLY")</f>
        <v xml:space="preserve">          6004 - STAFF HOURLY</v>
      </c>
      <c r="C176" s="11"/>
      <c r="D176" s="7">
        <v>15520.769999999999</v>
      </c>
      <c r="E176" s="2"/>
      <c r="F176" s="6">
        <f t="shared" si="44"/>
        <v>6.6432625977960014E-2</v>
      </c>
      <c r="G176" s="2"/>
      <c r="H176" s="7">
        <v>3238.83</v>
      </c>
      <c r="I176" s="2"/>
      <c r="J176" s="6">
        <f t="shared" si="45"/>
        <v>7.294573772957438E-3</v>
      </c>
      <c r="K176" s="2"/>
      <c r="L176" s="7">
        <f t="shared" si="46"/>
        <v>12281.939999999999</v>
      </c>
      <c r="M176" s="2"/>
      <c r="N176" s="6">
        <f t="shared" si="47"/>
        <v>3.7920915886292268</v>
      </c>
      <c r="O176" s="11"/>
      <c r="P176" s="7">
        <v>91036.909999999989</v>
      </c>
      <c r="Q176" s="2"/>
      <c r="R176" s="6">
        <f t="shared" si="48"/>
        <v>3.3734682965073641E-2</v>
      </c>
      <c r="S176" s="2"/>
      <c r="T176" s="7">
        <v>15944.24</v>
      </c>
      <c r="U176" s="2"/>
      <c r="V176" s="6">
        <f t="shared" si="49"/>
        <v>2.8909713807914435E-3</v>
      </c>
      <c r="W176" s="2"/>
      <c r="X176" s="7">
        <f t="shared" si="50"/>
        <v>75092.669999999984</v>
      </c>
      <c r="Y176" s="2"/>
      <c r="Z176" s="6">
        <f t="shared" si="51"/>
        <v>4.7097051976136823</v>
      </c>
    </row>
    <row r="177" spans="1:26" s="24" customFormat="1" hidden="1" outlineLevel="2" x14ac:dyDescent="0.25">
      <c r="A177" s="27"/>
      <c r="B177" s="11" t="str">
        <f>CONCATENATE("          ", "6005", " - ", "TEMPORARY WAGES-HOURLY")</f>
        <v xml:space="preserve">          6005 - TEMPORARY WAGES-HOURLY</v>
      </c>
      <c r="C177" s="11"/>
      <c r="D177" s="7">
        <v>9577.32</v>
      </c>
      <c r="E177" s="2"/>
      <c r="F177" s="6">
        <f t="shared" si="44"/>
        <v>4.0993231484728922E-2</v>
      </c>
      <c r="G177" s="2"/>
      <c r="H177" s="7">
        <v>17207.34</v>
      </c>
      <c r="I177" s="2"/>
      <c r="J177" s="6">
        <f t="shared" si="45"/>
        <v>3.8754800673811672E-2</v>
      </c>
      <c r="K177" s="2"/>
      <c r="L177" s="7">
        <f t="shared" si="46"/>
        <v>-7630.02</v>
      </c>
      <c r="M177" s="2"/>
      <c r="N177" s="6">
        <f t="shared" si="47"/>
        <v>-0.44341658850234844</v>
      </c>
      <c r="O177" s="11"/>
      <c r="P177" s="7">
        <v>97643.45</v>
      </c>
      <c r="Q177" s="2"/>
      <c r="R177" s="6">
        <f t="shared" si="48"/>
        <v>3.6182805736332882E-2</v>
      </c>
      <c r="S177" s="2"/>
      <c r="T177" s="7">
        <v>108204.72</v>
      </c>
      <c r="U177" s="2"/>
      <c r="V177" s="6">
        <f t="shared" si="49"/>
        <v>1.9619420479530632E-2</v>
      </c>
      <c r="W177" s="2"/>
      <c r="X177" s="7">
        <f t="shared" si="50"/>
        <v>-10561.270000000004</v>
      </c>
      <c r="Y177" s="2"/>
      <c r="Z177" s="6">
        <f t="shared" si="51"/>
        <v>-9.7604522242652661E-2</v>
      </c>
    </row>
    <row r="178" spans="1:26" s="24" customFormat="1" hidden="1" outlineLevel="2" x14ac:dyDescent="0.25">
      <c r="A178" s="27"/>
      <c r="B178" s="11" t="str">
        <f>CONCATENATE("          ", "6006", " - ", "TEMPORARY PART TIME")</f>
        <v xml:space="preserve">          6006 - TEMPORARY PART TIME</v>
      </c>
      <c r="C178" s="11"/>
      <c r="D178" s="7">
        <v>1432.35</v>
      </c>
      <c r="E178" s="2"/>
      <c r="F178" s="6">
        <f t="shared" si="44"/>
        <v>6.1308022617132425E-3</v>
      </c>
      <c r="G178" s="2"/>
      <c r="H178" s="7">
        <v>672</v>
      </c>
      <c r="I178" s="2"/>
      <c r="J178" s="6">
        <f t="shared" si="45"/>
        <v>1.5134951743152308E-3</v>
      </c>
      <c r="K178" s="2"/>
      <c r="L178" s="7">
        <f t="shared" si="46"/>
        <v>760.34999999999991</v>
      </c>
      <c r="M178" s="2"/>
      <c r="N178" s="6">
        <f t="shared" si="47"/>
        <v>1.1314732142857142</v>
      </c>
      <c r="O178" s="11"/>
      <c r="P178" s="7">
        <v>9987.9599999999991</v>
      </c>
      <c r="Q178" s="2"/>
      <c r="R178" s="6">
        <f t="shared" si="48"/>
        <v>3.7011434600299699E-3</v>
      </c>
      <c r="S178" s="2"/>
      <c r="T178" s="7">
        <v>20507.75</v>
      </c>
      <c r="U178" s="2"/>
      <c r="V178" s="6">
        <f t="shared" si="49"/>
        <v>3.7184160759262106E-3</v>
      </c>
      <c r="W178" s="2"/>
      <c r="X178" s="7">
        <f t="shared" si="50"/>
        <v>-10519.79</v>
      </c>
      <c r="Y178" s="2"/>
      <c r="Z178" s="6">
        <f t="shared" si="51"/>
        <v>-0.51296656142190156</v>
      </c>
    </row>
    <row r="179" spans="1:26" s="24" customFormat="1" hidden="1" outlineLevel="2" x14ac:dyDescent="0.25">
      <c r="A179" s="27"/>
      <c r="B179" s="11" t="str">
        <f>CONCATENATE("          ", "6007", " - ", "STUDENT HOURLY")</f>
        <v xml:space="preserve">          6007 - STUDENT HOURLY</v>
      </c>
      <c r="C179" s="11"/>
      <c r="D179" s="7">
        <v>27899.63</v>
      </c>
      <c r="E179" s="2"/>
      <c r="F179" s="6">
        <f t="shared" si="44"/>
        <v>0.11941712200576859</v>
      </c>
      <c r="G179" s="2"/>
      <c r="H179" s="7">
        <v>59504.65</v>
      </c>
      <c r="I179" s="2"/>
      <c r="J179" s="6">
        <f t="shared" si="45"/>
        <v>0.1340178580719</v>
      </c>
      <c r="K179" s="2"/>
      <c r="L179" s="7">
        <f t="shared" si="46"/>
        <v>-31605.02</v>
      </c>
      <c r="M179" s="2"/>
      <c r="N179" s="6">
        <f t="shared" si="47"/>
        <v>-0.5311352978296654</v>
      </c>
      <c r="O179" s="11"/>
      <c r="P179" s="7">
        <v>166228.43</v>
      </c>
      <c r="Q179" s="2"/>
      <c r="R179" s="6">
        <f t="shared" si="48"/>
        <v>6.1597690275646842E-2</v>
      </c>
      <c r="S179" s="2"/>
      <c r="T179" s="7">
        <v>467205.76</v>
      </c>
      <c r="U179" s="2"/>
      <c r="V179" s="6">
        <f t="shared" si="49"/>
        <v>8.4712628579406465E-2</v>
      </c>
      <c r="W179" s="2"/>
      <c r="X179" s="7">
        <f t="shared" si="50"/>
        <v>-300977.33</v>
      </c>
      <c r="Y179" s="2"/>
      <c r="Z179" s="6">
        <f t="shared" si="51"/>
        <v>-0.64420723323274098</v>
      </c>
    </row>
    <row r="180" spans="1:26" s="24" customFormat="1" hidden="1" outlineLevel="2" x14ac:dyDescent="0.25">
      <c r="A180" s="27"/>
      <c r="B180" s="11" t="str">
        <f>CONCATENATE("          ", "6008", " - ", "STUDENT HOURLY-FICA EXEMPT")</f>
        <v xml:space="preserve">          6008 - STUDENT HOURLY-FICA EXEMPT</v>
      </c>
      <c r="C180" s="11"/>
      <c r="D180" s="7">
        <v>1083.1600000000001</v>
      </c>
      <c r="E180" s="2"/>
      <c r="F180" s="6">
        <f t="shared" si="44"/>
        <v>4.636185134776637E-3</v>
      </c>
      <c r="G180" s="2"/>
      <c r="H180" s="7">
        <v>1160.25</v>
      </c>
      <c r="I180" s="2"/>
      <c r="J180" s="6">
        <f t="shared" si="45"/>
        <v>2.6131440119036404E-3</v>
      </c>
      <c r="K180" s="2"/>
      <c r="L180" s="7">
        <f t="shared" si="46"/>
        <v>-77.089999999999918</v>
      </c>
      <c r="M180" s="2"/>
      <c r="N180" s="6">
        <f t="shared" si="47"/>
        <v>-6.6442577030812258E-2</v>
      </c>
      <c r="O180" s="11"/>
      <c r="P180" s="7">
        <v>4930.45</v>
      </c>
      <c r="Q180" s="2"/>
      <c r="R180" s="6">
        <f t="shared" si="48"/>
        <v>1.8270300213962375E-3</v>
      </c>
      <c r="S180" s="2"/>
      <c r="T180" s="7">
        <v>6443.25</v>
      </c>
      <c r="U180" s="2"/>
      <c r="V180" s="6">
        <f t="shared" si="49"/>
        <v>1.1682746464732384E-3</v>
      </c>
      <c r="W180" s="2"/>
      <c r="X180" s="7">
        <f t="shared" si="50"/>
        <v>-1512.8000000000002</v>
      </c>
      <c r="Y180" s="2"/>
      <c r="Z180" s="6">
        <f t="shared" si="51"/>
        <v>-0.23478834439141741</v>
      </c>
    </row>
    <row r="181" spans="1:26" s="25" customFormat="1" outlineLevel="1" collapsed="1" x14ac:dyDescent="0.25">
      <c r="A181" s="26"/>
      <c r="B181" s="13" t="str">
        <f>CONCATENATE("     ","Advertising/Promo                                 ")</f>
        <v xml:space="preserve">     Advertising/Promo                                 </v>
      </c>
      <c r="C181" s="13"/>
      <c r="D181" s="1">
        <f>SUM(OSRRefD22_2x_0)</f>
        <v>343.98</v>
      </c>
      <c r="E181" s="1"/>
      <c r="F181" s="5">
        <f t="shared" ref="F181:F185" si="52">IF(D$12=0,0,D181/D$12)</f>
        <v>1.472317074726234E-3</v>
      </c>
      <c r="G181" s="1"/>
      <c r="H181" s="1">
        <f>SUM(OSRRefH22_2x_0)</f>
        <v>4680.18</v>
      </c>
      <c r="I181" s="1"/>
      <c r="J181" s="5">
        <f t="shared" ref="J181:J185" si="53">IF(H$12=0,0,H181/H$12)</f>
        <v>1.054081822161705E-2</v>
      </c>
      <c r="K181" s="1"/>
      <c r="L181" s="1">
        <f t="shared" ref="L181:L185" si="54">+D181-H181</f>
        <v>-4336.2000000000007</v>
      </c>
      <c r="M181" s="1"/>
      <c r="N181" s="5">
        <f t="shared" ref="N181:N185" si="55">IF(H181=0,0,L181/H181)</f>
        <v>-0.92650282681435336</v>
      </c>
      <c r="O181" s="13"/>
      <c r="P181" s="1">
        <f>SUM(OSRRefP22_2x_0)</f>
        <v>14702.51</v>
      </c>
      <c r="Q181" s="1"/>
      <c r="R181" s="5">
        <f t="shared" ref="R181:R185" si="56">IF(P$12=0,0,P181/P$12)</f>
        <v>5.4481694692935529E-3</v>
      </c>
      <c r="S181" s="1"/>
      <c r="T181" s="1">
        <f>SUM(OSRRefT22_2x_0)</f>
        <v>37301.53</v>
      </c>
      <c r="U181" s="1"/>
      <c r="V181" s="5">
        <f t="shared" ref="V181:V185" si="57">IF(T$12=0,0,T181/T$12)</f>
        <v>6.7634240132946723E-3</v>
      </c>
      <c r="W181" s="1"/>
      <c r="X181" s="1">
        <f t="shared" ref="X181:X185" si="58">+P181-T181</f>
        <v>-22599.019999999997</v>
      </c>
      <c r="Y181" s="1"/>
      <c r="Z181" s="5">
        <f t="shared" ref="Z181:Z185" si="59">IF(T181=0,0,X181/T181)</f>
        <v>-0.60584699876921932</v>
      </c>
    </row>
    <row r="182" spans="1:26" s="24" customFormat="1" hidden="1" outlineLevel="2" x14ac:dyDescent="0.25">
      <c r="A182" s="27"/>
      <c r="B182" s="11" t="str">
        <f>CONCATENATE("          ", "6362", " - ", "ADVERTISING EXPENSE")</f>
        <v xml:space="preserve">          6362 - ADVERTISING EXPENSE</v>
      </c>
      <c r="C182" s="11"/>
      <c r="D182" s="7">
        <v>343.98</v>
      </c>
      <c r="E182" s="2"/>
      <c r="F182" s="6">
        <f t="shared" si="52"/>
        <v>1.472317074726234E-3</v>
      </c>
      <c r="G182" s="2"/>
      <c r="H182" s="7">
        <v>4680.18</v>
      </c>
      <c r="I182" s="2"/>
      <c r="J182" s="6">
        <f t="shared" si="53"/>
        <v>1.054081822161705E-2</v>
      </c>
      <c r="K182" s="2"/>
      <c r="L182" s="7">
        <f t="shared" si="54"/>
        <v>-4336.2000000000007</v>
      </c>
      <c r="M182" s="2"/>
      <c r="N182" s="6">
        <f t="shared" si="55"/>
        <v>-0.92650282681435336</v>
      </c>
      <c r="O182" s="11"/>
      <c r="P182" s="7">
        <v>14702.51</v>
      </c>
      <c r="Q182" s="2"/>
      <c r="R182" s="6">
        <f t="shared" si="56"/>
        <v>5.4481694692935529E-3</v>
      </c>
      <c r="S182" s="2"/>
      <c r="T182" s="7">
        <v>37301.53</v>
      </c>
      <c r="U182" s="2"/>
      <c r="V182" s="6">
        <f t="shared" si="57"/>
        <v>6.7634240132946723E-3</v>
      </c>
      <c r="W182" s="2"/>
      <c r="X182" s="7">
        <f t="shared" si="58"/>
        <v>-22599.019999999997</v>
      </c>
      <c r="Y182" s="2"/>
      <c r="Z182" s="6">
        <f t="shared" si="59"/>
        <v>-0.60584699876921932</v>
      </c>
    </row>
    <row r="183" spans="1:26" s="25" customFormat="1" outlineLevel="1" collapsed="1" x14ac:dyDescent="0.25">
      <c r="A183" s="26"/>
      <c r="B183" s="13" t="str">
        <f>CONCATENATE("     ","Bad Debts/Over/Short                              ")</f>
        <v xml:space="preserve">     Bad Debts/Over/Short                              </v>
      </c>
      <c r="C183" s="13"/>
      <c r="D183" s="1">
        <f>SUM(OSRRefD22_3x_0)</f>
        <v>-5.34</v>
      </c>
      <c r="E183" s="1"/>
      <c r="F183" s="5">
        <f t="shared" si="52"/>
        <v>-2.2856483455544186E-5</v>
      </c>
      <c r="G183" s="1"/>
      <c r="H183" s="1">
        <f>SUM(OSRRefH22_3x_0)</f>
        <v>77.56</v>
      </c>
      <c r="I183" s="1"/>
      <c r="J183" s="5">
        <f t="shared" si="53"/>
        <v>1.7468256803554954E-4</v>
      </c>
      <c r="K183" s="1"/>
      <c r="L183" s="1">
        <f t="shared" si="54"/>
        <v>-82.9</v>
      </c>
      <c r="M183" s="1"/>
      <c r="N183" s="5">
        <f t="shared" si="55"/>
        <v>-1.0688499226405364</v>
      </c>
      <c r="O183" s="13"/>
      <c r="P183" s="1">
        <f>SUM(OSRRefP22_3x_0)</f>
        <v>45.96</v>
      </c>
      <c r="Q183" s="1"/>
      <c r="R183" s="5">
        <f t="shared" si="56"/>
        <v>1.7030960618882879E-5</v>
      </c>
      <c r="S183" s="1"/>
      <c r="T183" s="1">
        <f>SUM(OSRRefT22_3x_0)</f>
        <v>150.01999999999998</v>
      </c>
      <c r="U183" s="1"/>
      <c r="V183" s="5">
        <f t="shared" si="57"/>
        <v>2.7201266824027502E-5</v>
      </c>
      <c r="W183" s="1"/>
      <c r="X183" s="1">
        <f t="shared" si="58"/>
        <v>-104.05999999999997</v>
      </c>
      <c r="Y183" s="1"/>
      <c r="Z183" s="5">
        <f t="shared" si="59"/>
        <v>-0.69364084788694835</v>
      </c>
    </row>
    <row r="184" spans="1:26" s="24" customFormat="1" hidden="1" outlineLevel="2" x14ac:dyDescent="0.25">
      <c r="A184" s="27"/>
      <c r="B184" s="11" t="str">
        <f>CONCATENATE("          ", "6272", " - ", "CASH (OVER/SHORT)")</f>
        <v xml:space="preserve">          6272 - CASH (OVER/SHORT)</v>
      </c>
      <c r="C184" s="11"/>
      <c r="D184" s="7">
        <v>-5.34</v>
      </c>
      <c r="E184" s="2"/>
      <c r="F184" s="6">
        <f t="shared" si="52"/>
        <v>-2.2856483455544186E-5</v>
      </c>
      <c r="G184" s="2"/>
      <c r="H184" s="7">
        <v>77.56</v>
      </c>
      <c r="I184" s="2"/>
      <c r="J184" s="6">
        <f t="shared" si="53"/>
        <v>1.7468256803554954E-4</v>
      </c>
      <c r="K184" s="2"/>
      <c r="L184" s="7">
        <f t="shared" si="54"/>
        <v>-82.9</v>
      </c>
      <c r="M184" s="2"/>
      <c r="N184" s="6">
        <f t="shared" si="55"/>
        <v>-1.0688499226405364</v>
      </c>
      <c r="O184" s="11"/>
      <c r="P184" s="7">
        <v>45.96</v>
      </c>
      <c r="Q184" s="2"/>
      <c r="R184" s="6">
        <f t="shared" si="56"/>
        <v>1.7030960618882879E-5</v>
      </c>
      <c r="S184" s="2"/>
      <c r="T184" s="7">
        <v>105.22</v>
      </c>
      <c r="U184" s="2"/>
      <c r="V184" s="6">
        <f t="shared" si="57"/>
        <v>1.9078238203067418E-5</v>
      </c>
      <c r="W184" s="2"/>
      <c r="X184" s="7">
        <f t="shared" si="58"/>
        <v>-59.26</v>
      </c>
      <c r="Y184" s="2"/>
      <c r="Z184" s="6">
        <f t="shared" si="59"/>
        <v>-0.56320091237407333</v>
      </c>
    </row>
    <row r="185" spans="1:26" s="24" customFormat="1" hidden="1" outlineLevel="2" x14ac:dyDescent="0.25">
      <c r="A185" s="27"/>
      <c r="B185" s="11" t="str">
        <f>CONCATENATE("          ", "6342", " - ", "BAD DEBT")</f>
        <v xml:space="preserve">          6342 - BAD DEBT</v>
      </c>
      <c r="C185" s="11"/>
      <c r="D185" s="7"/>
      <c r="E185" s="2"/>
      <c r="F185" s="6">
        <f t="shared" si="52"/>
        <v>0</v>
      </c>
      <c r="G185" s="2"/>
      <c r="H185" s="7"/>
      <c r="I185" s="2"/>
      <c r="J185" s="6">
        <f t="shared" si="53"/>
        <v>0</v>
      </c>
      <c r="K185" s="2"/>
      <c r="L185" s="7">
        <f t="shared" si="54"/>
        <v>0</v>
      </c>
      <c r="M185" s="2"/>
      <c r="N185" s="6">
        <f t="shared" si="55"/>
        <v>0</v>
      </c>
      <c r="O185" s="11"/>
      <c r="P185" s="7"/>
      <c r="Q185" s="2"/>
      <c r="R185" s="6">
        <f t="shared" si="56"/>
        <v>0</v>
      </c>
      <c r="S185" s="2"/>
      <c r="T185" s="7">
        <v>44.8</v>
      </c>
      <c r="U185" s="2"/>
      <c r="V185" s="6">
        <f t="shared" si="57"/>
        <v>8.1230286209600873E-6</v>
      </c>
      <c r="W185" s="2"/>
      <c r="X185" s="7">
        <f t="shared" si="58"/>
        <v>-44.8</v>
      </c>
      <c r="Y185" s="2"/>
      <c r="Z185" s="6">
        <f t="shared" si="59"/>
        <v>-1</v>
      </c>
    </row>
    <row r="186" spans="1:26" s="25" customFormat="1" outlineLevel="1" collapsed="1" x14ac:dyDescent="0.25">
      <c r="A186" s="26"/>
      <c r="B186" s="13" t="str">
        <f>CONCATENATE("     ","Bank/card Fees                                    ")</f>
        <v xml:space="preserve">     Bank/card Fees                                    </v>
      </c>
      <c r="C186" s="13"/>
      <c r="D186" s="1">
        <f>SUM(OSRRefD22_4x_0)</f>
        <v>5214.3999999999996</v>
      </c>
      <c r="E186" s="1"/>
      <c r="F186" s="5">
        <f t="shared" ref="F186:F190" si="60">IF(D$12=0,0,D186/D$12)</f>
        <v>2.2318885267900674E-2</v>
      </c>
      <c r="G186" s="1"/>
      <c r="H186" s="1">
        <f>SUM(OSRRefH22_4x_0)</f>
        <v>9604.4500000000007</v>
      </c>
      <c r="I186" s="1"/>
      <c r="J186" s="5">
        <f t="shared" ref="J186:J190" si="61">IF(H$12=0,0,H186/H$12)</f>
        <v>2.1631382034154642E-2</v>
      </c>
      <c r="K186" s="1"/>
      <c r="L186" s="1">
        <f t="shared" ref="L186:L190" si="62">+D186-H186</f>
        <v>-4390.0500000000011</v>
      </c>
      <c r="M186" s="1"/>
      <c r="N186" s="5">
        <f t="shared" ref="N186:N190" si="63">IF(H186=0,0,L186/H186)</f>
        <v>-0.45708499705865518</v>
      </c>
      <c r="O186" s="13"/>
      <c r="P186" s="1">
        <f>SUM(OSRRefP22_4x_0)</f>
        <v>46796.780000000006</v>
      </c>
      <c r="Q186" s="1"/>
      <c r="R186" s="5">
        <f t="shared" ref="R186:R190" si="64">IF(P$12=0,0,P186/P$12)</f>
        <v>1.7341038234780809E-2</v>
      </c>
      <c r="S186" s="1"/>
      <c r="T186" s="1">
        <f>SUM(OSRRefT22_4x_0)</f>
        <v>91668.18</v>
      </c>
      <c r="U186" s="1"/>
      <c r="V186" s="5">
        <f t="shared" ref="V186:V190" si="65">IF(T$12=0,0,T186/T$12)</f>
        <v>1.6621054682395556E-2</v>
      </c>
      <c r="W186" s="1"/>
      <c r="X186" s="1">
        <f t="shared" ref="X186:X190" si="66">+P186-T186</f>
        <v>-44871.399999999987</v>
      </c>
      <c r="Y186" s="1"/>
      <c r="Z186" s="5">
        <f t="shared" ref="Z186:Z190" si="67">IF(T186=0,0,X186/T186)</f>
        <v>-0.48949810064953825</v>
      </c>
    </row>
    <row r="187" spans="1:26" s="24" customFormat="1" hidden="1" outlineLevel="2" x14ac:dyDescent="0.25">
      <c r="A187" s="27"/>
      <c r="B187" s="11" t="str">
        <f>CONCATENATE("          ", "6381", " - ", "BANK/CREDIT CARD FEES")</f>
        <v xml:space="preserve">          6381 - BANK/CREDIT CARD FEES</v>
      </c>
      <c r="C187" s="11"/>
      <c r="D187" s="7">
        <v>5214.3999999999996</v>
      </c>
      <c r="E187" s="2"/>
      <c r="F187" s="6">
        <f t="shared" si="60"/>
        <v>2.2318885267900674E-2</v>
      </c>
      <c r="G187" s="2"/>
      <c r="H187" s="7">
        <v>9604.4500000000007</v>
      </c>
      <c r="I187" s="2"/>
      <c r="J187" s="6">
        <f t="shared" si="61"/>
        <v>2.1631382034154642E-2</v>
      </c>
      <c r="K187" s="2"/>
      <c r="L187" s="7">
        <f t="shared" si="62"/>
        <v>-4390.0500000000011</v>
      </c>
      <c r="M187" s="2"/>
      <c r="N187" s="6">
        <f t="shared" si="63"/>
        <v>-0.45708499705865518</v>
      </c>
      <c r="O187" s="11"/>
      <c r="P187" s="7">
        <v>46796.780000000006</v>
      </c>
      <c r="Q187" s="2"/>
      <c r="R187" s="6">
        <f t="shared" si="64"/>
        <v>1.7341038234780809E-2</v>
      </c>
      <c r="S187" s="2"/>
      <c r="T187" s="7">
        <v>91668.18</v>
      </c>
      <c r="U187" s="2"/>
      <c r="V187" s="6">
        <f t="shared" si="65"/>
        <v>1.6621054682395556E-2</v>
      </c>
      <c r="W187" s="2"/>
      <c r="X187" s="7">
        <f t="shared" si="66"/>
        <v>-44871.399999999987</v>
      </c>
      <c r="Y187" s="2"/>
      <c r="Z187" s="6">
        <f t="shared" si="67"/>
        <v>-0.48949810064953825</v>
      </c>
    </row>
    <row r="188" spans="1:26" s="25" customFormat="1" outlineLevel="1" collapsed="1" x14ac:dyDescent="0.25">
      <c r="A188" s="26"/>
      <c r="B188" s="13" t="str">
        <f>CONCATENATE("     ","Depreciation                                      ")</f>
        <v xml:space="preserve">     Depreciation                                      </v>
      </c>
      <c r="C188" s="13"/>
      <c r="D188" s="1">
        <f>SUM(OSRRefD22_5x_0)</f>
        <v>30735.85</v>
      </c>
      <c r="E188" s="1"/>
      <c r="F188" s="5">
        <f t="shared" si="60"/>
        <v>0.13155682528409882</v>
      </c>
      <c r="G188" s="1"/>
      <c r="H188" s="1">
        <f>SUM(OSRRefH22_5x_0)</f>
        <v>29777.31</v>
      </c>
      <c r="I188" s="1"/>
      <c r="J188" s="5">
        <f t="shared" si="61"/>
        <v>6.7065200876620032E-2</v>
      </c>
      <c r="K188" s="1"/>
      <c r="L188" s="1">
        <f t="shared" si="62"/>
        <v>958.53999999999724</v>
      </c>
      <c r="M188" s="1"/>
      <c r="N188" s="5">
        <f t="shared" si="63"/>
        <v>3.2190281795098252E-2</v>
      </c>
      <c r="O188" s="13"/>
      <c r="P188" s="1">
        <f>SUM(OSRRefP22_5x_0)</f>
        <v>184710.59</v>
      </c>
      <c r="Q188" s="1"/>
      <c r="R188" s="5">
        <f t="shared" si="64"/>
        <v>6.844644874196304E-2</v>
      </c>
      <c r="S188" s="1"/>
      <c r="T188" s="1">
        <f>SUM(OSRRefT22_5x_0)</f>
        <v>177814.46</v>
      </c>
      <c r="U188" s="1"/>
      <c r="V188" s="5">
        <f t="shared" si="65"/>
        <v>3.2240891691976845E-2</v>
      </c>
      <c r="W188" s="1"/>
      <c r="X188" s="1">
        <f t="shared" si="66"/>
        <v>6896.1300000000047</v>
      </c>
      <c r="Y188" s="1"/>
      <c r="Z188" s="5">
        <f t="shared" si="67"/>
        <v>3.8782728918671773E-2</v>
      </c>
    </row>
    <row r="189" spans="1:26" s="24" customFormat="1" hidden="1" outlineLevel="2" x14ac:dyDescent="0.25">
      <c r="A189" s="27"/>
      <c r="B189" s="11" t="str">
        <f>CONCATENATE("          ", "6321", " - ", "BUILDING DEPRECIATION")</f>
        <v xml:space="preserve">          6321 - BUILDING DEPRECIATION</v>
      </c>
      <c r="C189" s="11"/>
      <c r="D189" s="7">
        <v>16396.52</v>
      </c>
      <c r="E189" s="2"/>
      <c r="F189" s="6">
        <f t="shared" si="60"/>
        <v>7.0181046462265806E-2</v>
      </c>
      <c r="G189" s="2"/>
      <c r="H189" s="7">
        <v>16396.52</v>
      </c>
      <c r="I189" s="2"/>
      <c r="J189" s="6">
        <f t="shared" si="61"/>
        <v>3.6928651630302331E-2</v>
      </c>
      <c r="K189" s="2"/>
      <c r="L189" s="7">
        <f t="shared" si="62"/>
        <v>0</v>
      </c>
      <c r="M189" s="2"/>
      <c r="N189" s="6">
        <f t="shared" si="63"/>
        <v>0</v>
      </c>
      <c r="O189" s="11"/>
      <c r="P189" s="7">
        <v>98379.12</v>
      </c>
      <c r="Q189" s="2"/>
      <c r="R189" s="6">
        <f t="shared" si="64"/>
        <v>3.6455415979990267E-2</v>
      </c>
      <c r="S189" s="2"/>
      <c r="T189" s="7">
        <v>98379.12</v>
      </c>
      <c r="U189" s="2"/>
      <c r="V189" s="6">
        <f t="shared" si="65"/>
        <v>1.7837866238055066E-2</v>
      </c>
      <c r="W189" s="2"/>
      <c r="X189" s="7">
        <f t="shared" si="66"/>
        <v>0</v>
      </c>
      <c r="Y189" s="2"/>
      <c r="Z189" s="6">
        <f t="shared" si="67"/>
        <v>0</v>
      </c>
    </row>
    <row r="190" spans="1:26" s="24" customFormat="1" hidden="1" outlineLevel="2" x14ac:dyDescent="0.25">
      <c r="A190" s="27"/>
      <c r="B190" s="11" t="str">
        <f>CONCATENATE("          ", "6322", " - ", "EQUIPMENT DEPRECIATION EXPENSE")</f>
        <v xml:space="preserve">          6322 - EQUIPMENT DEPRECIATION EXPENSE</v>
      </c>
      <c r="C190" s="11"/>
      <c r="D190" s="7">
        <v>14339.33</v>
      </c>
      <c r="E190" s="2"/>
      <c r="F190" s="6">
        <f t="shared" si="60"/>
        <v>6.1375778821833038E-2</v>
      </c>
      <c r="G190" s="2"/>
      <c r="H190" s="7">
        <v>13380.79</v>
      </c>
      <c r="I190" s="2"/>
      <c r="J190" s="6">
        <f t="shared" si="61"/>
        <v>3.0136549246317704E-2</v>
      </c>
      <c r="K190" s="2"/>
      <c r="L190" s="7">
        <f t="shared" si="62"/>
        <v>958.53999999999905</v>
      </c>
      <c r="M190" s="2"/>
      <c r="N190" s="6">
        <f t="shared" si="63"/>
        <v>7.1635531235450148E-2</v>
      </c>
      <c r="O190" s="11"/>
      <c r="P190" s="7">
        <v>86331.47</v>
      </c>
      <c r="Q190" s="2"/>
      <c r="R190" s="6">
        <f t="shared" si="64"/>
        <v>3.1991032761972772E-2</v>
      </c>
      <c r="S190" s="2"/>
      <c r="T190" s="7">
        <v>79435.34</v>
      </c>
      <c r="U190" s="2"/>
      <c r="V190" s="6">
        <f t="shared" si="65"/>
        <v>1.4403025453921777E-2</v>
      </c>
      <c r="W190" s="2"/>
      <c r="X190" s="7">
        <f t="shared" si="66"/>
        <v>6896.1300000000047</v>
      </c>
      <c r="Y190" s="2"/>
      <c r="Z190" s="6">
        <f t="shared" si="67"/>
        <v>8.6814382616100153E-2</v>
      </c>
    </row>
    <row r="191" spans="1:26" s="25" customFormat="1" outlineLevel="1" collapsed="1" x14ac:dyDescent="0.25">
      <c r="A191" s="26"/>
      <c r="B191" s="13" t="str">
        <f>CONCATENATE("     ","Discounts and Markdowns                           ")</f>
        <v xml:space="preserve">     Discounts and Markdowns                           </v>
      </c>
      <c r="C191" s="13"/>
      <c r="D191" s="1">
        <f>SUM(OSRRefD22_6x_0)</f>
        <v>0</v>
      </c>
      <c r="E191" s="1"/>
      <c r="F191" s="5">
        <f t="shared" ref="F191:F193" si="68">IF(D$12=0,0,D191/D$12)</f>
        <v>0</v>
      </c>
      <c r="G191" s="1"/>
      <c r="H191" s="1">
        <f>SUM(OSRRefH22_6x_0)</f>
        <v>40819.409999999996</v>
      </c>
      <c r="I191" s="1"/>
      <c r="J191" s="5">
        <f t="shared" ref="J191:J193" si="69">IF(H$12=0,0,H191/H$12)</f>
        <v>9.1934494127075689E-2</v>
      </c>
      <c r="K191" s="1"/>
      <c r="L191" s="1">
        <f t="shared" ref="L191:L193" si="70">+D191-H191</f>
        <v>-40819.409999999996</v>
      </c>
      <c r="M191" s="1"/>
      <c r="N191" s="5">
        <f t="shared" ref="N191:N193" si="71">IF(H191=0,0,L191/H191)</f>
        <v>-1</v>
      </c>
      <c r="O191" s="13"/>
      <c r="P191" s="1">
        <f>SUM(OSRRefP22_6x_0)</f>
        <v>0</v>
      </c>
      <c r="Q191" s="1"/>
      <c r="R191" s="5">
        <f t="shared" ref="R191:R193" si="72">IF(P$12=0,0,P191/P$12)</f>
        <v>0</v>
      </c>
      <c r="S191" s="1"/>
      <c r="T191" s="1">
        <f>SUM(OSRRefT22_6x_0)</f>
        <v>187704.34</v>
      </c>
      <c r="U191" s="1"/>
      <c r="V191" s="5">
        <f t="shared" ref="V191:V193" si="73">IF(T$12=0,0,T191/T$12)</f>
        <v>3.4034101028982661E-2</v>
      </c>
      <c r="W191" s="1"/>
      <c r="X191" s="1">
        <f t="shared" ref="X191:X193" si="74">+P191-T191</f>
        <v>-187704.34</v>
      </c>
      <c r="Y191" s="1"/>
      <c r="Z191" s="5">
        <f t="shared" ref="Z191:Z193" si="75">IF(T191=0,0,X191/T191)</f>
        <v>-1</v>
      </c>
    </row>
    <row r="192" spans="1:26" s="24" customFormat="1" hidden="1" outlineLevel="2" x14ac:dyDescent="0.25">
      <c r="A192" s="27"/>
      <c r="B192" s="11" t="str">
        <f>CONCATENATE("          ", "6382", " - ", "DISCOUNTS/MARK DOWNS")</f>
        <v xml:space="preserve">          6382 - DISCOUNTS/MARK DOWNS</v>
      </c>
      <c r="C192" s="11"/>
      <c r="D192" s="7"/>
      <c r="E192" s="2"/>
      <c r="F192" s="6">
        <f t="shared" si="68"/>
        <v>0</v>
      </c>
      <c r="G192" s="2"/>
      <c r="H192" s="7">
        <v>40940.659999999996</v>
      </c>
      <c r="I192" s="2"/>
      <c r="J192" s="6">
        <f t="shared" si="69"/>
        <v>9.2207576403691358E-2</v>
      </c>
      <c r="K192" s="2"/>
      <c r="L192" s="7">
        <f t="shared" si="70"/>
        <v>-40940.659999999996</v>
      </c>
      <c r="M192" s="2"/>
      <c r="N192" s="6">
        <f t="shared" si="71"/>
        <v>-1</v>
      </c>
      <c r="O192" s="11"/>
      <c r="P192" s="7">
        <v>0</v>
      </c>
      <c r="Q192" s="2"/>
      <c r="R192" s="6">
        <f t="shared" si="72"/>
        <v>0</v>
      </c>
      <c r="S192" s="2"/>
      <c r="T192" s="7">
        <v>190190.84</v>
      </c>
      <c r="U192" s="2"/>
      <c r="V192" s="6">
        <f t="shared" si="73"/>
        <v>3.4484947249206262E-2</v>
      </c>
      <c r="W192" s="2"/>
      <c r="X192" s="7">
        <f t="shared" si="74"/>
        <v>-190190.84</v>
      </c>
      <c r="Y192" s="2"/>
      <c r="Z192" s="6">
        <f t="shared" si="75"/>
        <v>-1</v>
      </c>
    </row>
    <row r="193" spans="1:26" s="24" customFormat="1" hidden="1" outlineLevel="2" x14ac:dyDescent="0.25">
      <c r="A193" s="27"/>
      <c r="B193" s="11" t="str">
        <f>CONCATENATE("          ", "9175", " - ", "EARNED DISCOUNTS")</f>
        <v xml:space="preserve">          9175 - EARNED DISCOUNTS</v>
      </c>
      <c r="C193" s="11"/>
      <c r="D193" s="7"/>
      <c r="E193" s="2"/>
      <c r="F193" s="6">
        <f t="shared" si="68"/>
        <v>0</v>
      </c>
      <c r="G193" s="2"/>
      <c r="H193" s="7">
        <v>-121.25</v>
      </c>
      <c r="I193" s="2"/>
      <c r="J193" s="6">
        <f t="shared" si="69"/>
        <v>-2.7308227661565731E-4</v>
      </c>
      <c r="K193" s="2"/>
      <c r="L193" s="7">
        <f t="shared" si="70"/>
        <v>121.25</v>
      </c>
      <c r="M193" s="2"/>
      <c r="N193" s="6">
        <f t="shared" si="71"/>
        <v>-1</v>
      </c>
      <c r="O193" s="11"/>
      <c r="P193" s="7">
        <v>0</v>
      </c>
      <c r="Q193" s="2"/>
      <c r="R193" s="6">
        <f t="shared" si="72"/>
        <v>0</v>
      </c>
      <c r="S193" s="2"/>
      <c r="T193" s="7">
        <v>-2486.5</v>
      </c>
      <c r="U193" s="2"/>
      <c r="V193" s="6">
        <f t="shared" si="73"/>
        <v>-4.5084622022359947E-4</v>
      </c>
      <c r="W193" s="2"/>
      <c r="X193" s="7">
        <f t="shared" si="74"/>
        <v>2486.5</v>
      </c>
      <c r="Y193" s="2"/>
      <c r="Z193" s="6">
        <f t="shared" si="75"/>
        <v>-1</v>
      </c>
    </row>
    <row r="194" spans="1:26" s="25" customFormat="1" outlineLevel="1" collapsed="1" x14ac:dyDescent="0.25">
      <c r="A194" s="26"/>
      <c r="B194" s="13" t="str">
        <f>CONCATENATE("     ","Donations                                         ")</f>
        <v xml:space="preserve">     Donations                                         </v>
      </c>
      <c r="C194" s="13"/>
      <c r="D194" s="1">
        <f>SUM(OSRRefD22_7x_0)</f>
        <v>0</v>
      </c>
      <c r="E194" s="1"/>
      <c r="F194" s="5">
        <f t="shared" ref="F194:F202" si="76">IF(D$12=0,0,D194/D$12)</f>
        <v>0</v>
      </c>
      <c r="G194" s="1"/>
      <c r="H194" s="1">
        <f>SUM(OSRRefH22_7x_0)</f>
        <v>150.84</v>
      </c>
      <c r="I194" s="1"/>
      <c r="J194" s="5">
        <f t="shared" ref="J194:J202" si="77">IF(H$12=0,0,H194/H$12)</f>
        <v>3.3972561323468664E-4</v>
      </c>
      <c r="K194" s="1"/>
      <c r="L194" s="1">
        <f t="shared" ref="L194:L202" si="78">+D194-H194</f>
        <v>-150.84</v>
      </c>
      <c r="M194" s="1"/>
      <c r="N194" s="5">
        <f t="shared" ref="N194:N202" si="79">IF(H194=0,0,L194/H194)</f>
        <v>-1</v>
      </c>
      <c r="O194" s="13"/>
      <c r="P194" s="1">
        <f>SUM(OSRRefP22_7x_0)</f>
        <v>0</v>
      </c>
      <c r="Q194" s="1"/>
      <c r="R194" s="5">
        <f t="shared" ref="R194:R202" si="80">IF(P$12=0,0,P194/P$12)</f>
        <v>0</v>
      </c>
      <c r="S194" s="1"/>
      <c r="T194" s="1">
        <f>SUM(OSRRefT22_7x_0)</f>
        <v>9798.2199999999993</v>
      </c>
      <c r="U194" s="1"/>
      <c r="V194" s="5">
        <f t="shared" ref="V194:V202" si="81">IF(T$12=0,0,T194/T$12)</f>
        <v>1.7765897655014184E-3</v>
      </c>
      <c r="W194" s="1"/>
      <c r="X194" s="1">
        <f t="shared" ref="X194:X202" si="82">+P194-T194</f>
        <v>-9798.2199999999993</v>
      </c>
      <c r="Y194" s="1"/>
      <c r="Z194" s="5">
        <f t="shared" ref="Z194:Z202" si="83">IF(T194=0,0,X194/T194)</f>
        <v>-1</v>
      </c>
    </row>
    <row r="195" spans="1:26" s="24" customFormat="1" hidden="1" outlineLevel="2" x14ac:dyDescent="0.25">
      <c r="A195" s="27"/>
      <c r="B195" s="11" t="str">
        <f>CONCATENATE("          ", "6399", " - ", "DONATION-ON CAMPUS")</f>
        <v xml:space="preserve">          6399 - DONATION-ON CAMPUS</v>
      </c>
      <c r="C195" s="11"/>
      <c r="D195" s="7"/>
      <c r="E195" s="2"/>
      <c r="F195" s="6">
        <f t="shared" si="76"/>
        <v>0</v>
      </c>
      <c r="G195" s="2"/>
      <c r="H195" s="7">
        <v>150.84</v>
      </c>
      <c r="I195" s="2"/>
      <c r="J195" s="6">
        <f t="shared" si="77"/>
        <v>3.3972561323468664E-4</v>
      </c>
      <c r="K195" s="2"/>
      <c r="L195" s="7">
        <f t="shared" si="78"/>
        <v>-150.84</v>
      </c>
      <c r="M195" s="2"/>
      <c r="N195" s="6">
        <f t="shared" si="79"/>
        <v>-1</v>
      </c>
      <c r="O195" s="11"/>
      <c r="P195" s="7"/>
      <c r="Q195" s="2"/>
      <c r="R195" s="6">
        <f t="shared" si="80"/>
        <v>0</v>
      </c>
      <c r="S195" s="2"/>
      <c r="T195" s="7">
        <v>9798.2199999999993</v>
      </c>
      <c r="U195" s="2"/>
      <c r="V195" s="6">
        <f t="shared" si="81"/>
        <v>1.7765897655014184E-3</v>
      </c>
      <c r="W195" s="2"/>
      <c r="X195" s="7">
        <f t="shared" si="82"/>
        <v>-9798.2199999999993</v>
      </c>
      <c r="Y195" s="2"/>
      <c r="Z195" s="6">
        <f t="shared" si="83"/>
        <v>-1</v>
      </c>
    </row>
    <row r="196" spans="1:26" s="25" customFormat="1" outlineLevel="1" collapsed="1" x14ac:dyDescent="0.25">
      <c r="A196" s="26"/>
      <c r="B196" s="13" t="str">
        <f>CONCATENATE("     ","Employees' Appreciation                           ")</f>
        <v xml:space="preserve">     Employees' Appreciation                           </v>
      </c>
      <c r="C196" s="13"/>
      <c r="D196" s="1">
        <f>SUM(OSRRefD22_8x_0)</f>
        <v>0</v>
      </c>
      <c r="E196" s="1"/>
      <c r="F196" s="5">
        <f t="shared" si="76"/>
        <v>0</v>
      </c>
      <c r="G196" s="1"/>
      <c r="H196" s="1">
        <f>SUM(OSRRefH22_8x_0)</f>
        <v>152.4</v>
      </c>
      <c r="I196" s="1"/>
      <c r="J196" s="5">
        <f t="shared" si="77"/>
        <v>3.4323908417506125E-4</v>
      </c>
      <c r="K196" s="1"/>
      <c r="L196" s="1">
        <f t="shared" si="78"/>
        <v>-152.4</v>
      </c>
      <c r="M196" s="1"/>
      <c r="N196" s="5">
        <f t="shared" si="79"/>
        <v>-1</v>
      </c>
      <c r="O196" s="13"/>
      <c r="P196" s="1">
        <f>SUM(OSRRefP22_8x_0)</f>
        <v>107.7</v>
      </c>
      <c r="Q196" s="1"/>
      <c r="R196" s="5">
        <f t="shared" si="80"/>
        <v>3.9909365941115884E-5</v>
      </c>
      <c r="S196" s="1"/>
      <c r="T196" s="1">
        <f>SUM(OSRRefT22_8x_0)</f>
        <v>1194.04</v>
      </c>
      <c r="U196" s="1"/>
      <c r="V196" s="5">
        <f t="shared" si="81"/>
        <v>2.1650047086096388E-4</v>
      </c>
      <c r="W196" s="1"/>
      <c r="X196" s="1">
        <f t="shared" si="82"/>
        <v>-1086.3399999999999</v>
      </c>
      <c r="Y196" s="1"/>
      <c r="Z196" s="5">
        <f t="shared" si="83"/>
        <v>-0.90980201668285821</v>
      </c>
    </row>
    <row r="197" spans="1:26" s="24" customFormat="1" hidden="1" outlineLevel="2" x14ac:dyDescent="0.25">
      <c r="A197" s="27"/>
      <c r="B197" s="11" t="str">
        <f>CONCATENATE("          ", "6277", " - ", "EMPLOYEE APPRECIATION")</f>
        <v xml:space="preserve">          6277 - EMPLOYEE APPRECIATION</v>
      </c>
      <c r="C197" s="11"/>
      <c r="D197" s="7"/>
      <c r="E197" s="2"/>
      <c r="F197" s="6">
        <f t="shared" si="76"/>
        <v>0</v>
      </c>
      <c r="G197" s="2"/>
      <c r="H197" s="7">
        <v>152.4</v>
      </c>
      <c r="I197" s="2"/>
      <c r="J197" s="6">
        <f t="shared" si="77"/>
        <v>3.4323908417506125E-4</v>
      </c>
      <c r="K197" s="2"/>
      <c r="L197" s="7">
        <f t="shared" si="78"/>
        <v>-152.4</v>
      </c>
      <c r="M197" s="2"/>
      <c r="N197" s="6">
        <f t="shared" si="79"/>
        <v>-1</v>
      </c>
      <c r="O197" s="11"/>
      <c r="P197" s="7">
        <v>107.7</v>
      </c>
      <c r="Q197" s="2"/>
      <c r="R197" s="6">
        <f t="shared" si="80"/>
        <v>3.9909365941115884E-5</v>
      </c>
      <c r="S197" s="2"/>
      <c r="T197" s="7">
        <v>1194.04</v>
      </c>
      <c r="U197" s="2"/>
      <c r="V197" s="6">
        <f t="shared" si="81"/>
        <v>2.1650047086096388E-4</v>
      </c>
      <c r="W197" s="2"/>
      <c r="X197" s="7">
        <f t="shared" si="82"/>
        <v>-1086.3399999999999</v>
      </c>
      <c r="Y197" s="2"/>
      <c r="Z197" s="6">
        <f t="shared" si="83"/>
        <v>-0.90980201668285821</v>
      </c>
    </row>
    <row r="198" spans="1:26" s="25" customFormat="1" outlineLevel="1" collapsed="1" x14ac:dyDescent="0.25">
      <c r="A198" s="26"/>
      <c r="B198" s="13" t="str">
        <f>CONCATENATE("     ","Equipment Rental                                  ")</f>
        <v xml:space="preserve">     Equipment Rental                                  </v>
      </c>
      <c r="C198" s="13"/>
      <c r="D198" s="1">
        <f>SUM(OSRRefD22_9x_0)</f>
        <v>1296.9000000000001</v>
      </c>
      <c r="E198" s="1"/>
      <c r="F198" s="5">
        <f t="shared" si="76"/>
        <v>5.5510437066470519E-3</v>
      </c>
      <c r="G198" s="1"/>
      <c r="H198" s="1">
        <f>SUM(OSRRefH22_9x_0)</f>
        <v>0</v>
      </c>
      <c r="I198" s="1"/>
      <c r="J198" s="5">
        <f t="shared" si="77"/>
        <v>0</v>
      </c>
      <c r="K198" s="1"/>
      <c r="L198" s="1">
        <f t="shared" si="78"/>
        <v>1296.9000000000001</v>
      </c>
      <c r="M198" s="1"/>
      <c r="N198" s="5">
        <f t="shared" si="79"/>
        <v>0</v>
      </c>
      <c r="O198" s="13"/>
      <c r="P198" s="1">
        <f>SUM(OSRRefP22_9x_0)</f>
        <v>8976.74</v>
      </c>
      <c r="Q198" s="1"/>
      <c r="R198" s="5">
        <f t="shared" si="80"/>
        <v>3.3264252703644622E-3</v>
      </c>
      <c r="S198" s="1"/>
      <c r="T198" s="1">
        <f>SUM(OSRRefT22_9x_0)</f>
        <v>11090.14</v>
      </c>
      <c r="U198" s="1"/>
      <c r="V198" s="5">
        <f t="shared" si="81"/>
        <v>2.0108376033583547E-3</v>
      </c>
      <c r="W198" s="1"/>
      <c r="X198" s="1">
        <f t="shared" si="82"/>
        <v>-2113.3999999999996</v>
      </c>
      <c r="Y198" s="1"/>
      <c r="Z198" s="5">
        <f t="shared" si="83"/>
        <v>-0.19056567365245161</v>
      </c>
    </row>
    <row r="199" spans="1:26" s="24" customFormat="1" hidden="1" outlineLevel="2" x14ac:dyDescent="0.25">
      <c r="A199" s="27"/>
      <c r="B199" s="11" t="str">
        <f>CONCATENATE("          ", "6351", " - ", "EQUIPMENT RENTAL")</f>
        <v xml:space="preserve">          6351 - EQUIPMENT RENTAL</v>
      </c>
      <c r="C199" s="11"/>
      <c r="D199" s="7">
        <v>1296.9000000000001</v>
      </c>
      <c r="E199" s="2"/>
      <c r="F199" s="6">
        <f t="shared" si="76"/>
        <v>5.5510437066470519E-3</v>
      </c>
      <c r="G199" s="2"/>
      <c r="H199" s="7"/>
      <c r="I199" s="2"/>
      <c r="J199" s="6">
        <f t="shared" si="77"/>
        <v>0</v>
      </c>
      <c r="K199" s="2"/>
      <c r="L199" s="7">
        <f t="shared" si="78"/>
        <v>1296.9000000000001</v>
      </c>
      <c r="M199" s="2"/>
      <c r="N199" s="6">
        <f t="shared" si="79"/>
        <v>0</v>
      </c>
      <c r="O199" s="11"/>
      <c r="P199" s="7">
        <v>8976.74</v>
      </c>
      <c r="Q199" s="2"/>
      <c r="R199" s="6">
        <f t="shared" si="80"/>
        <v>3.3264252703644622E-3</v>
      </c>
      <c r="S199" s="2"/>
      <c r="T199" s="7">
        <v>11090.14</v>
      </c>
      <c r="U199" s="2"/>
      <c r="V199" s="6">
        <f t="shared" si="81"/>
        <v>2.0108376033583547E-3</v>
      </c>
      <c r="W199" s="2"/>
      <c r="X199" s="7">
        <f t="shared" si="82"/>
        <v>-2113.3999999999996</v>
      </c>
      <c r="Y199" s="2"/>
      <c r="Z199" s="6">
        <f t="shared" si="83"/>
        <v>-0.19056567365245161</v>
      </c>
    </row>
    <row r="200" spans="1:26" s="25" customFormat="1" outlineLevel="1" collapsed="1" x14ac:dyDescent="0.25">
      <c r="A200" s="26"/>
      <c r="B200" s="13" t="str">
        <f>CONCATENATE("     ","Freight out/Postage                               ")</f>
        <v xml:space="preserve">     Freight out/Postage                               </v>
      </c>
      <c r="C200" s="13"/>
      <c r="D200" s="1">
        <f>SUM(OSRRefD22_10x_0)</f>
        <v>4305.92</v>
      </c>
      <c r="E200" s="1"/>
      <c r="F200" s="5">
        <f t="shared" si="76"/>
        <v>1.8430372517021877E-2</v>
      </c>
      <c r="G200" s="1"/>
      <c r="H200" s="1">
        <f>SUM(OSRRefH22_10x_0)</f>
        <v>1883.96</v>
      </c>
      <c r="I200" s="1"/>
      <c r="J200" s="5">
        <f t="shared" si="77"/>
        <v>4.2431017389924436E-3</v>
      </c>
      <c r="K200" s="1"/>
      <c r="L200" s="1">
        <f t="shared" si="78"/>
        <v>2421.96</v>
      </c>
      <c r="M200" s="1"/>
      <c r="N200" s="5">
        <f t="shared" si="79"/>
        <v>1.2855686957260239</v>
      </c>
      <c r="O200" s="13"/>
      <c r="P200" s="1">
        <f>SUM(OSRRefP22_10x_0)</f>
        <v>-15048.86</v>
      </c>
      <c r="Q200" s="1"/>
      <c r="R200" s="5">
        <f t="shared" si="80"/>
        <v>-5.5765130987615709E-3</v>
      </c>
      <c r="S200" s="1"/>
      <c r="T200" s="1">
        <f>SUM(OSRRefT22_10x_0)</f>
        <v>6558.2800000000025</v>
      </c>
      <c r="U200" s="1"/>
      <c r="V200" s="5">
        <f t="shared" si="81"/>
        <v>1.1891316103631727E-3</v>
      </c>
      <c r="W200" s="1"/>
      <c r="X200" s="1">
        <f t="shared" si="82"/>
        <v>-21607.140000000003</v>
      </c>
      <c r="Y200" s="1"/>
      <c r="Z200" s="5">
        <f t="shared" si="83"/>
        <v>-3.2946351787358874</v>
      </c>
    </row>
    <row r="201" spans="1:26" s="24" customFormat="1" hidden="1" outlineLevel="2" x14ac:dyDescent="0.25">
      <c r="A201" s="27"/>
      <c r="B201" s="11" t="str">
        <f>CONCATENATE("          ", "6305", " - ", "FREIGHT OUT")</f>
        <v xml:space="preserve">          6305 - FREIGHT OUT</v>
      </c>
      <c r="C201" s="11"/>
      <c r="D201" s="7">
        <v>13712.49</v>
      </c>
      <c r="E201" s="2"/>
      <c r="F201" s="6">
        <f t="shared" si="76"/>
        <v>5.8692752962418555E-2</v>
      </c>
      <c r="G201" s="2"/>
      <c r="H201" s="7">
        <v>5990.2</v>
      </c>
      <c r="I201" s="2"/>
      <c r="J201" s="6">
        <f t="shared" si="77"/>
        <v>1.3491277966046272E-2</v>
      </c>
      <c r="K201" s="2"/>
      <c r="L201" s="7">
        <f t="shared" si="78"/>
        <v>7722.29</v>
      </c>
      <c r="M201" s="2"/>
      <c r="N201" s="6">
        <f t="shared" si="79"/>
        <v>1.2891539514540415</v>
      </c>
      <c r="O201" s="11"/>
      <c r="P201" s="7">
        <v>116773.51</v>
      </c>
      <c r="Q201" s="2"/>
      <c r="R201" s="6">
        <f t="shared" si="80"/>
        <v>4.327165035114721E-2</v>
      </c>
      <c r="S201" s="2"/>
      <c r="T201" s="7">
        <v>34712.120000000003</v>
      </c>
      <c r="U201" s="2"/>
      <c r="V201" s="6">
        <f t="shared" si="81"/>
        <v>6.2939183985312747E-3</v>
      </c>
      <c r="W201" s="2"/>
      <c r="X201" s="7">
        <f t="shared" si="82"/>
        <v>82061.389999999985</v>
      </c>
      <c r="Y201" s="2"/>
      <c r="Z201" s="6">
        <f t="shared" si="83"/>
        <v>2.3640558398622722</v>
      </c>
    </row>
    <row r="202" spans="1:26" s="24" customFormat="1" hidden="1" outlineLevel="2" x14ac:dyDescent="0.25">
      <c r="A202" s="27"/>
      <c r="B202" s="11" t="str">
        <f>CONCATENATE("          ", "6307", " - ", "POSTAGE")</f>
        <v xml:space="preserve">          6307 - POSTAGE</v>
      </c>
      <c r="C202" s="11"/>
      <c r="D202" s="7">
        <v>-9406.57</v>
      </c>
      <c r="E202" s="2"/>
      <c r="F202" s="6">
        <f t="shared" si="76"/>
        <v>-4.0262380445396678E-2</v>
      </c>
      <c r="G202" s="2"/>
      <c r="H202" s="7">
        <v>-4106.24</v>
      </c>
      <c r="I202" s="2"/>
      <c r="J202" s="6">
        <f t="shared" si="77"/>
        <v>-9.2481762270538292E-3</v>
      </c>
      <c r="K202" s="2"/>
      <c r="L202" s="7">
        <f t="shared" si="78"/>
        <v>-5300.33</v>
      </c>
      <c r="M202" s="2"/>
      <c r="N202" s="6">
        <f t="shared" si="79"/>
        <v>1.2907988817019951</v>
      </c>
      <c r="O202" s="11"/>
      <c r="P202" s="7">
        <v>-131822.37</v>
      </c>
      <c r="Q202" s="2"/>
      <c r="R202" s="6">
        <f t="shared" si="80"/>
        <v>-4.8848163449908784E-2</v>
      </c>
      <c r="S202" s="2"/>
      <c r="T202" s="7">
        <v>-28153.84</v>
      </c>
      <c r="U202" s="2"/>
      <c r="V202" s="6">
        <f t="shared" si="81"/>
        <v>-5.1047867881681011E-3</v>
      </c>
      <c r="W202" s="2"/>
      <c r="X202" s="7">
        <f t="shared" si="82"/>
        <v>-103668.53</v>
      </c>
      <c r="Y202" s="2"/>
      <c r="Z202" s="6">
        <f t="shared" si="83"/>
        <v>3.6822163513041204</v>
      </c>
    </row>
    <row r="203" spans="1:26" s="25" customFormat="1" outlineLevel="1" collapsed="1" x14ac:dyDescent="0.25">
      <c r="A203" s="26"/>
      <c r="B203" s="13" t="str">
        <f>CONCATENATE("     ","General                                           ")</f>
        <v xml:space="preserve">     General                                           </v>
      </c>
      <c r="C203" s="13"/>
      <c r="D203" s="1">
        <f>SUM(OSRRefD22_11x_0)</f>
        <v>1744.47</v>
      </c>
      <c r="E203" s="1"/>
      <c r="F203" s="5">
        <f t="shared" ref="F203:F217" si="84">IF(D$12=0,0,D203/D$12)</f>
        <v>7.4667508789687583E-3</v>
      </c>
      <c r="G203" s="1"/>
      <c r="H203" s="1">
        <f>SUM(OSRRefH22_11x_0)</f>
        <v>2105.2199999999998</v>
      </c>
      <c r="I203" s="1"/>
      <c r="J203" s="5">
        <f t="shared" ref="J203:J217" si="85">IF(H$12=0,0,H203/H$12)</f>
        <v>4.74142903403558E-3</v>
      </c>
      <c r="K203" s="1"/>
      <c r="L203" s="1">
        <f t="shared" ref="L203:L217" si="86">+D203-H203</f>
        <v>-360.74999999999977</v>
      </c>
      <c r="M203" s="1"/>
      <c r="N203" s="5">
        <f t="shared" ref="N203:N217" si="87">IF(H203=0,0,L203/H203)</f>
        <v>-0.17135976287513885</v>
      </c>
      <c r="O203" s="13"/>
      <c r="P203" s="1">
        <f>SUM(OSRRefP22_11x_0)</f>
        <v>2290.37</v>
      </c>
      <c r="Q203" s="1"/>
      <c r="R203" s="5">
        <f t="shared" ref="R203:R217" si="88">IF(P$12=0,0,P203/P$12)</f>
        <v>8.4872065432268877E-4</v>
      </c>
      <c r="S203" s="1"/>
      <c r="T203" s="1">
        <f>SUM(OSRRefT22_11x_0)</f>
        <v>-1347.75</v>
      </c>
      <c r="U203" s="1"/>
      <c r="V203" s="5">
        <f t="shared" ref="V203:V217" si="89">IF(T$12=0,0,T203/T$12)</f>
        <v>-2.4437079964060172E-4</v>
      </c>
      <c r="W203" s="1"/>
      <c r="X203" s="1">
        <f t="shared" ref="X203:X217" si="90">+P203-T203</f>
        <v>3638.12</v>
      </c>
      <c r="Y203" s="1"/>
      <c r="Z203" s="5">
        <f t="shared" ref="Z203:Z217" si="91">IF(T203=0,0,X203/T203)</f>
        <v>-2.6994027082173995</v>
      </c>
    </row>
    <row r="204" spans="1:26" s="24" customFormat="1" hidden="1" outlineLevel="2" x14ac:dyDescent="0.25">
      <c r="A204" s="27"/>
      <c r="B204" s="11" t="str">
        <f>CONCATENATE("          ", "6279", " - ", "GENERAL EXPENSE")</f>
        <v xml:space="preserve">          6279 - GENERAL EXPENSE</v>
      </c>
      <c r="C204" s="11"/>
      <c r="D204" s="7">
        <v>1744.47</v>
      </c>
      <c r="E204" s="2"/>
      <c r="F204" s="6">
        <f t="shared" si="84"/>
        <v>7.4667508789687583E-3</v>
      </c>
      <c r="G204" s="2"/>
      <c r="H204" s="7">
        <v>2105.2199999999998</v>
      </c>
      <c r="I204" s="2"/>
      <c r="J204" s="6">
        <f t="shared" si="85"/>
        <v>4.74142903403558E-3</v>
      </c>
      <c r="K204" s="2"/>
      <c r="L204" s="7">
        <f t="shared" si="86"/>
        <v>-360.74999999999977</v>
      </c>
      <c r="M204" s="2"/>
      <c r="N204" s="6">
        <f t="shared" si="87"/>
        <v>-0.17135976287513885</v>
      </c>
      <c r="O204" s="11"/>
      <c r="P204" s="7">
        <v>2290.37</v>
      </c>
      <c r="Q204" s="2"/>
      <c r="R204" s="6">
        <f t="shared" si="88"/>
        <v>8.4872065432268877E-4</v>
      </c>
      <c r="S204" s="2"/>
      <c r="T204" s="7">
        <v>-1347.75</v>
      </c>
      <c r="U204" s="2"/>
      <c r="V204" s="6">
        <f t="shared" si="89"/>
        <v>-2.4437079964060172E-4</v>
      </c>
      <c r="W204" s="2"/>
      <c r="X204" s="7">
        <f t="shared" si="90"/>
        <v>3638.12</v>
      </c>
      <c r="Y204" s="2"/>
      <c r="Z204" s="6">
        <f t="shared" si="91"/>
        <v>-2.6994027082173995</v>
      </c>
    </row>
    <row r="205" spans="1:26" s="25" customFormat="1" outlineLevel="1" collapsed="1" x14ac:dyDescent="0.25">
      <c r="A205" s="26"/>
      <c r="B205" s="13" t="str">
        <f>CONCATENATE("     ","Insurance                                         ")</f>
        <v xml:space="preserve">     Insurance                                         </v>
      </c>
      <c r="C205" s="13"/>
      <c r="D205" s="1">
        <f>SUM(OSRRefD22_12x_0)</f>
        <v>4044.74</v>
      </c>
      <c r="E205" s="1"/>
      <c r="F205" s="5">
        <f t="shared" si="84"/>
        <v>1.7312459343067001E-2</v>
      </c>
      <c r="G205" s="1"/>
      <c r="H205" s="1">
        <f>SUM(OSRRefH22_12x_0)</f>
        <v>4044.74</v>
      </c>
      <c r="I205" s="1"/>
      <c r="J205" s="5">
        <f t="shared" si="85"/>
        <v>9.1096643919044429E-3</v>
      </c>
      <c r="K205" s="1"/>
      <c r="L205" s="1">
        <f t="shared" si="86"/>
        <v>0</v>
      </c>
      <c r="M205" s="1"/>
      <c r="N205" s="5">
        <f t="shared" si="87"/>
        <v>0</v>
      </c>
      <c r="O205" s="13"/>
      <c r="P205" s="1">
        <f>SUM(OSRRefP22_12x_0)</f>
        <v>24268.44</v>
      </c>
      <c r="Q205" s="1"/>
      <c r="R205" s="5">
        <f t="shared" si="88"/>
        <v>8.9929252811514777E-3</v>
      </c>
      <c r="S205" s="1"/>
      <c r="T205" s="1">
        <f>SUM(OSRRefT22_12x_0)</f>
        <v>24268.44</v>
      </c>
      <c r="U205" s="1"/>
      <c r="V205" s="5">
        <f t="shared" si="89"/>
        <v>4.4002953729029605E-3</v>
      </c>
      <c r="W205" s="1"/>
      <c r="X205" s="1">
        <f t="shared" si="90"/>
        <v>0</v>
      </c>
      <c r="Y205" s="1"/>
      <c r="Z205" s="5">
        <f t="shared" si="91"/>
        <v>0</v>
      </c>
    </row>
    <row r="206" spans="1:26" s="24" customFormat="1" hidden="1" outlineLevel="2" x14ac:dyDescent="0.25">
      <c r="A206" s="27"/>
      <c r="B206" s="11" t="str">
        <f>CONCATENATE("          ", "6314", " - ", "LIABILITY INSURANCE")</f>
        <v xml:space="preserve">          6314 - LIABILITY INSURANCE</v>
      </c>
      <c r="C206" s="11"/>
      <c r="D206" s="7">
        <v>4044.74</v>
      </c>
      <c r="E206" s="2"/>
      <c r="F206" s="6">
        <f t="shared" si="84"/>
        <v>1.7312459343067001E-2</v>
      </c>
      <c r="G206" s="2"/>
      <c r="H206" s="7">
        <v>4044.74</v>
      </c>
      <c r="I206" s="2"/>
      <c r="J206" s="6">
        <f t="shared" si="85"/>
        <v>9.1096643919044429E-3</v>
      </c>
      <c r="K206" s="2"/>
      <c r="L206" s="7">
        <f t="shared" si="86"/>
        <v>0</v>
      </c>
      <c r="M206" s="2"/>
      <c r="N206" s="6">
        <f t="shared" si="87"/>
        <v>0</v>
      </c>
      <c r="O206" s="11"/>
      <c r="P206" s="7">
        <v>24268.44</v>
      </c>
      <c r="Q206" s="2"/>
      <c r="R206" s="6">
        <f t="shared" si="88"/>
        <v>8.9929252811514777E-3</v>
      </c>
      <c r="S206" s="2"/>
      <c r="T206" s="7">
        <v>24268.44</v>
      </c>
      <c r="U206" s="2"/>
      <c r="V206" s="6">
        <f t="shared" si="89"/>
        <v>4.4002953729029605E-3</v>
      </c>
      <c r="W206" s="2"/>
      <c r="X206" s="7">
        <f t="shared" si="90"/>
        <v>0</v>
      </c>
      <c r="Y206" s="2"/>
      <c r="Z206" s="6">
        <f t="shared" si="91"/>
        <v>0</v>
      </c>
    </row>
    <row r="207" spans="1:26" s="25" customFormat="1" outlineLevel="1" collapsed="1" x14ac:dyDescent="0.25">
      <c r="A207" s="26"/>
      <c r="B207" s="13" t="str">
        <f>CONCATENATE("     ","Inventory Adjustment                              ")</f>
        <v xml:space="preserve">     Inventory Adjustment                              </v>
      </c>
      <c r="C207" s="13"/>
      <c r="D207" s="1">
        <f>SUM(OSRRefD22_13x_0)</f>
        <v>7100</v>
      </c>
      <c r="E207" s="1"/>
      <c r="F207" s="5">
        <f t="shared" si="84"/>
        <v>3.0389706467109312E-2</v>
      </c>
      <c r="G207" s="1"/>
      <c r="H207" s="1">
        <f>SUM(OSRRefH22_13x_0)</f>
        <v>10050</v>
      </c>
      <c r="I207" s="1"/>
      <c r="J207" s="5">
        <f t="shared" si="85"/>
        <v>2.2634860865875104E-2</v>
      </c>
      <c r="K207" s="1"/>
      <c r="L207" s="1">
        <f t="shared" si="86"/>
        <v>-2950</v>
      </c>
      <c r="M207" s="1"/>
      <c r="N207" s="5">
        <f t="shared" si="87"/>
        <v>-0.29353233830845771</v>
      </c>
      <c r="O207" s="13"/>
      <c r="P207" s="1">
        <f>SUM(OSRRefP22_13x_0)</f>
        <v>17600</v>
      </c>
      <c r="Q207" s="1"/>
      <c r="R207" s="5">
        <f t="shared" si="88"/>
        <v>6.5218648148898748E-3</v>
      </c>
      <c r="S207" s="1"/>
      <c r="T207" s="1">
        <f>SUM(OSRRefT22_13x_0)</f>
        <v>31200</v>
      </c>
      <c r="U207" s="1"/>
      <c r="V207" s="5">
        <f t="shared" si="89"/>
        <v>5.657109218168632E-3</v>
      </c>
      <c r="W207" s="1"/>
      <c r="X207" s="1">
        <f t="shared" si="90"/>
        <v>-13600</v>
      </c>
      <c r="Y207" s="1"/>
      <c r="Z207" s="5">
        <f t="shared" si="91"/>
        <v>-0.4358974358974359</v>
      </c>
    </row>
    <row r="208" spans="1:26" s="24" customFormat="1" hidden="1" outlineLevel="2" x14ac:dyDescent="0.25">
      <c r="A208" s="27"/>
      <c r="B208" s="11" t="str">
        <f>CONCATENATE("          ", "6408", " - ", "INVENTORY ADJUSTMENT")</f>
        <v xml:space="preserve">          6408 - INVENTORY ADJUSTMENT</v>
      </c>
      <c r="C208" s="11"/>
      <c r="D208" s="7">
        <v>7100</v>
      </c>
      <c r="E208" s="2"/>
      <c r="F208" s="6">
        <f t="shared" si="84"/>
        <v>3.0389706467109312E-2</v>
      </c>
      <c r="G208" s="2"/>
      <c r="H208" s="7">
        <v>10050</v>
      </c>
      <c r="I208" s="2"/>
      <c r="J208" s="6">
        <f t="shared" si="85"/>
        <v>2.2634860865875104E-2</v>
      </c>
      <c r="K208" s="2"/>
      <c r="L208" s="7">
        <f t="shared" si="86"/>
        <v>-2950</v>
      </c>
      <c r="M208" s="2"/>
      <c r="N208" s="6">
        <f t="shared" si="87"/>
        <v>-0.29353233830845771</v>
      </c>
      <c r="O208" s="11"/>
      <c r="P208" s="7">
        <v>17600</v>
      </c>
      <c r="Q208" s="2"/>
      <c r="R208" s="6">
        <f t="shared" si="88"/>
        <v>6.5218648148898748E-3</v>
      </c>
      <c r="S208" s="2"/>
      <c r="T208" s="7">
        <v>31200</v>
      </c>
      <c r="U208" s="2"/>
      <c r="V208" s="6">
        <f t="shared" si="89"/>
        <v>5.657109218168632E-3</v>
      </c>
      <c r="W208" s="2"/>
      <c r="X208" s="7">
        <f t="shared" si="90"/>
        <v>-13600</v>
      </c>
      <c r="Y208" s="2"/>
      <c r="Z208" s="6">
        <f t="shared" si="91"/>
        <v>-0.4358974358974359</v>
      </c>
    </row>
    <row r="209" spans="1:26" s="25" customFormat="1" outlineLevel="1" collapsed="1" x14ac:dyDescent="0.25">
      <c r="A209" s="26"/>
      <c r="B209" s="13" t="str">
        <f>CONCATENATE("     ","Professional Services                             ")</f>
        <v xml:space="preserve">     Professional Services                             </v>
      </c>
      <c r="C209" s="13"/>
      <c r="D209" s="1">
        <f>SUM(OSRRefD22_14x_0)</f>
        <v>0</v>
      </c>
      <c r="E209" s="1"/>
      <c r="F209" s="5">
        <f t="shared" si="84"/>
        <v>0</v>
      </c>
      <c r="G209" s="1"/>
      <c r="H209" s="1">
        <f>SUM(OSRRefH22_14x_0)</f>
        <v>41.15</v>
      </c>
      <c r="I209" s="1"/>
      <c r="J209" s="5">
        <f t="shared" si="85"/>
        <v>9.2679057177190091E-5</v>
      </c>
      <c r="K209" s="1"/>
      <c r="L209" s="1">
        <f t="shared" si="86"/>
        <v>-41.15</v>
      </c>
      <c r="M209" s="1"/>
      <c r="N209" s="5">
        <f t="shared" si="87"/>
        <v>-1</v>
      </c>
      <c r="O209" s="13"/>
      <c r="P209" s="1">
        <f>SUM(OSRRefP22_14x_0)</f>
        <v>0</v>
      </c>
      <c r="Q209" s="1"/>
      <c r="R209" s="5">
        <f t="shared" si="88"/>
        <v>0</v>
      </c>
      <c r="S209" s="1"/>
      <c r="T209" s="1">
        <f>SUM(OSRRefT22_14x_0)</f>
        <v>6199.56</v>
      </c>
      <c r="U209" s="1"/>
      <c r="V209" s="5">
        <f t="shared" si="89"/>
        <v>1.1240893597624848E-3</v>
      </c>
      <c r="W209" s="1"/>
      <c r="X209" s="1">
        <f t="shared" si="90"/>
        <v>-6199.56</v>
      </c>
      <c r="Y209" s="1"/>
      <c r="Z209" s="5">
        <f t="shared" si="91"/>
        <v>-1</v>
      </c>
    </row>
    <row r="210" spans="1:26" s="24" customFormat="1" hidden="1" outlineLevel="2" x14ac:dyDescent="0.25">
      <c r="A210" s="27"/>
      <c r="B210" s="11" t="str">
        <f>CONCATENATE("          ", "6336", " - ", "PROFESSIONAL SERVICES")</f>
        <v xml:space="preserve">          6336 - PROFESSIONAL SERVICES</v>
      </c>
      <c r="C210" s="11"/>
      <c r="D210" s="7"/>
      <c r="E210" s="2"/>
      <c r="F210" s="6">
        <f t="shared" si="84"/>
        <v>0</v>
      </c>
      <c r="G210" s="2"/>
      <c r="H210" s="7">
        <v>41.15</v>
      </c>
      <c r="I210" s="2"/>
      <c r="J210" s="6">
        <f t="shared" si="85"/>
        <v>9.2679057177190091E-5</v>
      </c>
      <c r="K210" s="2"/>
      <c r="L210" s="7">
        <f t="shared" si="86"/>
        <v>-41.15</v>
      </c>
      <c r="M210" s="2"/>
      <c r="N210" s="6">
        <f t="shared" si="87"/>
        <v>-1</v>
      </c>
      <c r="O210" s="11"/>
      <c r="P210" s="7"/>
      <c r="Q210" s="2"/>
      <c r="R210" s="6">
        <f t="shared" si="88"/>
        <v>0</v>
      </c>
      <c r="S210" s="2"/>
      <c r="T210" s="7">
        <v>6199.56</v>
      </c>
      <c r="U210" s="2"/>
      <c r="V210" s="6">
        <f t="shared" si="89"/>
        <v>1.1240893597624848E-3</v>
      </c>
      <c r="W210" s="2"/>
      <c r="X210" s="7">
        <f t="shared" si="90"/>
        <v>-6199.56</v>
      </c>
      <c r="Y210" s="2"/>
      <c r="Z210" s="6">
        <f t="shared" si="91"/>
        <v>-1</v>
      </c>
    </row>
    <row r="211" spans="1:26" s="25" customFormat="1" outlineLevel="1" collapsed="1" x14ac:dyDescent="0.25">
      <c r="A211" s="26"/>
      <c r="B211" s="13" t="str">
        <f>CONCATENATE("     ","Rent                                              ")</f>
        <v xml:space="preserve">     Rent                                              </v>
      </c>
      <c r="C211" s="13"/>
      <c r="D211" s="1">
        <f>SUM(OSRRefD22_15x_0)</f>
        <v>6100</v>
      </c>
      <c r="E211" s="1"/>
      <c r="F211" s="5">
        <f t="shared" si="84"/>
        <v>2.6109466119629127E-2</v>
      </c>
      <c r="G211" s="1"/>
      <c r="H211" s="1">
        <f>SUM(OSRRefH22_15x_0)</f>
        <v>6100</v>
      </c>
      <c r="I211" s="1"/>
      <c r="J211" s="5">
        <f t="shared" si="85"/>
        <v>1.3738572266849564E-2</v>
      </c>
      <c r="K211" s="1"/>
      <c r="L211" s="1">
        <f t="shared" si="86"/>
        <v>0</v>
      </c>
      <c r="M211" s="1"/>
      <c r="N211" s="5">
        <f t="shared" si="87"/>
        <v>0</v>
      </c>
      <c r="O211" s="13"/>
      <c r="P211" s="1">
        <f>SUM(OSRRefP22_15x_0)</f>
        <v>36600</v>
      </c>
      <c r="Q211" s="1"/>
      <c r="R211" s="5">
        <f t="shared" si="88"/>
        <v>1.356251433096417E-2</v>
      </c>
      <c r="S211" s="1"/>
      <c r="T211" s="1">
        <f>SUM(OSRRefT22_15x_0)</f>
        <v>36600</v>
      </c>
      <c r="U211" s="1"/>
      <c r="V211" s="5">
        <f t="shared" si="89"/>
        <v>6.6362242751593567E-3</v>
      </c>
      <c r="W211" s="1"/>
      <c r="X211" s="1">
        <f t="shared" si="90"/>
        <v>0</v>
      </c>
      <c r="Y211" s="1"/>
      <c r="Z211" s="5">
        <f t="shared" si="91"/>
        <v>0</v>
      </c>
    </row>
    <row r="212" spans="1:26" s="24" customFormat="1" hidden="1" outlineLevel="2" x14ac:dyDescent="0.25">
      <c r="A212" s="27"/>
      <c r="B212" s="11" t="str">
        <f>CONCATENATE("          ", "6273", " - ", "RENT")</f>
        <v xml:space="preserve">          6273 - RENT</v>
      </c>
      <c r="C212" s="11"/>
      <c r="D212" s="7">
        <v>6100</v>
      </c>
      <c r="E212" s="2"/>
      <c r="F212" s="6">
        <f t="shared" si="84"/>
        <v>2.6109466119629127E-2</v>
      </c>
      <c r="G212" s="2"/>
      <c r="H212" s="7">
        <v>6100</v>
      </c>
      <c r="I212" s="2"/>
      <c r="J212" s="6">
        <f t="shared" si="85"/>
        <v>1.3738572266849564E-2</v>
      </c>
      <c r="K212" s="2"/>
      <c r="L212" s="7">
        <f t="shared" si="86"/>
        <v>0</v>
      </c>
      <c r="M212" s="2"/>
      <c r="N212" s="6">
        <f t="shared" si="87"/>
        <v>0</v>
      </c>
      <c r="O212" s="11"/>
      <c r="P212" s="7">
        <v>36600</v>
      </c>
      <c r="Q212" s="2"/>
      <c r="R212" s="6">
        <f t="shared" si="88"/>
        <v>1.356251433096417E-2</v>
      </c>
      <c r="S212" s="2"/>
      <c r="T212" s="7">
        <v>36600</v>
      </c>
      <c r="U212" s="2"/>
      <c r="V212" s="6">
        <f t="shared" si="89"/>
        <v>6.6362242751593567E-3</v>
      </c>
      <c r="W212" s="2"/>
      <c r="X212" s="7">
        <f t="shared" si="90"/>
        <v>0</v>
      </c>
      <c r="Y212" s="2"/>
      <c r="Z212" s="6">
        <f t="shared" si="91"/>
        <v>0</v>
      </c>
    </row>
    <row r="213" spans="1:26" s="25" customFormat="1" outlineLevel="1" collapsed="1" x14ac:dyDescent="0.25">
      <c r="A213" s="26"/>
      <c r="B213" s="13" t="str">
        <f>CONCATENATE("     ","Repair and Maintenance                            ")</f>
        <v xml:space="preserve">     Repair and Maintenance                            </v>
      </c>
      <c r="C213" s="13"/>
      <c r="D213" s="1">
        <f>SUM(OSRRefD22_16x_0)</f>
        <v>7951.17</v>
      </c>
      <c r="E213" s="1"/>
      <c r="F213" s="5">
        <f t="shared" si="84"/>
        <v>3.4032918643674019E-2</v>
      </c>
      <c r="G213" s="1"/>
      <c r="H213" s="1">
        <f>SUM(OSRRefH22_16x_0)</f>
        <v>11953.09</v>
      </c>
      <c r="I213" s="1"/>
      <c r="J213" s="5">
        <f t="shared" si="85"/>
        <v>2.6921047668386371E-2</v>
      </c>
      <c r="K213" s="1"/>
      <c r="L213" s="1">
        <f t="shared" si="86"/>
        <v>-4001.92</v>
      </c>
      <c r="M213" s="1"/>
      <c r="N213" s="5">
        <f t="shared" si="87"/>
        <v>-0.33480213066244796</v>
      </c>
      <c r="O213" s="13"/>
      <c r="P213" s="1">
        <f>SUM(OSRRefP22_16x_0)</f>
        <v>109130.31999999999</v>
      </c>
      <c r="Q213" s="1"/>
      <c r="R213" s="5">
        <f t="shared" si="88"/>
        <v>4.0439386036685954E-2</v>
      </c>
      <c r="S213" s="1"/>
      <c r="T213" s="1">
        <f>SUM(OSRRefT22_16x_0)</f>
        <v>82154.84</v>
      </c>
      <c r="U213" s="1"/>
      <c r="V213" s="5">
        <f t="shared" si="89"/>
        <v>1.4896118675678496E-2</v>
      </c>
      <c r="W213" s="1"/>
      <c r="X213" s="1">
        <f t="shared" si="90"/>
        <v>26975.479999999996</v>
      </c>
      <c r="Y213" s="1"/>
      <c r="Z213" s="5">
        <f t="shared" si="91"/>
        <v>0.32834924880871286</v>
      </c>
    </row>
    <row r="214" spans="1:26" s="24" customFormat="1" hidden="1" outlineLevel="2" x14ac:dyDescent="0.25">
      <c r="A214" s="27"/>
      <c r="B214" s="11" t="str">
        <f>CONCATENATE("          ", "6371", " - ", "COMPUTER SOFTWARE MAINTENANCE")</f>
        <v xml:space="preserve">          6371 - COMPUTER SOFTWARE MAINTENANCE</v>
      </c>
      <c r="C214" s="11"/>
      <c r="D214" s="7"/>
      <c r="E214" s="2"/>
      <c r="F214" s="6">
        <f t="shared" si="84"/>
        <v>0</v>
      </c>
      <c r="G214" s="2"/>
      <c r="H214" s="7">
        <v>601</v>
      </c>
      <c r="I214" s="2"/>
      <c r="J214" s="6">
        <f t="shared" si="85"/>
        <v>1.353587202028949E-3</v>
      </c>
      <c r="K214" s="2"/>
      <c r="L214" s="7">
        <f t="shared" si="86"/>
        <v>-601</v>
      </c>
      <c r="M214" s="2"/>
      <c r="N214" s="6">
        <f t="shared" si="87"/>
        <v>-1</v>
      </c>
      <c r="O214" s="11"/>
      <c r="P214" s="7">
        <v>58436.47</v>
      </c>
      <c r="Q214" s="2"/>
      <c r="R214" s="6">
        <f t="shared" si="88"/>
        <v>2.1654247590873164E-2</v>
      </c>
      <c r="S214" s="2"/>
      <c r="T214" s="7">
        <v>13953.4</v>
      </c>
      <c r="U214" s="2"/>
      <c r="V214" s="6">
        <f t="shared" si="89"/>
        <v>2.5299970437434034E-3</v>
      </c>
      <c r="W214" s="2"/>
      <c r="X214" s="7">
        <f t="shared" si="90"/>
        <v>44483.07</v>
      </c>
      <c r="Y214" s="2"/>
      <c r="Z214" s="6">
        <f t="shared" si="91"/>
        <v>3.1879735404990899</v>
      </c>
    </row>
    <row r="215" spans="1:26" s="24" customFormat="1" hidden="1" outlineLevel="2" x14ac:dyDescent="0.25">
      <c r="A215" s="27"/>
      <c r="B215" s="11" t="str">
        <f>CONCATENATE("          ", "6372", " - ", "COMPUTER HARDWARE MAINTENANCE")</f>
        <v xml:space="preserve">          6372 - COMPUTER HARDWARE MAINTENANCE</v>
      </c>
      <c r="C215" s="11"/>
      <c r="D215" s="7"/>
      <c r="E215" s="2"/>
      <c r="F215" s="6">
        <f t="shared" si="84"/>
        <v>0</v>
      </c>
      <c r="G215" s="2"/>
      <c r="H215" s="7"/>
      <c r="I215" s="2"/>
      <c r="J215" s="6">
        <f t="shared" si="85"/>
        <v>0</v>
      </c>
      <c r="K215" s="2"/>
      <c r="L215" s="7">
        <f t="shared" si="86"/>
        <v>0</v>
      </c>
      <c r="M215" s="2"/>
      <c r="N215" s="6">
        <f t="shared" si="87"/>
        <v>0</v>
      </c>
      <c r="O215" s="11"/>
      <c r="P215" s="7">
        <v>0</v>
      </c>
      <c r="Q215" s="2"/>
      <c r="R215" s="6">
        <f t="shared" si="88"/>
        <v>0</v>
      </c>
      <c r="S215" s="2"/>
      <c r="T215" s="7"/>
      <c r="U215" s="2"/>
      <c r="V215" s="6">
        <f t="shared" si="89"/>
        <v>0</v>
      </c>
      <c r="W215" s="2"/>
      <c r="X215" s="7">
        <f t="shared" si="90"/>
        <v>0</v>
      </c>
      <c r="Y215" s="2"/>
      <c r="Z215" s="6">
        <f t="shared" si="91"/>
        <v>0</v>
      </c>
    </row>
    <row r="216" spans="1:26" s="24" customFormat="1" hidden="1" outlineLevel="2" x14ac:dyDescent="0.25">
      <c r="A216" s="27"/>
      <c r="B216" s="11" t="str">
        <f>CONCATENATE("          ", "6373", " - ", "MAINTENANCE CONTRACTS")</f>
        <v xml:space="preserve">          6373 - MAINTENANCE CONTRACTS</v>
      </c>
      <c r="C216" s="11"/>
      <c r="D216" s="7">
        <v>7906.17</v>
      </c>
      <c r="E216" s="2"/>
      <c r="F216" s="6">
        <f t="shared" si="84"/>
        <v>3.3840307828037409E-2</v>
      </c>
      <c r="G216" s="2"/>
      <c r="H216" s="7">
        <v>7860.47</v>
      </c>
      <c r="I216" s="2"/>
      <c r="J216" s="6">
        <f t="shared" si="85"/>
        <v>1.7703546745311969E-2</v>
      </c>
      <c r="K216" s="2"/>
      <c r="L216" s="7">
        <f t="shared" si="86"/>
        <v>45.699999999999818</v>
      </c>
      <c r="M216" s="2"/>
      <c r="N216" s="6">
        <f t="shared" si="87"/>
        <v>5.8139017132563088E-3</v>
      </c>
      <c r="O216" s="11"/>
      <c r="P216" s="7">
        <v>38932.18</v>
      </c>
      <c r="Q216" s="2"/>
      <c r="R216" s="6">
        <f t="shared" si="88"/>
        <v>1.4426728119827231E-2</v>
      </c>
      <c r="S216" s="2"/>
      <c r="T216" s="7">
        <v>39698.39</v>
      </c>
      <c r="U216" s="2"/>
      <c r="V216" s="6">
        <f t="shared" si="89"/>
        <v>7.1980169235722254E-3</v>
      </c>
      <c r="W216" s="2"/>
      <c r="X216" s="7">
        <f t="shared" si="90"/>
        <v>-766.20999999999913</v>
      </c>
      <c r="Y216" s="2"/>
      <c r="Z216" s="6">
        <f t="shared" si="91"/>
        <v>-1.9300782726956914E-2</v>
      </c>
    </row>
    <row r="217" spans="1:26" s="24" customFormat="1" hidden="1" outlineLevel="2" x14ac:dyDescent="0.25">
      <c r="A217" s="27"/>
      <c r="B217" s="11" t="str">
        <f>CONCATENATE("          ", "6375", " - ", "OUTSIDE REPAIRS &amp; MAINTENANCE")</f>
        <v xml:space="preserve">          6375 - OUTSIDE REPAIRS &amp; MAINTENANCE</v>
      </c>
      <c r="C217" s="11"/>
      <c r="D217" s="7">
        <v>45</v>
      </c>
      <c r="E217" s="2"/>
      <c r="F217" s="6">
        <f t="shared" si="84"/>
        <v>1.9261081563660832E-4</v>
      </c>
      <c r="G217" s="2"/>
      <c r="H217" s="7">
        <v>3491.62</v>
      </c>
      <c r="I217" s="2"/>
      <c r="J217" s="6">
        <f t="shared" si="85"/>
        <v>7.8639137210454544E-3</v>
      </c>
      <c r="K217" s="2"/>
      <c r="L217" s="7">
        <f t="shared" si="86"/>
        <v>-3446.62</v>
      </c>
      <c r="M217" s="2"/>
      <c r="N217" s="6">
        <f t="shared" si="87"/>
        <v>-0.987111999587584</v>
      </c>
      <c r="O217" s="11"/>
      <c r="P217" s="7">
        <v>11761.67</v>
      </c>
      <c r="Q217" s="2"/>
      <c r="R217" s="6">
        <f t="shared" si="88"/>
        <v>4.3584103259855563E-3</v>
      </c>
      <c r="S217" s="2"/>
      <c r="T217" s="7">
        <v>28503.05</v>
      </c>
      <c r="U217" s="2"/>
      <c r="V217" s="6">
        <f t="shared" si="89"/>
        <v>5.1681047083628664E-3</v>
      </c>
      <c r="W217" s="2"/>
      <c r="X217" s="7">
        <f t="shared" si="90"/>
        <v>-16741.379999999997</v>
      </c>
      <c r="Y217" s="2"/>
      <c r="Z217" s="6">
        <f t="shared" si="91"/>
        <v>-0.58735398492442026</v>
      </c>
    </row>
    <row r="218" spans="1:26" s="25" customFormat="1" outlineLevel="1" collapsed="1" x14ac:dyDescent="0.25">
      <c r="A218" s="26"/>
      <c r="B218" s="13" t="str">
        <f>CONCATENATE("     ","Royalty &amp; Commissions                             ")</f>
        <v xml:space="preserve">     Royalty &amp; Commissions                             </v>
      </c>
      <c r="C218" s="13"/>
      <c r="D218" s="1">
        <f>SUM(OSRRefD22_17x_0)</f>
        <v>5.97</v>
      </c>
      <c r="E218" s="1"/>
      <c r="F218" s="5">
        <f t="shared" ref="F218:F221" si="92">IF(D$12=0,0,D218/D$12)</f>
        <v>2.55530348744567E-5</v>
      </c>
      <c r="G218" s="1"/>
      <c r="H218" s="1">
        <f>SUM(OSRRefH22_17x_0)</f>
        <v>12955.019999999999</v>
      </c>
      <c r="I218" s="1"/>
      <c r="J218" s="5">
        <f t="shared" ref="J218:J221" si="93">IF(H$12=0,0,H218/H$12)</f>
        <v>2.9177619424341217E-2</v>
      </c>
      <c r="K218" s="1"/>
      <c r="L218" s="1">
        <f t="shared" ref="L218:L221" si="94">+D218-H218</f>
        <v>-12949.05</v>
      </c>
      <c r="M218" s="1"/>
      <c r="N218" s="5">
        <f t="shared" ref="N218:N221" si="95">IF(H218=0,0,L218/H218)</f>
        <v>-0.99953917477549248</v>
      </c>
      <c r="O218" s="13"/>
      <c r="P218" s="1">
        <f>SUM(OSRRefP22_17x_0)</f>
        <v>28576.059999999998</v>
      </c>
      <c r="Q218" s="1"/>
      <c r="R218" s="5">
        <f t="shared" ref="R218:R221" si="96">IF(P$12=0,0,P218/P$12)</f>
        <v>1.0589159105805792E-2</v>
      </c>
      <c r="S218" s="1"/>
      <c r="T218" s="1">
        <f>SUM(OSRRefT22_17x_0)</f>
        <v>63490.770000000004</v>
      </c>
      <c r="U218" s="1"/>
      <c r="V218" s="5">
        <f t="shared" ref="V218:V221" si="97">IF(T$12=0,0,T218/T$12)</f>
        <v>1.1511994238321298E-2</v>
      </c>
      <c r="W218" s="1"/>
      <c r="X218" s="1">
        <f t="shared" ref="X218:X221" si="98">+P218-T218</f>
        <v>-34914.710000000006</v>
      </c>
      <c r="Y218" s="1"/>
      <c r="Z218" s="5">
        <f t="shared" ref="Z218:Z221" si="99">IF(T218=0,0,X218/T218)</f>
        <v>-0.54991788570212652</v>
      </c>
    </row>
    <row r="219" spans="1:26" s="24" customFormat="1" hidden="1" outlineLevel="2" x14ac:dyDescent="0.25">
      <c r="A219" s="27"/>
      <c r="B219" s="11" t="str">
        <f>CONCATENATE("          ", "6253", " - ", "ROYALTY DUE ATHLETICS-LRG")</f>
        <v xml:space="preserve">          6253 - ROYALTY DUE ATHLETICS-LRG</v>
      </c>
      <c r="C219" s="11"/>
      <c r="D219" s="7"/>
      <c r="E219" s="2"/>
      <c r="F219" s="6">
        <f t="shared" si="92"/>
        <v>0</v>
      </c>
      <c r="G219" s="2"/>
      <c r="H219" s="7"/>
      <c r="I219" s="2"/>
      <c r="J219" s="6">
        <f t="shared" si="93"/>
        <v>0</v>
      </c>
      <c r="K219" s="2"/>
      <c r="L219" s="7">
        <f t="shared" si="94"/>
        <v>0</v>
      </c>
      <c r="M219" s="2"/>
      <c r="N219" s="6">
        <f t="shared" si="95"/>
        <v>0</v>
      </c>
      <c r="O219" s="11"/>
      <c r="P219" s="7">
        <v>18411.8</v>
      </c>
      <c r="Q219" s="2"/>
      <c r="R219" s="6">
        <f t="shared" si="96"/>
        <v>6.8226858294766698E-3</v>
      </c>
      <c r="S219" s="2"/>
      <c r="T219" s="7">
        <v>4366.95</v>
      </c>
      <c r="U219" s="2"/>
      <c r="V219" s="6">
        <f t="shared" si="97"/>
        <v>7.918049070603047E-4</v>
      </c>
      <c r="W219" s="2"/>
      <c r="X219" s="7">
        <f t="shared" si="98"/>
        <v>14044.849999999999</v>
      </c>
      <c r="Y219" s="2"/>
      <c r="Z219" s="6">
        <f t="shared" si="99"/>
        <v>3.216169179862375</v>
      </c>
    </row>
    <row r="220" spans="1:26" s="24" customFormat="1" hidden="1" outlineLevel="2" x14ac:dyDescent="0.25">
      <c r="A220" s="27"/>
      <c r="B220" s="11" t="str">
        <f>CONCATENATE("          ", "6254", " - ", "ROYALTY &amp; COMMISSIONS")</f>
        <v xml:space="preserve">          6254 - ROYALTY &amp; COMMISSIONS</v>
      </c>
      <c r="C220" s="11"/>
      <c r="D220" s="7"/>
      <c r="E220" s="2"/>
      <c r="F220" s="6">
        <f t="shared" si="92"/>
        <v>0</v>
      </c>
      <c r="G220" s="2"/>
      <c r="H220" s="7">
        <v>262.72000000000003</v>
      </c>
      <c r="I220" s="2"/>
      <c r="J220" s="6">
        <f t="shared" si="93"/>
        <v>5.9170454195847839E-4</v>
      </c>
      <c r="K220" s="2"/>
      <c r="L220" s="7">
        <f t="shared" si="94"/>
        <v>-262.72000000000003</v>
      </c>
      <c r="M220" s="2"/>
      <c r="N220" s="6">
        <f t="shared" si="95"/>
        <v>-1</v>
      </c>
      <c r="O220" s="11"/>
      <c r="P220" s="7"/>
      <c r="Q220" s="2"/>
      <c r="R220" s="6">
        <f t="shared" si="96"/>
        <v>0</v>
      </c>
      <c r="S220" s="2"/>
      <c r="T220" s="7">
        <v>2563.84</v>
      </c>
      <c r="U220" s="2"/>
      <c r="V220" s="6">
        <f t="shared" si="97"/>
        <v>4.6486932365094445E-4</v>
      </c>
      <c r="W220" s="2"/>
      <c r="X220" s="7">
        <f t="shared" si="98"/>
        <v>-2563.84</v>
      </c>
      <c r="Y220" s="2"/>
      <c r="Z220" s="6">
        <f t="shared" si="99"/>
        <v>-1</v>
      </c>
    </row>
    <row r="221" spans="1:26" s="24" customFormat="1" hidden="1" outlineLevel="2" x14ac:dyDescent="0.25">
      <c r="A221" s="27"/>
      <c r="B221" s="11" t="str">
        <f>CONCATENATE("          ", "6259", " - ", "ROYALTY &amp; COMMISSIONS")</f>
        <v xml:space="preserve">          6259 - ROYALTY &amp; COMMISSIONS</v>
      </c>
      <c r="C221" s="11"/>
      <c r="D221" s="7">
        <v>5.97</v>
      </c>
      <c r="E221" s="2"/>
      <c r="F221" s="6">
        <f t="shared" si="92"/>
        <v>2.55530348744567E-5</v>
      </c>
      <c r="G221" s="2"/>
      <c r="H221" s="7">
        <v>12692.3</v>
      </c>
      <c r="I221" s="2"/>
      <c r="J221" s="6">
        <f t="shared" si="93"/>
        <v>2.858591488238274E-2</v>
      </c>
      <c r="K221" s="2"/>
      <c r="L221" s="7">
        <f t="shared" si="94"/>
        <v>-12686.33</v>
      </c>
      <c r="M221" s="2"/>
      <c r="N221" s="6">
        <f t="shared" si="95"/>
        <v>-0.99952963607856737</v>
      </c>
      <c r="O221" s="11"/>
      <c r="P221" s="7">
        <v>10164.26</v>
      </c>
      <c r="Q221" s="2"/>
      <c r="R221" s="6">
        <f t="shared" si="96"/>
        <v>3.7664732763291226E-3</v>
      </c>
      <c r="S221" s="2"/>
      <c r="T221" s="7">
        <v>56559.98</v>
      </c>
      <c r="U221" s="2"/>
      <c r="V221" s="6">
        <f t="shared" si="97"/>
        <v>1.0255320007610048E-2</v>
      </c>
      <c r="W221" s="2"/>
      <c r="X221" s="7">
        <f t="shared" si="98"/>
        <v>-46395.72</v>
      </c>
      <c r="Y221" s="2"/>
      <c r="Z221" s="6">
        <f t="shared" si="99"/>
        <v>-0.82029236926887172</v>
      </c>
    </row>
    <row r="222" spans="1:26" s="25" customFormat="1" outlineLevel="1" collapsed="1" x14ac:dyDescent="0.25">
      <c r="A222" s="26"/>
      <c r="B222" s="13" t="str">
        <f>CONCATENATE("     ","Services                                          ")</f>
        <v xml:space="preserve">     Services                                          </v>
      </c>
      <c r="C222" s="13"/>
      <c r="D222" s="1">
        <f>SUM(OSRRefD22_18x_0)</f>
        <v>2494.0299999999997</v>
      </c>
      <c r="E222" s="1"/>
      <c r="F222" s="5">
        <f t="shared" ref="F222:F226" si="100">IF(D$12=0,0,D222/D$12)</f>
        <v>1.0675047833826005E-2</v>
      </c>
      <c r="G222" s="1"/>
      <c r="H222" s="1">
        <f>SUM(OSRRefH22_18x_0)</f>
        <v>4525.41</v>
      </c>
      <c r="I222" s="1"/>
      <c r="J222" s="5">
        <f t="shared" ref="J222:J226" si="101">IF(H$12=0,0,H222/H$12)</f>
        <v>1.0192241364282572E-2</v>
      </c>
      <c r="K222" s="1"/>
      <c r="L222" s="1">
        <f t="shared" ref="L222:L226" si="102">+D222-H222</f>
        <v>-2031.38</v>
      </c>
      <c r="M222" s="1"/>
      <c r="N222" s="5">
        <f t="shared" ref="N222:N226" si="103">IF(H222=0,0,L222/H222)</f>
        <v>-0.44888308462658638</v>
      </c>
      <c r="O222" s="13"/>
      <c r="P222" s="1">
        <f>SUM(OSRRefP22_18x_0)</f>
        <v>19183.75</v>
      </c>
      <c r="Q222" s="1"/>
      <c r="R222" s="5">
        <f t="shared" ref="R222:R226" si="104">IF(P$12=0,0,P222/P$12)</f>
        <v>7.1087400081047518E-3</v>
      </c>
      <c r="S222" s="1"/>
      <c r="T222" s="1">
        <f>SUM(OSRRefT22_18x_0)</f>
        <v>27391.88</v>
      </c>
      <c r="U222" s="1"/>
      <c r="V222" s="5">
        <f t="shared" ref="V222:V226" si="105">IF(T$12=0,0,T222/T$12)</f>
        <v>4.9666300272746475E-3</v>
      </c>
      <c r="W222" s="1"/>
      <c r="X222" s="1">
        <f t="shared" ref="X222:X226" si="106">+P222-T222</f>
        <v>-8208.130000000001</v>
      </c>
      <c r="Y222" s="1"/>
      <c r="Z222" s="5">
        <f t="shared" ref="Z222:Z226" si="107">IF(T222=0,0,X222/T222)</f>
        <v>-0.29965559136503228</v>
      </c>
    </row>
    <row r="223" spans="1:26" s="24" customFormat="1" hidden="1" outlineLevel="2" x14ac:dyDescent="0.25">
      <c r="A223" s="27"/>
      <c r="B223" s="11" t="str">
        <f>CONCATENATE("          ", "6282", " - ", "JANITORIAL/EXTERMINATOR EXPENS")</f>
        <v xml:space="preserve">          6282 - JANITORIAL/EXTERMINATOR EXPENS</v>
      </c>
      <c r="C223" s="11"/>
      <c r="D223" s="7"/>
      <c r="E223" s="2"/>
      <c r="F223" s="6">
        <f t="shared" si="100"/>
        <v>0</v>
      </c>
      <c r="G223" s="2"/>
      <c r="H223" s="7">
        <v>266.5</v>
      </c>
      <c r="I223" s="2"/>
      <c r="J223" s="6">
        <f t="shared" si="101"/>
        <v>6.0021795231400142E-4</v>
      </c>
      <c r="K223" s="2"/>
      <c r="L223" s="7">
        <f t="shared" si="102"/>
        <v>-266.5</v>
      </c>
      <c r="M223" s="2"/>
      <c r="N223" s="6">
        <f t="shared" si="103"/>
        <v>-1</v>
      </c>
      <c r="O223" s="11"/>
      <c r="P223" s="7">
        <v>5340.12</v>
      </c>
      <c r="Q223" s="2"/>
      <c r="R223" s="6">
        <f t="shared" si="104"/>
        <v>1.9788375417778246E-3</v>
      </c>
      <c r="S223" s="2"/>
      <c r="T223" s="7">
        <v>1599</v>
      </c>
      <c r="U223" s="2"/>
      <c r="V223" s="6">
        <f t="shared" si="105"/>
        <v>2.8992684743114238E-4</v>
      </c>
      <c r="W223" s="2"/>
      <c r="X223" s="7">
        <f t="shared" si="106"/>
        <v>3741.12</v>
      </c>
      <c r="Y223" s="2"/>
      <c r="Z223" s="6">
        <f t="shared" si="107"/>
        <v>2.3396622889305814</v>
      </c>
    </row>
    <row r="224" spans="1:26" s="24" customFormat="1" hidden="1" outlineLevel="2" x14ac:dyDescent="0.25">
      <c r="A224" s="27"/>
      <c r="B224" s="11" t="str">
        <f>CONCATENATE("          ", "6283", " - ", "PLANT SERVICE")</f>
        <v xml:space="preserve">          6283 - PLANT SERVICE</v>
      </c>
      <c r="C224" s="11"/>
      <c r="D224" s="7"/>
      <c r="E224" s="2"/>
      <c r="F224" s="6">
        <f t="shared" si="100"/>
        <v>0</v>
      </c>
      <c r="G224" s="2"/>
      <c r="H224" s="7"/>
      <c r="I224" s="2"/>
      <c r="J224" s="6">
        <f t="shared" si="101"/>
        <v>0</v>
      </c>
      <c r="K224" s="2"/>
      <c r="L224" s="7">
        <f t="shared" si="102"/>
        <v>0</v>
      </c>
      <c r="M224" s="2"/>
      <c r="N224" s="6">
        <f t="shared" si="103"/>
        <v>0</v>
      </c>
      <c r="O224" s="11"/>
      <c r="P224" s="7">
        <v>171.31</v>
      </c>
      <c r="Q224" s="2"/>
      <c r="R224" s="6">
        <f t="shared" si="104"/>
        <v>6.3480719399930938E-5</v>
      </c>
      <c r="S224" s="2"/>
      <c r="T224" s="7">
        <v>541.98</v>
      </c>
      <c r="U224" s="2"/>
      <c r="V224" s="6">
        <f t="shared" si="105"/>
        <v>9.8270514553302411E-5</v>
      </c>
      <c r="W224" s="2"/>
      <c r="X224" s="7">
        <f t="shared" si="106"/>
        <v>-370.67</v>
      </c>
      <c r="Y224" s="2"/>
      <c r="Z224" s="6">
        <f t="shared" si="107"/>
        <v>-0.68391822576478833</v>
      </c>
    </row>
    <row r="225" spans="1:26" s="24" customFormat="1" hidden="1" outlineLevel="2" x14ac:dyDescent="0.25">
      <c r="A225" s="27"/>
      <c r="B225" s="11" t="str">
        <f>CONCATENATE("          ", "6284", " - ", "TRASH REMOVAL EXPENSE")</f>
        <v xml:space="preserve">          6284 - TRASH REMOVAL EXPENSE</v>
      </c>
      <c r="C225" s="11"/>
      <c r="D225" s="7">
        <v>285.14</v>
      </c>
      <c r="E225" s="2"/>
      <c r="F225" s="6">
        <f t="shared" si="100"/>
        <v>1.2204677326804999E-3</v>
      </c>
      <c r="G225" s="2"/>
      <c r="H225" s="7">
        <v>134.82</v>
      </c>
      <c r="I225" s="2"/>
      <c r="J225" s="6">
        <f t="shared" si="101"/>
        <v>3.0364496934699313E-4</v>
      </c>
      <c r="K225" s="2"/>
      <c r="L225" s="7">
        <f t="shared" si="102"/>
        <v>150.32</v>
      </c>
      <c r="M225" s="2"/>
      <c r="N225" s="6">
        <f t="shared" si="103"/>
        <v>1.1149681056223113</v>
      </c>
      <c r="O225" s="11"/>
      <c r="P225" s="7">
        <v>870.44</v>
      </c>
      <c r="Q225" s="2"/>
      <c r="R225" s="6">
        <f t="shared" si="104"/>
        <v>3.2255068235640587E-4</v>
      </c>
      <c r="S225" s="2"/>
      <c r="T225" s="7">
        <v>808.92</v>
      </c>
      <c r="U225" s="2"/>
      <c r="V225" s="6">
        <f t="shared" si="105"/>
        <v>1.4667143553721056E-4</v>
      </c>
      <c r="W225" s="2"/>
      <c r="X225" s="7">
        <f t="shared" si="106"/>
        <v>61.520000000000095</v>
      </c>
      <c r="Y225" s="2"/>
      <c r="Z225" s="6">
        <f t="shared" si="107"/>
        <v>7.6052019977253749E-2</v>
      </c>
    </row>
    <row r="226" spans="1:26" s="24" customFormat="1" hidden="1" outlineLevel="2" x14ac:dyDescent="0.25">
      <c r="A226" s="27"/>
      <c r="B226" s="11" t="str">
        <f>CONCATENATE("          ", "6285", " - ", "JANITORIAL SERVICES")</f>
        <v xml:space="preserve">          6285 - JANITORIAL SERVICES</v>
      </c>
      <c r="C226" s="11"/>
      <c r="D226" s="7">
        <v>2208.89</v>
      </c>
      <c r="E226" s="2"/>
      <c r="F226" s="6">
        <f t="shared" si="100"/>
        <v>9.4545801011455041E-3</v>
      </c>
      <c r="G226" s="2"/>
      <c r="H226" s="7">
        <v>4124.09</v>
      </c>
      <c r="I226" s="2"/>
      <c r="J226" s="6">
        <f t="shared" si="101"/>
        <v>9.2883784426215782E-3</v>
      </c>
      <c r="K226" s="2"/>
      <c r="L226" s="7">
        <f t="shared" si="102"/>
        <v>-1915.2000000000003</v>
      </c>
      <c r="M226" s="2"/>
      <c r="N226" s="6">
        <f t="shared" si="103"/>
        <v>-0.46439335707998619</v>
      </c>
      <c r="O226" s="11"/>
      <c r="P226" s="7">
        <v>12801.88</v>
      </c>
      <c r="Q226" s="2"/>
      <c r="R226" s="6">
        <f t="shared" si="104"/>
        <v>4.7438710645705904E-3</v>
      </c>
      <c r="S226" s="2"/>
      <c r="T226" s="7">
        <v>24441.98</v>
      </c>
      <c r="U226" s="2"/>
      <c r="V226" s="6">
        <f t="shared" si="105"/>
        <v>4.431761229752992E-3</v>
      </c>
      <c r="W226" s="2"/>
      <c r="X226" s="7">
        <f t="shared" si="106"/>
        <v>-11640.1</v>
      </c>
      <c r="Y226" s="2"/>
      <c r="Z226" s="6">
        <f t="shared" si="107"/>
        <v>-0.4762339221290583</v>
      </c>
    </row>
    <row r="227" spans="1:26" s="25" customFormat="1" outlineLevel="1" collapsed="1" x14ac:dyDescent="0.25">
      <c r="A227" s="26"/>
      <c r="B227" s="13" t="str">
        <f>CONCATENATE("     ","Subscriptions &amp; Dues                              ")</f>
        <v xml:space="preserve">     Subscriptions &amp; Dues                              </v>
      </c>
      <c r="C227" s="13"/>
      <c r="D227" s="1">
        <f>SUM(OSRRefD22_19x_0)</f>
        <v>80.430000000000007</v>
      </c>
      <c r="E227" s="1"/>
      <c r="F227" s="5">
        <f t="shared" ref="F227:F229" si="108">IF(D$12=0,0,D227/D$12)</f>
        <v>3.4425973114783127E-4</v>
      </c>
      <c r="G227" s="1"/>
      <c r="H227" s="1">
        <f>SUM(OSRRefH22_19x_0)</f>
        <v>250</v>
      </c>
      <c r="I227" s="1"/>
      <c r="J227" s="5">
        <f t="shared" ref="J227:J229" si="109">IF(H$12=0,0,H227/H$12)</f>
        <v>5.6305624044465424E-4</v>
      </c>
      <c r="K227" s="1"/>
      <c r="L227" s="1">
        <f t="shared" ref="L227:L229" si="110">+D227-H227</f>
        <v>-169.57</v>
      </c>
      <c r="M227" s="1"/>
      <c r="N227" s="5">
        <f t="shared" ref="N227:N229" si="111">IF(H227=0,0,L227/H227)</f>
        <v>-0.67827999999999999</v>
      </c>
      <c r="O227" s="13"/>
      <c r="P227" s="1">
        <f>SUM(OSRRefP22_19x_0)</f>
        <v>1455.44</v>
      </c>
      <c r="Q227" s="1"/>
      <c r="R227" s="5">
        <f t="shared" ref="R227:R229" si="112">IF(P$12=0,0,P227/P$12)</f>
        <v>5.3932857535132501E-4</v>
      </c>
      <c r="S227" s="1"/>
      <c r="T227" s="1">
        <f>SUM(OSRRefT22_19x_0)</f>
        <v>2467.7600000000002</v>
      </c>
      <c r="U227" s="1"/>
      <c r="V227" s="5">
        <f t="shared" ref="V227:V229" si="113">IF(T$12=0,0,T227/T$12)</f>
        <v>4.4744832834063542E-4</v>
      </c>
      <c r="W227" s="1"/>
      <c r="X227" s="1">
        <f t="shared" ref="X227:X229" si="114">+P227-T227</f>
        <v>-1012.3200000000002</v>
      </c>
      <c r="Y227" s="1"/>
      <c r="Z227" s="5">
        <f t="shared" ref="Z227:Z229" si="115">IF(T227=0,0,X227/T227)</f>
        <v>-0.41021817356631118</v>
      </c>
    </row>
    <row r="228" spans="1:26" s="24" customFormat="1" hidden="1" outlineLevel="2" x14ac:dyDescent="0.25">
      <c r="A228" s="27"/>
      <c r="B228" s="11" t="str">
        <f>CONCATENATE("          ", "6258", " - ", "MEMBERSHIP DUES")</f>
        <v xml:space="preserve">          6258 - MEMBERSHIP DUES</v>
      </c>
      <c r="C228" s="11"/>
      <c r="D228" s="7">
        <v>80.430000000000007</v>
      </c>
      <c r="E228" s="2"/>
      <c r="F228" s="6">
        <f t="shared" si="108"/>
        <v>3.4425973114783127E-4</v>
      </c>
      <c r="G228" s="2"/>
      <c r="H228" s="7">
        <v>250</v>
      </c>
      <c r="I228" s="2"/>
      <c r="J228" s="6">
        <f t="shared" si="109"/>
        <v>5.6305624044465424E-4</v>
      </c>
      <c r="K228" s="2"/>
      <c r="L228" s="7">
        <f t="shared" si="110"/>
        <v>-169.57</v>
      </c>
      <c r="M228" s="2"/>
      <c r="N228" s="6">
        <f t="shared" si="111"/>
        <v>-0.67827999999999999</v>
      </c>
      <c r="O228" s="11"/>
      <c r="P228" s="7">
        <v>1229.71</v>
      </c>
      <c r="Q228" s="2"/>
      <c r="R228" s="6">
        <f t="shared" si="112"/>
        <v>4.5568195349535384E-4</v>
      </c>
      <c r="S228" s="2"/>
      <c r="T228" s="7">
        <v>1677.4</v>
      </c>
      <c r="U228" s="2"/>
      <c r="V228" s="6">
        <f t="shared" si="113"/>
        <v>3.0414214751782259E-4</v>
      </c>
      <c r="W228" s="2"/>
      <c r="X228" s="7">
        <f t="shared" si="114"/>
        <v>-447.69000000000005</v>
      </c>
      <c r="Y228" s="2"/>
      <c r="Z228" s="6">
        <f t="shared" si="115"/>
        <v>-0.26689519494455705</v>
      </c>
    </row>
    <row r="229" spans="1:26" s="24" customFormat="1" hidden="1" outlineLevel="2" x14ac:dyDescent="0.25">
      <c r="A229" s="27"/>
      <c r="B229" s="11" t="str">
        <f>CONCATENATE("          ", "6275", " - ", "SUBSCRIPTIONS")</f>
        <v xml:space="preserve">          6275 - SUBSCRIPTIONS</v>
      </c>
      <c r="C229" s="11"/>
      <c r="D229" s="7"/>
      <c r="E229" s="2"/>
      <c r="F229" s="6">
        <f t="shared" si="108"/>
        <v>0</v>
      </c>
      <c r="G229" s="2"/>
      <c r="H229" s="7"/>
      <c r="I229" s="2"/>
      <c r="J229" s="6">
        <f t="shared" si="109"/>
        <v>0</v>
      </c>
      <c r="K229" s="2"/>
      <c r="L229" s="7">
        <f t="shared" si="110"/>
        <v>0</v>
      </c>
      <c r="M229" s="2"/>
      <c r="N229" s="6">
        <f t="shared" si="111"/>
        <v>0</v>
      </c>
      <c r="O229" s="11"/>
      <c r="P229" s="7">
        <v>225.73</v>
      </c>
      <c r="Q229" s="2"/>
      <c r="R229" s="6">
        <f t="shared" si="112"/>
        <v>8.36466218559711E-5</v>
      </c>
      <c r="S229" s="2"/>
      <c r="T229" s="7">
        <v>790.36</v>
      </c>
      <c r="U229" s="2"/>
      <c r="V229" s="6">
        <f t="shared" si="113"/>
        <v>1.4330618082281283E-4</v>
      </c>
      <c r="W229" s="2"/>
      <c r="X229" s="7">
        <f t="shared" si="114"/>
        <v>-564.63</v>
      </c>
      <c r="Y229" s="2"/>
      <c r="Z229" s="6">
        <f t="shared" si="115"/>
        <v>-0.71439597145604528</v>
      </c>
    </row>
    <row r="230" spans="1:26" s="25" customFormat="1" outlineLevel="1" collapsed="1" x14ac:dyDescent="0.25">
      <c r="A230" s="26"/>
      <c r="B230" s="13" t="str">
        <f>CONCATENATE("     ","Supplies                                          ")</f>
        <v xml:space="preserve">     Supplies                                          </v>
      </c>
      <c r="C230" s="13"/>
      <c r="D230" s="1">
        <f>SUM(OSRRefD22_20x_0)</f>
        <v>5930.1799999999994</v>
      </c>
      <c r="E230" s="1"/>
      <c r="F230" s="5">
        <f t="shared" ref="F230:F237" si="116">IF(D$12=0,0,D230/D$12)</f>
        <v>2.5382595703820038E-2</v>
      </c>
      <c r="G230" s="1"/>
      <c r="H230" s="1">
        <f>SUM(OSRRefH22_20x_0)</f>
        <v>7584.7900000000009</v>
      </c>
      <c r="I230" s="1"/>
      <c r="J230" s="5">
        <f t="shared" ref="J230:J237" si="117">IF(H$12=0,0,H230/H$12)</f>
        <v>1.7082653367848838E-2</v>
      </c>
      <c r="K230" s="1"/>
      <c r="L230" s="1">
        <f t="shared" ref="L230:L237" si="118">+D230-H230</f>
        <v>-1654.6100000000015</v>
      </c>
      <c r="M230" s="1"/>
      <c r="N230" s="5">
        <f t="shared" ref="N230:N237" si="119">IF(H230=0,0,L230/H230)</f>
        <v>-0.21814842599465525</v>
      </c>
      <c r="O230" s="13"/>
      <c r="P230" s="1">
        <f>SUM(OSRRefP22_20x_0)</f>
        <v>77326.100000000006</v>
      </c>
      <c r="Q230" s="1"/>
      <c r="R230" s="5">
        <f t="shared" ref="R230:R237" si="120">IF(P$12=0,0,P230/P$12)</f>
        <v>2.8653998344469089E-2</v>
      </c>
      <c r="S230" s="1"/>
      <c r="T230" s="1">
        <f>SUM(OSRRefT22_20x_0)</f>
        <v>50768.310000000005</v>
      </c>
      <c r="U230" s="1"/>
      <c r="V230" s="5">
        <f t="shared" ref="V230:V237" si="121">IF(T$12=0,0,T230/T$12)</f>
        <v>9.2051882849949612E-3</v>
      </c>
      <c r="W230" s="1"/>
      <c r="X230" s="1">
        <f t="shared" ref="X230:X237" si="122">+P230-T230</f>
        <v>26557.79</v>
      </c>
      <c r="Y230" s="1"/>
      <c r="Z230" s="5">
        <f t="shared" ref="Z230:Z237" si="123">IF(T230=0,0,X230/T230)</f>
        <v>0.52311747229718697</v>
      </c>
    </row>
    <row r="231" spans="1:26" s="24" customFormat="1" hidden="1" outlineLevel="2" x14ac:dyDescent="0.25">
      <c r="A231" s="27"/>
      <c r="B231" s="11" t="str">
        <f>CONCATENATE("          ", "6234", " - ", "EXPENDABLE SUPPLIES &amp; EQUIPMEN")</f>
        <v xml:space="preserve">          6234 - EXPENDABLE SUPPLIES &amp; EQUIPMEN</v>
      </c>
      <c r="C231" s="11"/>
      <c r="D231" s="7"/>
      <c r="E231" s="2"/>
      <c r="F231" s="6">
        <f t="shared" si="116"/>
        <v>0</v>
      </c>
      <c r="G231" s="2"/>
      <c r="H231" s="7"/>
      <c r="I231" s="2"/>
      <c r="J231" s="6">
        <f t="shared" si="117"/>
        <v>0</v>
      </c>
      <c r="K231" s="2"/>
      <c r="L231" s="7">
        <f t="shared" si="118"/>
        <v>0</v>
      </c>
      <c r="M231" s="2"/>
      <c r="N231" s="6">
        <f t="shared" si="119"/>
        <v>0</v>
      </c>
      <c r="O231" s="11"/>
      <c r="P231" s="7">
        <v>-449.34</v>
      </c>
      <c r="Q231" s="2"/>
      <c r="R231" s="6">
        <f t="shared" si="120"/>
        <v>-1.6650765545014865E-4</v>
      </c>
      <c r="S231" s="2"/>
      <c r="T231" s="7">
        <v>1822.75</v>
      </c>
      <c r="U231" s="2"/>
      <c r="V231" s="6">
        <f t="shared" si="121"/>
        <v>3.3049666113515623E-4</v>
      </c>
      <c r="W231" s="2"/>
      <c r="X231" s="7">
        <f t="shared" si="122"/>
        <v>-2272.09</v>
      </c>
      <c r="Y231" s="2"/>
      <c r="Z231" s="6">
        <f t="shared" si="123"/>
        <v>-1.246517624468523</v>
      </c>
    </row>
    <row r="232" spans="1:26" s="24" customFormat="1" hidden="1" outlineLevel="2" x14ac:dyDescent="0.25">
      <c r="A232" s="27"/>
      <c r="B232" s="11" t="str">
        <f>CONCATENATE("          ", "6235", " - ", "COVID-19 EXPENSES")</f>
        <v xml:space="preserve">          6235 - COVID-19 EXPENSES</v>
      </c>
      <c r="C232" s="11"/>
      <c r="D232" s="7">
        <v>2921.2</v>
      </c>
      <c r="E232" s="2"/>
      <c r="F232" s="6">
        <f t="shared" si="116"/>
        <v>1.2503438103059115E-2</v>
      </c>
      <c r="G232" s="2"/>
      <c r="H232" s="7"/>
      <c r="I232" s="2"/>
      <c r="J232" s="6">
        <f t="shared" si="117"/>
        <v>0</v>
      </c>
      <c r="K232" s="2"/>
      <c r="L232" s="7">
        <f t="shared" si="118"/>
        <v>2921.2</v>
      </c>
      <c r="M232" s="2"/>
      <c r="N232" s="6">
        <f t="shared" si="119"/>
        <v>0</v>
      </c>
      <c r="O232" s="11"/>
      <c r="P232" s="7">
        <v>31377.83</v>
      </c>
      <c r="Q232" s="2"/>
      <c r="R232" s="6">
        <f t="shared" si="120"/>
        <v>1.1627384400261134E-2</v>
      </c>
      <c r="S232" s="2"/>
      <c r="T232" s="7"/>
      <c r="U232" s="2"/>
      <c r="V232" s="6">
        <f t="shared" si="121"/>
        <v>0</v>
      </c>
      <c r="W232" s="2"/>
      <c r="X232" s="7">
        <f t="shared" si="122"/>
        <v>31377.83</v>
      </c>
      <c r="Y232" s="2"/>
      <c r="Z232" s="6">
        <f t="shared" si="123"/>
        <v>0</v>
      </c>
    </row>
    <row r="233" spans="1:26" s="24" customFormat="1" hidden="1" outlineLevel="2" x14ac:dyDescent="0.25">
      <c r="A233" s="27"/>
      <c r="B233" s="11" t="str">
        <f>CONCATENATE("          ", "6237", " - ", "JANITORIAL SUPPLIES")</f>
        <v xml:space="preserve">          6237 - JANITORIAL SUPPLIES</v>
      </c>
      <c r="C233" s="11"/>
      <c r="D233" s="7">
        <v>438.53</v>
      </c>
      <c r="E233" s="2"/>
      <c r="F233" s="6">
        <f t="shared" si="116"/>
        <v>1.8770137995804852E-3</v>
      </c>
      <c r="G233" s="2"/>
      <c r="H233" s="7">
        <v>131.72999999999999</v>
      </c>
      <c r="I233" s="2"/>
      <c r="J233" s="6">
        <f t="shared" si="117"/>
        <v>2.9668559421509719E-4</v>
      </c>
      <c r="K233" s="2"/>
      <c r="L233" s="7">
        <f t="shared" si="118"/>
        <v>306.79999999999995</v>
      </c>
      <c r="M233" s="2"/>
      <c r="N233" s="6">
        <f t="shared" si="119"/>
        <v>2.3290063007667197</v>
      </c>
      <c r="O233" s="11"/>
      <c r="P233" s="7">
        <v>1933.88</v>
      </c>
      <c r="Q233" s="2"/>
      <c r="R233" s="6">
        <f t="shared" si="120"/>
        <v>7.1661954137609265E-4</v>
      </c>
      <c r="S233" s="2"/>
      <c r="T233" s="7">
        <v>2989.48</v>
      </c>
      <c r="U233" s="2"/>
      <c r="V233" s="6">
        <f t="shared" si="121"/>
        <v>5.4204534825419111E-4</v>
      </c>
      <c r="W233" s="2"/>
      <c r="X233" s="7">
        <f t="shared" si="122"/>
        <v>-1055.5999999999999</v>
      </c>
      <c r="Y233" s="2"/>
      <c r="Z233" s="6">
        <f t="shared" si="123"/>
        <v>-0.35310488780657501</v>
      </c>
    </row>
    <row r="234" spans="1:26" s="24" customFormat="1" hidden="1" outlineLevel="2" x14ac:dyDescent="0.25">
      <c r="A234" s="27"/>
      <c r="B234" s="11" t="str">
        <f>CONCATENATE("          ", "6241", " - ", "OFFICE EXPENSE")</f>
        <v xml:space="preserve">          6241 - OFFICE EXPENSE</v>
      </c>
      <c r="C234" s="11"/>
      <c r="D234" s="7">
        <v>308.81</v>
      </c>
      <c r="E234" s="2"/>
      <c r="F234" s="6">
        <f t="shared" si="116"/>
        <v>1.3217810217053558E-3</v>
      </c>
      <c r="G234" s="2"/>
      <c r="H234" s="7">
        <v>2931.36</v>
      </c>
      <c r="I234" s="2"/>
      <c r="J234" s="6">
        <f t="shared" si="117"/>
        <v>6.6020821639593674E-3</v>
      </c>
      <c r="K234" s="2"/>
      <c r="L234" s="7">
        <f t="shared" si="118"/>
        <v>-2622.55</v>
      </c>
      <c r="M234" s="2"/>
      <c r="N234" s="6">
        <f t="shared" si="119"/>
        <v>-0.89465299383221442</v>
      </c>
      <c r="O234" s="11"/>
      <c r="P234" s="7">
        <v>8787.67</v>
      </c>
      <c r="Q234" s="2"/>
      <c r="R234" s="6">
        <f t="shared" si="120"/>
        <v>3.2563633964695061E-3</v>
      </c>
      <c r="S234" s="2"/>
      <c r="T234" s="7">
        <v>17494.830000000002</v>
      </c>
      <c r="U234" s="2"/>
      <c r="V234" s="6">
        <f t="shared" si="121"/>
        <v>3.1721206430542674E-3</v>
      </c>
      <c r="W234" s="2"/>
      <c r="X234" s="7">
        <f t="shared" si="122"/>
        <v>-8707.1600000000017</v>
      </c>
      <c r="Y234" s="2"/>
      <c r="Z234" s="6">
        <f t="shared" si="123"/>
        <v>-0.4976990345147681</v>
      </c>
    </row>
    <row r="235" spans="1:26" s="24" customFormat="1" hidden="1" outlineLevel="2" x14ac:dyDescent="0.25">
      <c r="A235" s="27"/>
      <c r="B235" s="11" t="str">
        <f>CONCATENATE("          ", "6243", " - ", "PAPER SUPPLIES")</f>
        <v xml:space="preserve">          6243 - PAPER SUPPLIES</v>
      </c>
      <c r="C235" s="11"/>
      <c r="D235" s="7">
        <v>411.1</v>
      </c>
      <c r="E235" s="2"/>
      <c r="F235" s="6">
        <f t="shared" si="116"/>
        <v>1.759606806849104E-3</v>
      </c>
      <c r="G235" s="2"/>
      <c r="H235" s="7">
        <v>3229.02</v>
      </c>
      <c r="I235" s="2"/>
      <c r="J235" s="6">
        <f t="shared" si="117"/>
        <v>7.2724794460823899E-3</v>
      </c>
      <c r="K235" s="2"/>
      <c r="L235" s="7">
        <f t="shared" si="118"/>
        <v>-2817.92</v>
      </c>
      <c r="M235" s="2"/>
      <c r="N235" s="6">
        <f t="shared" si="119"/>
        <v>-0.87268583037577963</v>
      </c>
      <c r="O235" s="11"/>
      <c r="P235" s="7">
        <v>5093.3999999999996</v>
      </c>
      <c r="Q235" s="2"/>
      <c r="R235" s="6">
        <f t="shared" si="120"/>
        <v>1.8874128550090958E-3</v>
      </c>
      <c r="S235" s="2"/>
      <c r="T235" s="7">
        <v>9558.5</v>
      </c>
      <c r="U235" s="2"/>
      <c r="V235" s="6">
        <f t="shared" si="121"/>
        <v>1.7331243096751561E-3</v>
      </c>
      <c r="W235" s="2"/>
      <c r="X235" s="7">
        <f t="shared" si="122"/>
        <v>-4465.1000000000004</v>
      </c>
      <c r="Y235" s="2"/>
      <c r="Z235" s="6">
        <f t="shared" si="123"/>
        <v>-0.46713396453418427</v>
      </c>
    </row>
    <row r="236" spans="1:26" s="24" customFormat="1" hidden="1" outlineLevel="2" x14ac:dyDescent="0.25">
      <c r="A236" s="27"/>
      <c r="B236" s="11" t="str">
        <f>CONCATENATE("          ", "6245", " - ", "PRINTING")</f>
        <v xml:space="preserve">          6245 - PRINTING</v>
      </c>
      <c r="C236" s="11"/>
      <c r="D236" s="7"/>
      <c r="E236" s="2"/>
      <c r="F236" s="6">
        <f t="shared" si="116"/>
        <v>0</v>
      </c>
      <c r="G236" s="2"/>
      <c r="H236" s="7">
        <v>748.76</v>
      </c>
      <c r="I236" s="2"/>
      <c r="J236" s="6">
        <f t="shared" si="117"/>
        <v>1.6863759623813573E-3</v>
      </c>
      <c r="K236" s="2"/>
      <c r="L236" s="7">
        <f t="shared" si="118"/>
        <v>-748.76</v>
      </c>
      <c r="M236" s="2"/>
      <c r="N236" s="6">
        <f t="shared" si="119"/>
        <v>-1</v>
      </c>
      <c r="O236" s="11"/>
      <c r="P236" s="7">
        <v>508.27</v>
      </c>
      <c r="Q236" s="2"/>
      <c r="R236" s="6">
        <f t="shared" si="120"/>
        <v>1.8834478576500434E-4</v>
      </c>
      <c r="S236" s="2"/>
      <c r="T236" s="7">
        <v>5593.81</v>
      </c>
      <c r="U236" s="2"/>
      <c r="V236" s="6">
        <f t="shared" si="121"/>
        <v>1.0142562216565345E-3</v>
      </c>
      <c r="W236" s="2"/>
      <c r="X236" s="7">
        <f t="shared" si="122"/>
        <v>-5085.5400000000009</v>
      </c>
      <c r="Y236" s="2"/>
      <c r="Z236" s="6">
        <f t="shared" si="123"/>
        <v>-0.90913706400467664</v>
      </c>
    </row>
    <row r="237" spans="1:26" s="24" customFormat="1" hidden="1" outlineLevel="2" x14ac:dyDescent="0.25">
      <c r="A237" s="27"/>
      <c r="B237" s="11" t="str">
        <f>CONCATENATE("          ", "6247", " - ", "STORE SUPPLIES")</f>
        <v xml:space="preserve">          6247 - STORE SUPPLIES</v>
      </c>
      <c r="C237" s="11"/>
      <c r="D237" s="7">
        <v>1850.54</v>
      </c>
      <c r="E237" s="2"/>
      <c r="F237" s="6">
        <f t="shared" si="116"/>
        <v>7.9207559726259813E-3</v>
      </c>
      <c r="G237" s="2"/>
      <c r="H237" s="7">
        <v>543.91999999999996</v>
      </c>
      <c r="I237" s="2"/>
      <c r="J237" s="6">
        <f t="shared" si="117"/>
        <v>1.2250302012106254E-3</v>
      </c>
      <c r="K237" s="2"/>
      <c r="L237" s="7">
        <f t="shared" si="118"/>
        <v>1306.6199999999999</v>
      </c>
      <c r="M237" s="2"/>
      <c r="N237" s="6">
        <f t="shared" si="119"/>
        <v>2.4022282688630683</v>
      </c>
      <c r="O237" s="11"/>
      <c r="P237" s="7">
        <v>30074.390000000003</v>
      </c>
      <c r="Q237" s="2"/>
      <c r="R237" s="6">
        <f t="shared" si="120"/>
        <v>1.1144381021038404E-2</v>
      </c>
      <c r="S237" s="2"/>
      <c r="T237" s="7">
        <v>13308.94</v>
      </c>
      <c r="U237" s="2"/>
      <c r="V237" s="6">
        <f t="shared" si="121"/>
        <v>2.4131451012196553E-3</v>
      </c>
      <c r="W237" s="2"/>
      <c r="X237" s="7">
        <f t="shared" si="122"/>
        <v>16765.450000000004</v>
      </c>
      <c r="Y237" s="2"/>
      <c r="Z237" s="6">
        <f t="shared" si="123"/>
        <v>1.2597133956573554</v>
      </c>
    </row>
    <row r="238" spans="1:26" s="25" customFormat="1" outlineLevel="1" collapsed="1" x14ac:dyDescent="0.25">
      <c r="A238" s="26"/>
      <c r="B238" s="13" t="str">
        <f>CONCATENATE("     ","Telephone/Data Lines                              ")</f>
        <v xml:space="preserve">     Telephone/Data Lines                              </v>
      </c>
      <c r="C238" s="13"/>
      <c r="D238" s="1">
        <f>SUM(OSRRefD22_21x_0)</f>
        <v>1971.54</v>
      </c>
      <c r="E238" s="1"/>
      <c r="F238" s="5">
        <f t="shared" ref="F238:F240" si="124">IF(D$12=0,0,D238/D$12)</f>
        <v>8.4386650546710833E-3</v>
      </c>
      <c r="G238" s="1"/>
      <c r="H238" s="1">
        <f>SUM(OSRRefH22_21x_0)</f>
        <v>2600.59</v>
      </c>
      <c r="I238" s="1"/>
      <c r="J238" s="5">
        <f t="shared" ref="J238:J240" si="125">IF(H$12=0,0,H238/H$12)</f>
        <v>5.8571137133518539E-3</v>
      </c>
      <c r="K238" s="1"/>
      <c r="L238" s="1">
        <f t="shared" ref="L238:L240" si="126">+D238-H238</f>
        <v>-629.05000000000018</v>
      </c>
      <c r="M238" s="1"/>
      <c r="N238" s="5">
        <f t="shared" ref="N238:N240" si="127">IF(H238=0,0,L238/H238)</f>
        <v>-0.24188741785517906</v>
      </c>
      <c r="O238" s="13"/>
      <c r="P238" s="1">
        <f>SUM(OSRRefP22_21x_0)</f>
        <v>15028.19</v>
      </c>
      <c r="Q238" s="1"/>
      <c r="R238" s="5">
        <f t="shared" ref="R238:R240" si="128">IF(P$12=0,0,P238/P$12)</f>
        <v>5.5688536132090837E-3</v>
      </c>
      <c r="S238" s="1"/>
      <c r="T238" s="1">
        <f>SUM(OSRRefT22_21x_0)</f>
        <v>16055.26</v>
      </c>
      <c r="U238" s="1"/>
      <c r="V238" s="5">
        <f t="shared" ref="V238:V240" si="129">IF(T$12=0,0,T238/T$12)</f>
        <v>2.91110126109276E-3</v>
      </c>
      <c r="W238" s="1"/>
      <c r="X238" s="1">
        <f t="shared" ref="X238:X240" si="130">+P238-T238</f>
        <v>-1027.0699999999997</v>
      </c>
      <c r="Y238" s="1"/>
      <c r="Z238" s="5">
        <f t="shared" ref="Z238:Z240" si="131">IF(T238=0,0,X238/T238)</f>
        <v>-6.3970935381924665E-2</v>
      </c>
    </row>
    <row r="239" spans="1:26" s="24" customFormat="1" hidden="1" outlineLevel="2" x14ac:dyDescent="0.25">
      <c r="A239" s="27"/>
      <c r="B239" s="11" t="str">
        <f>CONCATENATE("          ", "6303", " - ", "DATA PHONE LINES")</f>
        <v xml:space="preserve">          6303 - DATA PHONE LINES</v>
      </c>
      <c r="C239" s="11"/>
      <c r="D239" s="7"/>
      <c r="E239" s="2"/>
      <c r="F239" s="6">
        <f t="shared" si="124"/>
        <v>0</v>
      </c>
      <c r="G239" s="2"/>
      <c r="H239" s="7">
        <v>295</v>
      </c>
      <c r="I239" s="2"/>
      <c r="J239" s="6">
        <f t="shared" si="125"/>
        <v>6.6440636372469206E-4</v>
      </c>
      <c r="K239" s="2"/>
      <c r="L239" s="7">
        <f t="shared" si="126"/>
        <v>-295</v>
      </c>
      <c r="M239" s="2"/>
      <c r="N239" s="6">
        <f t="shared" si="127"/>
        <v>-1</v>
      </c>
      <c r="O239" s="11"/>
      <c r="P239" s="7">
        <v>2065</v>
      </c>
      <c r="Q239" s="2"/>
      <c r="R239" s="6">
        <f t="shared" si="128"/>
        <v>7.6520743424702219E-4</v>
      </c>
      <c r="S239" s="2"/>
      <c r="T239" s="7">
        <v>1770</v>
      </c>
      <c r="U239" s="2"/>
      <c r="V239" s="6">
        <f t="shared" si="129"/>
        <v>3.20932157569182E-4</v>
      </c>
      <c r="W239" s="2"/>
      <c r="X239" s="7">
        <f t="shared" si="130"/>
        <v>295</v>
      </c>
      <c r="Y239" s="2"/>
      <c r="Z239" s="6">
        <f t="shared" si="131"/>
        <v>0.16666666666666666</v>
      </c>
    </row>
    <row r="240" spans="1:26" s="24" customFormat="1" hidden="1" outlineLevel="2" x14ac:dyDescent="0.25">
      <c r="A240" s="27"/>
      <c r="B240" s="11" t="str">
        <f>CONCATENATE("          ", "6309", " - ", "TELEPHONE")</f>
        <v xml:space="preserve">          6309 - TELEPHONE</v>
      </c>
      <c r="C240" s="11"/>
      <c r="D240" s="7">
        <v>1971.54</v>
      </c>
      <c r="E240" s="2"/>
      <c r="F240" s="6">
        <f t="shared" si="124"/>
        <v>8.4386650546710833E-3</v>
      </c>
      <c r="G240" s="2"/>
      <c r="H240" s="7">
        <v>2305.59</v>
      </c>
      <c r="I240" s="2"/>
      <c r="J240" s="6">
        <f t="shared" si="125"/>
        <v>5.1927073496271618E-3</v>
      </c>
      <c r="K240" s="2"/>
      <c r="L240" s="7">
        <f t="shared" si="126"/>
        <v>-334.05000000000018</v>
      </c>
      <c r="M240" s="2"/>
      <c r="N240" s="6">
        <f t="shared" si="127"/>
        <v>-0.14488699204975738</v>
      </c>
      <c r="O240" s="11"/>
      <c r="P240" s="7">
        <v>12963.19</v>
      </c>
      <c r="Q240" s="2"/>
      <c r="R240" s="6">
        <f t="shared" si="128"/>
        <v>4.8036461789620613E-3</v>
      </c>
      <c r="S240" s="2"/>
      <c r="T240" s="7">
        <v>14285.26</v>
      </c>
      <c r="U240" s="2"/>
      <c r="V240" s="6">
        <f t="shared" si="129"/>
        <v>2.590169103523578E-3</v>
      </c>
      <c r="W240" s="2"/>
      <c r="X240" s="7">
        <f t="shared" si="130"/>
        <v>-1322.0699999999997</v>
      </c>
      <c r="Y240" s="2"/>
      <c r="Z240" s="6">
        <f t="shared" si="131"/>
        <v>-9.2547843021408061E-2</v>
      </c>
    </row>
    <row r="241" spans="1:26" s="25" customFormat="1" outlineLevel="1" collapsed="1" x14ac:dyDescent="0.25">
      <c r="A241" s="26"/>
      <c r="B241" s="13" t="str">
        <f>CONCATENATE("     ","Training                                          ")</f>
        <v xml:space="preserve">     Training                                          </v>
      </c>
      <c r="C241" s="13"/>
      <c r="D241" s="1">
        <f>SUM(OSRRefD22_22x_0)</f>
        <v>0</v>
      </c>
      <c r="E241" s="1"/>
      <c r="F241" s="5">
        <f t="shared" ref="F241:F246" si="132">IF(D$12=0,0,D241/D$12)</f>
        <v>0</v>
      </c>
      <c r="G241" s="1"/>
      <c r="H241" s="1">
        <f>SUM(OSRRefH22_22x_0)</f>
        <v>0</v>
      </c>
      <c r="I241" s="1"/>
      <c r="J241" s="5">
        <f t="shared" ref="J241:J246" si="133">IF(H$12=0,0,H241/H$12)</f>
        <v>0</v>
      </c>
      <c r="K241" s="1"/>
      <c r="L241" s="1">
        <f t="shared" ref="L241:L246" si="134">+D241-H241</f>
        <v>0</v>
      </c>
      <c r="M241" s="1"/>
      <c r="N241" s="5">
        <f t="shared" ref="N241:N246" si="135">IF(H241=0,0,L241/H241)</f>
        <v>0</v>
      </c>
      <c r="O241" s="13"/>
      <c r="P241" s="1">
        <f>SUM(OSRRefP22_22x_0)</f>
        <v>145.63</v>
      </c>
      <c r="Q241" s="1"/>
      <c r="R241" s="5">
        <f t="shared" ref="R241:R246" si="136">IF(P$12=0,0,P241/P$12)</f>
        <v>5.396472573820525E-5</v>
      </c>
      <c r="S241" s="1"/>
      <c r="T241" s="1">
        <f>SUM(OSRRefT22_22x_0)</f>
        <v>7563.8</v>
      </c>
      <c r="U241" s="1"/>
      <c r="V241" s="5">
        <f t="shared" ref="V241:V246" si="137">IF(T$12=0,0,T241/T$12)</f>
        <v>1.3714500866789713E-3</v>
      </c>
      <c r="W241" s="1"/>
      <c r="X241" s="1">
        <f t="shared" ref="X241:X246" si="138">+P241-T241</f>
        <v>-7418.17</v>
      </c>
      <c r="Y241" s="1"/>
      <c r="Z241" s="5">
        <f t="shared" ref="Z241:Z246" si="139">IF(T241=0,0,X241/T241)</f>
        <v>-0.98074645019699092</v>
      </c>
    </row>
    <row r="242" spans="1:26" s="24" customFormat="1" hidden="1" outlineLevel="2" x14ac:dyDescent="0.25">
      <c r="A242" s="27"/>
      <c r="B242" s="11" t="str">
        <f>CONCATENATE("          ", "6376", " - ", "TRAINING")</f>
        <v xml:space="preserve">          6376 - TRAINING</v>
      </c>
      <c r="C242" s="11"/>
      <c r="D242" s="7"/>
      <c r="E242" s="2"/>
      <c r="F242" s="6">
        <f t="shared" si="132"/>
        <v>0</v>
      </c>
      <c r="G242" s="2"/>
      <c r="H242" s="7"/>
      <c r="I242" s="2"/>
      <c r="J242" s="6">
        <f t="shared" si="133"/>
        <v>0</v>
      </c>
      <c r="K242" s="2"/>
      <c r="L242" s="7">
        <f t="shared" si="134"/>
        <v>0</v>
      </c>
      <c r="M242" s="2"/>
      <c r="N242" s="6">
        <f t="shared" si="135"/>
        <v>0</v>
      </c>
      <c r="O242" s="11"/>
      <c r="P242" s="7">
        <v>145.63</v>
      </c>
      <c r="Q242" s="2"/>
      <c r="R242" s="6">
        <f t="shared" si="136"/>
        <v>5.396472573820525E-5</v>
      </c>
      <c r="S242" s="2"/>
      <c r="T242" s="7">
        <v>7563.8</v>
      </c>
      <c r="U242" s="2"/>
      <c r="V242" s="6">
        <f t="shared" si="137"/>
        <v>1.3714500866789713E-3</v>
      </c>
      <c r="W242" s="2"/>
      <c r="X242" s="7">
        <f t="shared" si="138"/>
        <v>-7418.17</v>
      </c>
      <c r="Y242" s="2"/>
      <c r="Z242" s="6">
        <f t="shared" si="139"/>
        <v>-0.98074645019699092</v>
      </c>
    </row>
    <row r="243" spans="1:26" s="25" customFormat="1" outlineLevel="1" collapsed="1" x14ac:dyDescent="0.25">
      <c r="A243" s="26"/>
      <c r="B243" s="13" t="str">
        <f>CONCATENATE("     ","Travel                                            ")</f>
        <v xml:space="preserve">     Travel                                            </v>
      </c>
      <c r="C243" s="13"/>
      <c r="D243" s="1">
        <f>SUM(OSRRefD22_23x_0)</f>
        <v>0</v>
      </c>
      <c r="E243" s="1"/>
      <c r="F243" s="5">
        <f t="shared" si="132"/>
        <v>0</v>
      </c>
      <c r="G243" s="1"/>
      <c r="H243" s="1">
        <f>SUM(OSRRefH22_23x_0)</f>
        <v>-159.65</v>
      </c>
      <c r="I243" s="1"/>
      <c r="J243" s="5">
        <f t="shared" si="133"/>
        <v>-3.5956771514795624E-4</v>
      </c>
      <c r="K243" s="1"/>
      <c r="L243" s="1">
        <f t="shared" si="134"/>
        <v>159.65</v>
      </c>
      <c r="M243" s="1"/>
      <c r="N243" s="5">
        <f t="shared" si="135"/>
        <v>-1</v>
      </c>
      <c r="O243" s="13"/>
      <c r="P243" s="1">
        <f>SUM(OSRRefP22_23x_0)</f>
        <v>680.93</v>
      </c>
      <c r="Q243" s="1"/>
      <c r="R243" s="5">
        <f t="shared" si="136"/>
        <v>2.5232576184107739E-4</v>
      </c>
      <c r="S243" s="1"/>
      <c r="T243" s="1">
        <f>SUM(OSRRefT22_23x_0)</f>
        <v>1442.1</v>
      </c>
      <c r="U243" s="1"/>
      <c r="V243" s="5">
        <f t="shared" si="137"/>
        <v>2.6147811549746743E-4</v>
      </c>
      <c r="W243" s="1"/>
      <c r="X243" s="1">
        <f t="shared" si="138"/>
        <v>-761.17</v>
      </c>
      <c r="Y243" s="1"/>
      <c r="Z243" s="5">
        <f t="shared" si="139"/>
        <v>-0.52782053949102004</v>
      </c>
    </row>
    <row r="244" spans="1:26" s="24" customFormat="1" hidden="1" outlineLevel="2" x14ac:dyDescent="0.25">
      <c r="A244" s="27"/>
      <c r="B244" s="11" t="str">
        <f>CONCATENATE("          ", "6292", " - ", "TRAVEL/CONFERENCE")</f>
        <v xml:space="preserve">          6292 - TRAVEL/CONFERENCE</v>
      </c>
      <c r="C244" s="11"/>
      <c r="D244" s="7"/>
      <c r="E244" s="2"/>
      <c r="F244" s="6">
        <f t="shared" si="132"/>
        <v>0</v>
      </c>
      <c r="G244" s="2"/>
      <c r="H244" s="7">
        <v>-323.01</v>
      </c>
      <c r="I244" s="2"/>
      <c r="J244" s="6">
        <f t="shared" si="133"/>
        <v>-7.2749118490411115E-4</v>
      </c>
      <c r="K244" s="2"/>
      <c r="L244" s="7">
        <f t="shared" si="134"/>
        <v>323.01</v>
      </c>
      <c r="M244" s="2"/>
      <c r="N244" s="6">
        <f t="shared" si="135"/>
        <v>-1</v>
      </c>
      <c r="O244" s="11"/>
      <c r="P244" s="7">
        <v>299.16000000000003</v>
      </c>
      <c r="Q244" s="2"/>
      <c r="R244" s="6">
        <f t="shared" si="136"/>
        <v>1.1085687943309404E-4</v>
      </c>
      <c r="S244" s="2"/>
      <c r="T244" s="7">
        <v>365.6</v>
      </c>
      <c r="U244" s="2"/>
      <c r="V244" s="6">
        <f t="shared" si="137"/>
        <v>6.6289715710335007E-5</v>
      </c>
      <c r="W244" s="2"/>
      <c r="X244" s="7">
        <f t="shared" si="138"/>
        <v>-66.44</v>
      </c>
      <c r="Y244" s="2"/>
      <c r="Z244" s="6">
        <f t="shared" si="139"/>
        <v>-0.18172866520787745</v>
      </c>
    </row>
    <row r="245" spans="1:26" s="24" customFormat="1" hidden="1" outlineLevel="2" x14ac:dyDescent="0.25">
      <c r="A245" s="27"/>
      <c r="B245" s="11" t="str">
        <f>CONCATENATE("          ", "6294", " - ", "TRAVEL OPERATIONAL")</f>
        <v xml:space="preserve">          6294 - TRAVEL OPERATIONAL</v>
      </c>
      <c r="C245" s="11"/>
      <c r="D245" s="7"/>
      <c r="E245" s="2"/>
      <c r="F245" s="6">
        <f t="shared" si="132"/>
        <v>0</v>
      </c>
      <c r="G245" s="2"/>
      <c r="H245" s="7">
        <v>125.14</v>
      </c>
      <c r="I245" s="2"/>
      <c r="J245" s="6">
        <f t="shared" si="133"/>
        <v>2.8184343171697612E-4</v>
      </c>
      <c r="K245" s="2"/>
      <c r="L245" s="7">
        <f t="shared" si="134"/>
        <v>-125.14</v>
      </c>
      <c r="M245" s="2"/>
      <c r="N245" s="6">
        <f t="shared" si="135"/>
        <v>-1</v>
      </c>
      <c r="O245" s="11"/>
      <c r="P245" s="7">
        <v>321.88</v>
      </c>
      <c r="Q245" s="2"/>
      <c r="R245" s="6">
        <f t="shared" si="136"/>
        <v>1.1927601401231551E-4</v>
      </c>
      <c r="S245" s="2"/>
      <c r="T245" s="7">
        <v>818.94</v>
      </c>
      <c r="U245" s="2"/>
      <c r="V245" s="6">
        <f t="shared" si="137"/>
        <v>1.4848823792073783E-4</v>
      </c>
      <c r="W245" s="2"/>
      <c r="X245" s="7">
        <f t="shared" si="138"/>
        <v>-497.06000000000006</v>
      </c>
      <c r="Y245" s="2"/>
      <c r="Z245" s="6">
        <f t="shared" si="139"/>
        <v>-0.60695533250299172</v>
      </c>
    </row>
    <row r="246" spans="1:26" s="24" customFormat="1" hidden="1" outlineLevel="2" x14ac:dyDescent="0.25">
      <c r="A246" s="27"/>
      <c r="B246" s="11" t="str">
        <f>CONCATENATE("          ", "6298", " - ", "VEHICLE MILEAGE")</f>
        <v xml:space="preserve">          6298 - VEHICLE MILEAGE</v>
      </c>
      <c r="C246" s="11"/>
      <c r="D246" s="7"/>
      <c r="E246" s="2"/>
      <c r="F246" s="6">
        <f t="shared" si="132"/>
        <v>0</v>
      </c>
      <c r="G246" s="2"/>
      <c r="H246" s="7">
        <v>38.22</v>
      </c>
      <c r="I246" s="2"/>
      <c r="J246" s="6">
        <f t="shared" si="133"/>
        <v>8.6080038039178743E-5</v>
      </c>
      <c r="K246" s="2"/>
      <c r="L246" s="7">
        <f t="shared" si="134"/>
        <v>-38.22</v>
      </c>
      <c r="M246" s="2"/>
      <c r="N246" s="6">
        <f t="shared" si="135"/>
        <v>-1</v>
      </c>
      <c r="O246" s="11"/>
      <c r="P246" s="7">
        <v>59.89</v>
      </c>
      <c r="Q246" s="2"/>
      <c r="R246" s="6">
        <f t="shared" si="136"/>
        <v>2.2192868395667875E-5</v>
      </c>
      <c r="S246" s="2"/>
      <c r="T246" s="7">
        <v>257.56</v>
      </c>
      <c r="U246" s="2"/>
      <c r="V246" s="6">
        <f t="shared" si="137"/>
        <v>4.6700161866394647E-5</v>
      </c>
      <c r="W246" s="2"/>
      <c r="X246" s="7">
        <f t="shared" si="138"/>
        <v>-197.67000000000002</v>
      </c>
      <c r="Y246" s="2"/>
      <c r="Z246" s="6">
        <f t="shared" si="139"/>
        <v>-0.76747165708961029</v>
      </c>
    </row>
    <row r="247" spans="1:26" s="25" customFormat="1" outlineLevel="1" collapsed="1" x14ac:dyDescent="0.25">
      <c r="A247" s="26"/>
      <c r="B247" s="13" t="str">
        <f>CONCATENATE("     ","Utilities                                         ")</f>
        <v xml:space="preserve">     Utilities                                         </v>
      </c>
      <c r="C247" s="13"/>
      <c r="D247" s="1">
        <f>SUM(OSRRefD22_24x_0)</f>
        <v>6175.61</v>
      </c>
      <c r="E247" s="1"/>
      <c r="F247" s="5">
        <f t="shared" ref="F247:F248" si="140">IF(D$12=0,0,D247/D$12)</f>
        <v>2.6433095092302104E-2</v>
      </c>
      <c r="G247" s="1"/>
      <c r="H247" s="1">
        <f>SUM(OSRRefH22_24x_0)</f>
        <v>9435.76</v>
      </c>
      <c r="I247" s="1"/>
      <c r="J247" s="5">
        <f t="shared" ref="J247:J248" si="141">IF(H$12=0,0,H247/H$12)</f>
        <v>2.1251454205352203E-2</v>
      </c>
      <c r="K247" s="1"/>
      <c r="L247" s="1">
        <f t="shared" ref="L247:L248" si="142">+D247-H247</f>
        <v>-3260.1500000000005</v>
      </c>
      <c r="M247" s="1"/>
      <c r="N247" s="5">
        <f t="shared" ref="N247:N248" si="143">IF(H247=0,0,L247/H247)</f>
        <v>-0.3455100596030421</v>
      </c>
      <c r="O247" s="13"/>
      <c r="P247" s="1">
        <f>SUM(OSRRefP22_24x_0)</f>
        <v>36761.420000000006</v>
      </c>
      <c r="Q247" s="1"/>
      <c r="R247" s="5">
        <f t="shared" ref="R247:R248" si="144">IF(P$12=0,0,P247/P$12)</f>
        <v>1.3622330207010737E-2</v>
      </c>
      <c r="S247" s="1"/>
      <c r="T247" s="1">
        <f>SUM(OSRRefT22_24x_0)</f>
        <v>32034.68</v>
      </c>
      <c r="U247" s="1"/>
      <c r="V247" s="5">
        <f t="shared" ref="V247:V248" si="145">IF(T$12=0,0,T247/T$12)</f>
        <v>5.8084513951628947E-3</v>
      </c>
      <c r="W247" s="1"/>
      <c r="X247" s="1">
        <f t="shared" ref="X247:X248" si="146">+P247-T247</f>
        <v>4726.7400000000052</v>
      </c>
      <c r="Y247" s="1"/>
      <c r="Z247" s="5">
        <f t="shared" ref="Z247:Z248" si="147">IF(T247=0,0,X247/T247)</f>
        <v>0.14755071691054836</v>
      </c>
    </row>
    <row r="248" spans="1:26" s="24" customFormat="1" hidden="1" outlineLevel="2" x14ac:dyDescent="0.25">
      <c r="A248" s="27"/>
      <c r="B248" s="11" t="str">
        <f>CONCATENATE("          ", "6274", " - ", "UTILITIES")</f>
        <v xml:space="preserve">          6274 - UTILITIES</v>
      </c>
      <c r="C248" s="11"/>
      <c r="D248" s="7">
        <v>6175.61</v>
      </c>
      <c r="E248" s="2"/>
      <c r="F248" s="6">
        <f t="shared" si="140"/>
        <v>2.6433095092302104E-2</v>
      </c>
      <c r="G248" s="2"/>
      <c r="H248" s="7">
        <v>9435.76</v>
      </c>
      <c r="I248" s="2"/>
      <c r="J248" s="6">
        <f t="shared" si="141"/>
        <v>2.1251454205352203E-2</v>
      </c>
      <c r="K248" s="2"/>
      <c r="L248" s="7">
        <f t="shared" si="142"/>
        <v>-3260.1500000000005</v>
      </c>
      <c r="M248" s="2"/>
      <c r="N248" s="6">
        <f t="shared" si="143"/>
        <v>-0.3455100596030421</v>
      </c>
      <c r="O248" s="11"/>
      <c r="P248" s="7">
        <v>36761.420000000006</v>
      </c>
      <c r="Q248" s="2"/>
      <c r="R248" s="6">
        <f t="shared" si="144"/>
        <v>1.3622330207010737E-2</v>
      </c>
      <c r="S248" s="2"/>
      <c r="T248" s="7">
        <v>32034.68</v>
      </c>
      <c r="U248" s="2"/>
      <c r="V248" s="6">
        <f t="shared" si="145"/>
        <v>5.8084513951628947E-3</v>
      </c>
      <c r="W248" s="2"/>
      <c r="X248" s="7">
        <f t="shared" si="146"/>
        <v>4726.7400000000052</v>
      </c>
      <c r="Y248" s="2"/>
      <c r="Z248" s="6">
        <f t="shared" si="147"/>
        <v>0.14755071691054836</v>
      </c>
    </row>
    <row r="249" spans="1:26" s="55" customFormat="1" x14ac:dyDescent="0.25">
      <c r="A249" s="37"/>
      <c r="B249" s="37"/>
      <c r="C249" s="37"/>
      <c r="D249" s="1"/>
      <c r="E249" s="1"/>
      <c r="F249" s="5"/>
      <c r="G249" s="1"/>
      <c r="H249" s="1"/>
      <c r="I249" s="1"/>
      <c r="J249" s="5"/>
      <c r="K249" s="1"/>
      <c r="L249" s="1"/>
      <c r="M249" s="1"/>
      <c r="N249" s="5"/>
      <c r="O249" s="37"/>
      <c r="P249" s="1"/>
      <c r="Q249" s="1"/>
      <c r="R249" s="5"/>
      <c r="S249" s="1"/>
      <c r="T249" s="1"/>
      <c r="U249" s="1"/>
      <c r="V249" s="5"/>
      <c r="W249" s="1"/>
      <c r="X249" s="1"/>
      <c r="Y249" s="1"/>
      <c r="Z249" s="5"/>
    </row>
    <row r="250" spans="1:26" s="23" customFormat="1" collapsed="1" x14ac:dyDescent="0.25">
      <c r="A250" s="10"/>
      <c r="B250" s="29" t="s">
        <v>0</v>
      </c>
      <c r="C250" s="10"/>
      <c r="D250" s="4">
        <f>SUM(OSRRefD25x_0)</f>
        <v>20009.02</v>
      </c>
      <c r="E250" s="4"/>
      <c r="F250" s="12">
        <f t="shared" ref="F250:F259" si="148">IF(D$12=0,0,D250/D$12)</f>
        <v>8.5643414717537961E-2</v>
      </c>
      <c r="G250" s="4"/>
      <c r="H250" s="4">
        <f>SUM(OSRRefH25x_0)</f>
        <v>23065.69</v>
      </c>
      <c r="I250" s="4"/>
      <c r="J250" s="12">
        <f t="shared" ref="J250:J259" si="149">IF(H$12=0,0,H250/H$12)</f>
        <v>5.1949122778647432E-2</v>
      </c>
      <c r="K250" s="4"/>
      <c r="L250" s="4">
        <f t="shared" ref="L250:L259" si="150">+D250-H250</f>
        <v>-3056.6699999999983</v>
      </c>
      <c r="M250" s="4"/>
      <c r="N250" s="12">
        <f t="shared" ref="N250:N259" si="151">IF(H250=0,0,L250/H250)</f>
        <v>-0.13252020641914455</v>
      </c>
      <c r="O250" s="10"/>
      <c r="P250" s="4">
        <f>SUM(OSRRefP25x_0)</f>
        <v>544389.27</v>
      </c>
      <c r="Q250" s="4"/>
      <c r="R250" s="12">
        <f t="shared" ref="R250:R259" si="152">IF(P$12=0,0,P250/P$12)</f>
        <v>0.20172916054639684</v>
      </c>
      <c r="S250" s="4"/>
      <c r="T250" s="4">
        <f>SUM(OSRRefT25x_0)</f>
        <v>423466.33</v>
      </c>
      <c r="U250" s="4"/>
      <c r="V250" s="12">
        <f t="shared" ref="V250:V259" si="153">IF(T$12=0,0,T250/T$12)</f>
        <v>7.678189996881539E-2</v>
      </c>
      <c r="W250" s="4"/>
      <c r="X250" s="4">
        <f t="shared" ref="X250:X259" si="154">+P250-T250</f>
        <v>120922.94</v>
      </c>
      <c r="Y250" s="4"/>
      <c r="Z250" s="12">
        <f t="shared" ref="Z250:Z259" si="155">IF(T250=0,0,X250/T250)</f>
        <v>0.28555502866072019</v>
      </c>
    </row>
    <row r="251" spans="1:26" s="24" customFormat="1" hidden="1" outlineLevel="1" x14ac:dyDescent="0.25">
      <c r="A251" s="44"/>
      <c r="B251" s="11" t="str">
        <f>CONCATENATE("          ", "4098", " - ", "TAXABLE SALES-GRAD RENTALS")</f>
        <v xml:space="preserve">          4098 - TAXABLE SALES-GRAD RENTALS</v>
      </c>
      <c r="C251" s="11"/>
      <c r="D251" s="2">
        <f t="shared" ref="D251:D253" si="156">0</f>
        <v>0</v>
      </c>
      <c r="E251" s="2"/>
      <c r="F251" s="19">
        <f t="shared" si="148"/>
        <v>0</v>
      </c>
      <c r="G251" s="2"/>
      <c r="H251" s="2">
        <f t="shared" ref="H251:H253" si="157">0</f>
        <v>0</v>
      </c>
      <c r="I251" s="2"/>
      <c r="J251" s="19">
        <f t="shared" si="149"/>
        <v>0</v>
      </c>
      <c r="K251" s="2"/>
      <c r="L251" s="2">
        <f t="shared" si="150"/>
        <v>0</v>
      </c>
      <c r="M251" s="2"/>
      <c r="N251" s="19">
        <f t="shared" si="151"/>
        <v>0</v>
      </c>
      <c r="O251" s="11"/>
      <c r="P251" s="2">
        <f t="shared" ref="P251:P253" si="158">0</f>
        <v>0</v>
      </c>
      <c r="Q251" s="2"/>
      <c r="R251" s="19">
        <f t="shared" si="152"/>
        <v>0</v>
      </c>
      <c r="S251" s="2"/>
      <c r="T251" s="2">
        <f>--1626.85</f>
        <v>1626.85</v>
      </c>
      <c r="U251" s="2"/>
      <c r="V251" s="19">
        <f t="shared" si="153"/>
        <v>2.9497654267877048E-4</v>
      </c>
      <c r="W251" s="2"/>
      <c r="X251" s="2">
        <f t="shared" si="154"/>
        <v>-1626.85</v>
      </c>
      <c r="Y251" s="2"/>
      <c r="Z251" s="19">
        <f t="shared" si="155"/>
        <v>-1</v>
      </c>
    </row>
    <row r="252" spans="1:26" s="24" customFormat="1" hidden="1" outlineLevel="1" x14ac:dyDescent="0.25">
      <c r="A252" s="44"/>
      <c r="B252" s="11" t="str">
        <f>CONCATENATE("          ", "4197", " - ", "NON-TAXABLE SALES-RETURNED CHE")</f>
        <v xml:space="preserve">          4197 - NON-TAXABLE SALES-RETURNED CHE</v>
      </c>
      <c r="C252" s="11"/>
      <c r="D252" s="2">
        <f t="shared" si="156"/>
        <v>0</v>
      </c>
      <c r="E252" s="2"/>
      <c r="F252" s="19">
        <f t="shared" si="148"/>
        <v>0</v>
      </c>
      <c r="G252" s="2"/>
      <c r="H252" s="2">
        <f t="shared" si="157"/>
        <v>0</v>
      </c>
      <c r="I252" s="2"/>
      <c r="J252" s="19">
        <f t="shared" si="149"/>
        <v>0</v>
      </c>
      <c r="K252" s="2"/>
      <c r="L252" s="2">
        <f t="shared" si="150"/>
        <v>0</v>
      </c>
      <c r="M252" s="2"/>
      <c r="N252" s="19">
        <f t="shared" si="151"/>
        <v>0</v>
      </c>
      <c r="O252" s="11"/>
      <c r="P252" s="2">
        <f t="shared" si="158"/>
        <v>0</v>
      </c>
      <c r="Q252" s="2"/>
      <c r="R252" s="19">
        <f t="shared" si="152"/>
        <v>0</v>
      </c>
      <c r="S252" s="2"/>
      <c r="T252" s="2">
        <f>--30</f>
        <v>30</v>
      </c>
      <c r="U252" s="2"/>
      <c r="V252" s="19">
        <f t="shared" si="153"/>
        <v>5.4395280943929155E-6</v>
      </c>
      <c r="W252" s="2"/>
      <c r="X252" s="2">
        <f t="shared" si="154"/>
        <v>-30</v>
      </c>
      <c r="Y252" s="2"/>
      <c r="Z252" s="19">
        <f t="shared" si="155"/>
        <v>-1</v>
      </c>
    </row>
    <row r="253" spans="1:26" s="24" customFormat="1" hidden="1" outlineLevel="1" x14ac:dyDescent="0.25">
      <c r="A253" s="44"/>
      <c r="B253" s="11" t="str">
        <f>CONCATENATE("          ", "4198", " - ", "NON-TAXABLE SALES-GRAD RENTALS")</f>
        <v xml:space="preserve">          4198 - NON-TAXABLE SALES-GRAD RENTALS</v>
      </c>
      <c r="C253" s="11"/>
      <c r="D253" s="2">
        <f t="shared" si="156"/>
        <v>0</v>
      </c>
      <c r="E253" s="2"/>
      <c r="F253" s="19">
        <f t="shared" si="148"/>
        <v>0</v>
      </c>
      <c r="G253" s="2"/>
      <c r="H253" s="2">
        <f t="shared" si="157"/>
        <v>0</v>
      </c>
      <c r="I253" s="2"/>
      <c r="J253" s="19">
        <f t="shared" si="149"/>
        <v>0</v>
      </c>
      <c r="K253" s="2"/>
      <c r="L253" s="2">
        <f t="shared" si="150"/>
        <v>0</v>
      </c>
      <c r="M253" s="2"/>
      <c r="N253" s="19">
        <f t="shared" si="151"/>
        <v>0</v>
      </c>
      <c r="O253" s="11"/>
      <c r="P253" s="2">
        <f t="shared" si="158"/>
        <v>0</v>
      </c>
      <c r="Q253" s="2"/>
      <c r="R253" s="19">
        <f t="shared" si="152"/>
        <v>0</v>
      </c>
      <c r="S253" s="2"/>
      <c r="T253" s="2">
        <f>--495</f>
        <v>495</v>
      </c>
      <c r="U253" s="2"/>
      <c r="V253" s="19">
        <f t="shared" si="153"/>
        <v>8.9752213557483103E-5</v>
      </c>
      <c r="W253" s="2"/>
      <c r="X253" s="2">
        <f t="shared" si="154"/>
        <v>-495</v>
      </c>
      <c r="Y253" s="2"/>
      <c r="Z253" s="19">
        <f t="shared" si="155"/>
        <v>-1</v>
      </c>
    </row>
    <row r="254" spans="1:26" s="24" customFormat="1" hidden="1" outlineLevel="1" x14ac:dyDescent="0.25">
      <c r="A254" s="44"/>
      <c r="B254" s="11" t="str">
        <f>CONCATENATE("          ", "9150", " - ", "MISC. INCOME")</f>
        <v xml:space="preserve">          9150 - MISC. INCOME</v>
      </c>
      <c r="C254" s="11"/>
      <c r="D254" s="2">
        <f>--19529.32</f>
        <v>19529.32</v>
      </c>
      <c r="E254" s="2"/>
      <c r="F254" s="19">
        <f t="shared" si="148"/>
        <v>8.3590183422851724E-2</v>
      </c>
      <c r="G254" s="2"/>
      <c r="H254" s="2">
        <f>--19415.01</f>
        <v>19415.009999999998</v>
      </c>
      <c r="I254" s="2"/>
      <c r="J254" s="19">
        <f t="shared" si="149"/>
        <v>4.3726970155181469E-2</v>
      </c>
      <c r="K254" s="2"/>
      <c r="L254" s="2">
        <f t="shared" si="150"/>
        <v>114.31000000000131</v>
      </c>
      <c r="M254" s="2"/>
      <c r="N254" s="19">
        <f t="shared" si="151"/>
        <v>5.8877126511910792E-3</v>
      </c>
      <c r="O254" s="11"/>
      <c r="P254" s="2">
        <f>--218612.11</f>
        <v>218612.11</v>
      </c>
      <c r="Q254" s="2"/>
      <c r="R254" s="19">
        <f t="shared" si="152"/>
        <v>8.1009012972604252E-2</v>
      </c>
      <c r="S254" s="2"/>
      <c r="T254" s="2">
        <f>--245559.66</f>
        <v>245559.66</v>
      </c>
      <c r="U254" s="2"/>
      <c r="V254" s="19">
        <f t="shared" si="153"/>
        <v>4.4524288980652409E-2</v>
      </c>
      <c r="W254" s="2"/>
      <c r="X254" s="2">
        <f t="shared" si="154"/>
        <v>-26947.550000000017</v>
      </c>
      <c r="Y254" s="2"/>
      <c r="Z254" s="19">
        <f t="shared" si="155"/>
        <v>-0.10973931956087582</v>
      </c>
    </row>
    <row r="255" spans="1:26" s="24" customFormat="1" hidden="1" outlineLevel="1" x14ac:dyDescent="0.25">
      <c r="A255" s="44"/>
      <c r="B255" s="11" t="str">
        <f>CONCATENATE("          ", "9151", " - ", "MISC. INCOME")</f>
        <v xml:space="preserve">          9151 - MISC. INCOME</v>
      </c>
      <c r="C255" s="11"/>
      <c r="D255" s="2">
        <f>0</f>
        <v>0</v>
      </c>
      <c r="E255" s="2"/>
      <c r="F255" s="19">
        <f t="shared" si="148"/>
        <v>0</v>
      </c>
      <c r="G255" s="2"/>
      <c r="H255" s="2">
        <f>--268.24</f>
        <v>268.24</v>
      </c>
      <c r="I255" s="2"/>
      <c r="J255" s="19">
        <f t="shared" si="149"/>
        <v>6.0413682374749623E-4</v>
      </c>
      <c r="K255" s="2"/>
      <c r="L255" s="2">
        <f t="shared" si="150"/>
        <v>-268.24</v>
      </c>
      <c r="M255" s="2"/>
      <c r="N255" s="19">
        <f t="shared" si="151"/>
        <v>-1</v>
      </c>
      <c r="O255" s="11"/>
      <c r="P255" s="2">
        <f>--147285.39</f>
        <v>147285.39000000001</v>
      </c>
      <c r="Q255" s="2"/>
      <c r="R255" s="19">
        <f t="shared" si="152"/>
        <v>5.4578147885700742E-2</v>
      </c>
      <c r="S255" s="2"/>
      <c r="T255" s="2">
        <f>--87492.51</f>
        <v>87492.51</v>
      </c>
      <c r="U255" s="2"/>
      <c r="V255" s="19">
        <f t="shared" si="153"/>
        <v>1.5863932206465103E-2</v>
      </c>
      <c r="W255" s="2"/>
      <c r="X255" s="2">
        <f t="shared" si="154"/>
        <v>59792.880000000019</v>
      </c>
      <c r="Y255" s="2"/>
      <c r="Z255" s="19">
        <f t="shared" si="155"/>
        <v>0.68340569952787988</v>
      </c>
    </row>
    <row r="256" spans="1:26" s="24" customFormat="1" hidden="1" outlineLevel="1" x14ac:dyDescent="0.25">
      <c r="A256" s="44"/>
      <c r="B256" s="11" t="str">
        <f>CONCATENATE("          ", "9152", " - ", "MISC. INCOME")</f>
        <v xml:space="preserve">          9152 - MISC. INCOME</v>
      </c>
      <c r="C256" s="11"/>
      <c r="D256" s="2">
        <f>--479.7</f>
        <v>479.7</v>
      </c>
      <c r="E256" s="2"/>
      <c r="F256" s="19">
        <f t="shared" si="148"/>
        <v>2.0532312946862446E-3</v>
      </c>
      <c r="G256" s="2"/>
      <c r="H256" s="2">
        <f>--3382.44</f>
        <v>3382.44</v>
      </c>
      <c r="I256" s="2"/>
      <c r="J256" s="19">
        <f t="shared" si="149"/>
        <v>7.6180157997184656E-3</v>
      </c>
      <c r="K256" s="2"/>
      <c r="L256" s="2">
        <f t="shared" si="150"/>
        <v>-2902.7400000000002</v>
      </c>
      <c r="M256" s="2"/>
      <c r="N256" s="19">
        <f t="shared" si="151"/>
        <v>-0.85817930251534402</v>
      </c>
      <c r="O256" s="11"/>
      <c r="P256" s="2">
        <f>--3085.93</f>
        <v>3085.93</v>
      </c>
      <c r="Q256" s="2"/>
      <c r="R256" s="19">
        <f t="shared" si="152"/>
        <v>1.1435237663757448E-3</v>
      </c>
      <c r="S256" s="2"/>
      <c r="T256" s="2">
        <f>--4230.76</f>
        <v>4230.76</v>
      </c>
      <c r="U256" s="2"/>
      <c r="V256" s="19">
        <f t="shared" si="153"/>
        <v>7.6711126268779242E-4</v>
      </c>
      <c r="W256" s="2"/>
      <c r="X256" s="2">
        <f t="shared" si="154"/>
        <v>-1144.8300000000004</v>
      </c>
      <c r="Y256" s="2"/>
      <c r="Z256" s="19">
        <f t="shared" si="155"/>
        <v>-0.27059677221113942</v>
      </c>
    </row>
    <row r="257" spans="1:26" s="24" customFormat="1" hidden="1" outlineLevel="1" x14ac:dyDescent="0.25">
      <c r="A257" s="44"/>
      <c r="B257" s="11" t="str">
        <f>CONCATENATE("          ", "9153", " - ", "MISC. INCOME")</f>
        <v xml:space="preserve">          9153 - MISC. INCOME</v>
      </c>
      <c r="C257" s="11"/>
      <c r="D257" s="2">
        <f t="shared" ref="D257:D259" si="159">0</f>
        <v>0</v>
      </c>
      <c r="E257" s="2"/>
      <c r="F257" s="19">
        <f t="shared" si="148"/>
        <v>0</v>
      </c>
      <c r="G257" s="2"/>
      <c r="H257" s="2">
        <f t="shared" ref="H257:H259" si="160">0</f>
        <v>0</v>
      </c>
      <c r="I257" s="2"/>
      <c r="J257" s="19">
        <f t="shared" si="149"/>
        <v>0</v>
      </c>
      <c r="K257" s="2"/>
      <c r="L257" s="2">
        <f t="shared" si="150"/>
        <v>0</v>
      </c>
      <c r="M257" s="2"/>
      <c r="N257" s="19">
        <f t="shared" si="151"/>
        <v>0</v>
      </c>
      <c r="O257" s="11"/>
      <c r="P257" s="2">
        <f t="shared" ref="P257:P258" si="161">0</f>
        <v>0</v>
      </c>
      <c r="Q257" s="2"/>
      <c r="R257" s="19">
        <f t="shared" si="152"/>
        <v>0</v>
      </c>
      <c r="S257" s="2"/>
      <c r="T257" s="2">
        <f>--450</f>
        <v>450</v>
      </c>
      <c r="U257" s="2"/>
      <c r="V257" s="19">
        <f t="shared" si="153"/>
        <v>8.159292141589374E-5</v>
      </c>
      <c r="W257" s="2"/>
      <c r="X257" s="2">
        <f t="shared" si="154"/>
        <v>-450</v>
      </c>
      <c r="Y257" s="2"/>
      <c r="Z257" s="19">
        <f t="shared" si="155"/>
        <v>-1</v>
      </c>
    </row>
    <row r="258" spans="1:26" s="24" customFormat="1" hidden="1" outlineLevel="1" x14ac:dyDescent="0.25">
      <c r="A258" s="44"/>
      <c r="B258" s="11" t="str">
        <f>CONCATENATE("          ", "9160", " - ", "MISC. INCOME")</f>
        <v xml:space="preserve">          9160 - MISC. INCOME</v>
      </c>
      <c r="C258" s="11"/>
      <c r="D258" s="2">
        <f t="shared" si="159"/>
        <v>0</v>
      </c>
      <c r="E258" s="2"/>
      <c r="F258" s="19">
        <f t="shared" si="148"/>
        <v>0</v>
      </c>
      <c r="G258" s="2"/>
      <c r="H258" s="2">
        <f t="shared" si="160"/>
        <v>0</v>
      </c>
      <c r="I258" s="2"/>
      <c r="J258" s="19">
        <f t="shared" si="149"/>
        <v>0</v>
      </c>
      <c r="K258" s="2"/>
      <c r="L258" s="2">
        <f t="shared" si="150"/>
        <v>0</v>
      </c>
      <c r="M258" s="2"/>
      <c r="N258" s="19">
        <f t="shared" si="151"/>
        <v>0</v>
      </c>
      <c r="O258" s="11"/>
      <c r="P258" s="2">
        <f t="shared" si="161"/>
        <v>0</v>
      </c>
      <c r="Q258" s="2"/>
      <c r="R258" s="19">
        <f t="shared" si="152"/>
        <v>0</v>
      </c>
      <c r="S258" s="2"/>
      <c r="T258" s="2">
        <f>--22475</f>
        <v>22475</v>
      </c>
      <c r="U258" s="2"/>
      <c r="V258" s="19">
        <f t="shared" si="153"/>
        <v>4.0751131307160257E-3</v>
      </c>
      <c r="W258" s="2"/>
      <c r="X258" s="2">
        <f t="shared" si="154"/>
        <v>-22475</v>
      </c>
      <c r="Y258" s="2"/>
      <c r="Z258" s="19">
        <f t="shared" si="155"/>
        <v>-1</v>
      </c>
    </row>
    <row r="259" spans="1:26" s="24" customFormat="1" hidden="1" outlineLevel="1" x14ac:dyDescent="0.25">
      <c r="A259" s="44"/>
      <c r="B259" s="11" t="str">
        <f>CONCATENATE("          ", "9163", " - ", "MISC. INCOME")</f>
        <v xml:space="preserve">          9163 - MISC. INCOME</v>
      </c>
      <c r="C259" s="11"/>
      <c r="D259" s="2">
        <f t="shared" si="159"/>
        <v>0</v>
      </c>
      <c r="E259" s="2"/>
      <c r="F259" s="19">
        <f t="shared" si="148"/>
        <v>0</v>
      </c>
      <c r="G259" s="2"/>
      <c r="H259" s="2">
        <f t="shared" si="160"/>
        <v>0</v>
      </c>
      <c r="I259" s="2"/>
      <c r="J259" s="19">
        <f t="shared" si="149"/>
        <v>0</v>
      </c>
      <c r="K259" s="2"/>
      <c r="L259" s="2">
        <f t="shared" si="150"/>
        <v>0</v>
      </c>
      <c r="M259" s="2"/>
      <c r="N259" s="19">
        <f t="shared" si="151"/>
        <v>0</v>
      </c>
      <c r="O259" s="11"/>
      <c r="P259" s="2">
        <f>--175405.84</f>
        <v>175405.84</v>
      </c>
      <c r="Q259" s="2"/>
      <c r="R259" s="19">
        <f t="shared" si="152"/>
        <v>6.4998475921716078E-2</v>
      </c>
      <c r="S259" s="2"/>
      <c r="T259" s="2">
        <f>--61106.55</f>
        <v>61106.55</v>
      </c>
      <c r="U259" s="2"/>
      <c r="V259" s="19">
        <f t="shared" si="153"/>
        <v>1.1079693182547515E-2</v>
      </c>
      <c r="W259" s="2"/>
      <c r="X259" s="2">
        <f t="shared" si="154"/>
        <v>114299.29</v>
      </c>
      <c r="Y259" s="2"/>
      <c r="Z259" s="19">
        <f t="shared" si="155"/>
        <v>1.8704916248749108</v>
      </c>
    </row>
    <row r="260" spans="1:26" x14ac:dyDescent="0.25">
      <c r="A260" s="9"/>
      <c r="B260" s="10"/>
      <c r="C260" s="10"/>
      <c r="D260" s="3"/>
      <c r="E260" s="3"/>
      <c r="F260" s="8"/>
      <c r="G260" s="3"/>
      <c r="H260" s="3"/>
      <c r="I260" s="3"/>
      <c r="J260" s="8"/>
      <c r="K260" s="3"/>
      <c r="L260" s="3"/>
      <c r="M260" s="3"/>
      <c r="N260" s="8"/>
      <c r="O260" s="10"/>
      <c r="P260" s="3"/>
      <c r="Q260" s="3"/>
      <c r="R260" s="8"/>
      <c r="S260" s="3"/>
      <c r="T260" s="3"/>
      <c r="U260" s="3"/>
      <c r="V260" s="8"/>
      <c r="W260" s="3"/>
      <c r="X260" s="3"/>
      <c r="Y260" s="3"/>
      <c r="Z260" s="8"/>
    </row>
    <row r="261" spans="1:26" s="23" customFormat="1" x14ac:dyDescent="0.25">
      <c r="A261" s="10"/>
      <c r="B261" s="28" t="s">
        <v>3</v>
      </c>
      <c r="C261" s="28"/>
      <c r="D261" s="20">
        <f>+D159-D161+D250</f>
        <v>-127833.96000000006</v>
      </c>
      <c r="E261" s="14"/>
      <c r="F261" s="21">
        <f>IF(D$12=0,0,D261/D$12)</f>
        <v>-0.54716007337016825</v>
      </c>
      <c r="G261" s="14"/>
      <c r="H261" s="20">
        <f>+H159-H161+H250</f>
        <v>-71174.640000000247</v>
      </c>
      <c r="I261" s="14"/>
      <c r="J261" s="21">
        <f>IF(H$12=0,0,H261/H$12)</f>
        <v>-0.16030130085360739</v>
      </c>
      <c r="K261" s="15"/>
      <c r="L261" s="20">
        <f>+D261-H261</f>
        <v>-56659.319999999818</v>
      </c>
      <c r="M261" s="15"/>
      <c r="N261" s="21">
        <f>IF(H261=0,0,L261/H261)</f>
        <v>0.79606050694460306</v>
      </c>
      <c r="O261" s="29"/>
      <c r="P261" s="20">
        <f>+P159-P161+P250</f>
        <v>-99044.669999998994</v>
      </c>
      <c r="Q261" s="14"/>
      <c r="R261" s="21">
        <f>IF(P$12=0,0,P261/P$12)</f>
        <v>-3.6702042521327964E-2</v>
      </c>
      <c r="S261" s="14"/>
      <c r="T261" s="20">
        <f>+T159-T161+T250</f>
        <v>478137.29999999789</v>
      </c>
      <c r="U261" s="14"/>
      <c r="V261" s="21">
        <f>IF(T$12=0,0,T261/T$12)</f>
        <v>8.6694709210905413E-2</v>
      </c>
      <c r="W261" s="15"/>
      <c r="X261" s="20">
        <f>+P261-T261</f>
        <v>-577181.96999999695</v>
      </c>
      <c r="Y261" s="15"/>
      <c r="Z261" s="21">
        <f>IF(T261=0,0,X261/T261)</f>
        <v>-1.2071469220242794</v>
      </c>
    </row>
    <row r="262" spans="1:26" x14ac:dyDescent="0.25">
      <c r="A262" s="9"/>
      <c r="B262" s="10"/>
      <c r="C262" s="9"/>
      <c r="D262" s="3"/>
      <c r="E262" s="3"/>
      <c r="F262" s="8"/>
      <c r="G262" s="3"/>
      <c r="H262" s="3"/>
      <c r="I262" s="3"/>
      <c r="J262" s="8"/>
      <c r="K262" s="3"/>
      <c r="L262" s="3"/>
      <c r="M262" s="3"/>
      <c r="N262" s="8"/>
      <c r="P262" s="3"/>
      <c r="Q262" s="3"/>
      <c r="R262" s="8"/>
      <c r="S262" s="3"/>
      <c r="T262" s="3"/>
      <c r="U262" s="3"/>
      <c r="V262" s="8"/>
      <c r="W262" s="3"/>
      <c r="X262" s="3"/>
      <c r="Y262" s="3"/>
      <c r="Z262" s="8"/>
    </row>
    <row r="263" spans="1:26" s="23" customFormat="1" x14ac:dyDescent="0.25">
      <c r="A263" s="51"/>
      <c r="B263" s="10" t="s">
        <v>13</v>
      </c>
      <c r="C263" s="10"/>
      <c r="D263" s="4">
        <v>107621.36</v>
      </c>
      <c r="E263" s="4"/>
      <c r="F263" s="12">
        <f>IF(D$12=0,0,D263/D$12)</f>
        <v>0.46064528732269006</v>
      </c>
      <c r="G263" s="4"/>
      <c r="H263" s="4">
        <v>58678.85</v>
      </c>
      <c r="I263" s="4"/>
      <c r="J263" s="12">
        <f>IF(H$12=0,0,H263/H$12)</f>
        <v>0.13215797069846322</v>
      </c>
      <c r="K263" s="4"/>
      <c r="L263" s="4">
        <f>+D263-H263</f>
        <v>48942.51</v>
      </c>
      <c r="M263" s="4"/>
      <c r="N263" s="12">
        <f>IF(H263=0,0,L263/H263)</f>
        <v>0.83407411699445377</v>
      </c>
      <c r="O263" s="10"/>
      <c r="P263" s="4">
        <v>499300.85000000003</v>
      </c>
      <c r="Q263" s="4"/>
      <c r="R263" s="12">
        <f>IF(P$12=0,0,P263/P$12)</f>
        <v>0.18502117304884133</v>
      </c>
      <c r="S263" s="4"/>
      <c r="T263" s="4">
        <v>595682.38</v>
      </c>
      <c r="U263" s="4"/>
      <c r="V263" s="12">
        <f>IF(T$12=0,0,T263/T$12)</f>
        <v>0.10800770137816122</v>
      </c>
      <c r="W263" s="4"/>
      <c r="X263" s="4">
        <f>+P263-T263</f>
        <v>-96381.52999999997</v>
      </c>
      <c r="Y263" s="4"/>
      <c r="Z263" s="12">
        <f>IF(T263=0,0,X263/T263)</f>
        <v>-0.1618002029873705</v>
      </c>
    </row>
    <row r="264" spans="1:26" x14ac:dyDescent="0.25">
      <c r="A264" s="9"/>
      <c r="B264" s="10"/>
      <c r="C264" s="10"/>
      <c r="D264" s="3"/>
      <c r="E264" s="3"/>
      <c r="F264" s="8"/>
      <c r="G264" s="3"/>
      <c r="H264" s="3"/>
      <c r="I264" s="3"/>
      <c r="J264" s="8"/>
      <c r="K264" s="3"/>
      <c r="L264" s="3"/>
      <c r="M264" s="3"/>
      <c r="N264" s="8"/>
      <c r="O264" s="10"/>
      <c r="P264" s="3"/>
      <c r="Q264" s="3"/>
      <c r="R264" s="8"/>
      <c r="S264" s="3"/>
      <c r="T264" s="3"/>
      <c r="U264" s="3"/>
      <c r="V264" s="8"/>
      <c r="W264" s="3"/>
      <c r="X264" s="3"/>
      <c r="Y264" s="3"/>
      <c r="Z264" s="8"/>
    </row>
    <row r="265" spans="1:26" s="23" customFormat="1" ht="15.75" thickBot="1" x14ac:dyDescent="0.3">
      <c r="A265" s="10"/>
      <c r="B265" s="28" t="s">
        <v>4</v>
      </c>
      <c r="C265" s="28"/>
      <c r="D265" s="33">
        <f>+D261-D263</f>
        <v>-235455.32000000007</v>
      </c>
      <c r="E265" s="14"/>
      <c r="F265" s="34">
        <f>IF(D$12=0,0,D265/D$12)</f>
        <v>-1.0078053606928583</v>
      </c>
      <c r="G265" s="14"/>
      <c r="H265" s="33">
        <f>+H261-H263</f>
        <v>-129853.49000000025</v>
      </c>
      <c r="I265" s="14"/>
      <c r="J265" s="34">
        <f>IF(H$12=0,0,H265/H$12)</f>
        <v>-0.29245927155207063</v>
      </c>
      <c r="K265" s="15"/>
      <c r="L265" s="33">
        <f>D265-H265</f>
        <v>-105601.82999999981</v>
      </c>
      <c r="M265" s="15"/>
      <c r="N265" s="34">
        <f>IF(H265=0,0,L265/H265)</f>
        <v>0.81323828878222382</v>
      </c>
      <c r="O265" s="29"/>
      <c r="P265" s="33">
        <f>+P261-P263</f>
        <v>-598345.51999999909</v>
      </c>
      <c r="Q265" s="14"/>
      <c r="R265" s="34">
        <f>IF(P$12=0,0,P265/P$12)</f>
        <v>-0.2217232155701693</v>
      </c>
      <c r="S265" s="14"/>
      <c r="T265" s="33">
        <f>+T261-T263</f>
        <v>-117545.08000000211</v>
      </c>
      <c r="U265" s="14"/>
      <c r="V265" s="34">
        <f>IF(T$12=0,0,T265/T$12)</f>
        <v>-2.1312992167255809E-2</v>
      </c>
      <c r="W265" s="15"/>
      <c r="X265" s="33">
        <f>P265-T265</f>
        <v>-480800.43999999698</v>
      </c>
      <c r="Y265" s="15"/>
      <c r="Z265" s="34">
        <f>IF(T265=0,0,X265/T265)</f>
        <v>4.0903493366118626</v>
      </c>
    </row>
    <row r="266" spans="1:26" ht="15.75" thickTop="1" x14ac:dyDescent="0.25">
      <c r="A266" s="9"/>
      <c r="B266" s="9"/>
      <c r="C266" s="9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x14ac:dyDescent="0.25">
      <c r="A267" s="9"/>
      <c r="B267" s="9"/>
      <c r="C267" s="9"/>
      <c r="D267" s="3"/>
      <c r="E267" s="3"/>
      <c r="F267" s="8"/>
      <c r="G267" s="3"/>
      <c r="H267" s="3"/>
      <c r="I267" s="3"/>
      <c r="J267" s="8"/>
      <c r="K267" s="3"/>
      <c r="L267" s="3"/>
      <c r="M267" s="3"/>
      <c r="N267" s="8"/>
      <c r="P267" s="3"/>
      <c r="Q267" s="3"/>
      <c r="R267" s="8"/>
      <c r="S267" s="3"/>
      <c r="T267" s="3"/>
      <c r="U267" s="3"/>
      <c r="V267" s="8"/>
      <c r="W267" s="3"/>
      <c r="X267" s="3"/>
      <c r="Y267" s="3"/>
      <c r="Z267" s="8"/>
    </row>
    <row r="268" spans="1:26" s="23" customFormat="1" ht="15.75" thickBot="1" x14ac:dyDescent="0.3">
      <c r="A268" s="10"/>
      <c r="B268" s="28" t="s">
        <v>5</v>
      </c>
      <c r="C268" s="28"/>
      <c r="D268" s="30">
        <f>SUM(D265:D267)</f>
        <v>-235455.32000000007</v>
      </c>
      <c r="E268" s="14"/>
      <c r="F268" s="32">
        <f>IF(D$12=0,0,D268/D$12)</f>
        <v>-1.0078053606928583</v>
      </c>
      <c r="G268" s="14"/>
      <c r="H268" s="30">
        <f>SUM(H265:H267)</f>
        <v>-129853.49000000025</v>
      </c>
      <c r="I268" s="14"/>
      <c r="J268" s="32">
        <f>IF(H$12=0,0,H268/H$12)</f>
        <v>-0.29245927155207063</v>
      </c>
      <c r="K268" s="15"/>
      <c r="L268" s="30">
        <f>+D268-H268</f>
        <v>-105601.82999999981</v>
      </c>
      <c r="M268" s="15"/>
      <c r="N268" s="32">
        <f>IF(H268=0,0,L268/H268)</f>
        <v>0.81323828878222382</v>
      </c>
      <c r="O268" s="29"/>
      <c r="P268" s="30">
        <f>SUM(P265:P267)</f>
        <v>-598345.51999999909</v>
      </c>
      <c r="Q268" s="14"/>
      <c r="R268" s="32">
        <f>IF(P$12=0,0,P268/P$12)</f>
        <v>-0.2217232155701693</v>
      </c>
      <c r="S268" s="14"/>
      <c r="T268" s="30">
        <f>SUM(T265:T267)</f>
        <v>-117545.08000000211</v>
      </c>
      <c r="U268" s="14"/>
      <c r="V268" s="32">
        <f>IF(T$12=0,0,T268/T$12)</f>
        <v>-2.1312992167255809E-2</v>
      </c>
      <c r="W268" s="15"/>
      <c r="X268" s="30">
        <f>+P268-T268</f>
        <v>-480800.43999999698</v>
      </c>
      <c r="Y268" s="15"/>
      <c r="Z268" s="32">
        <f>IF(T268=0,0,X268/T268)</f>
        <v>4.0903493366118626</v>
      </c>
    </row>
    <row r="269" spans="1:26" ht="15.75" thickTop="1" x14ac:dyDescent="0.25">
      <c r="A269" s="9"/>
      <c r="C269" s="9"/>
      <c r="D269" s="17"/>
      <c r="E269" s="17"/>
      <c r="G269" s="17"/>
      <c r="H269" s="17"/>
      <c r="I269" s="17"/>
      <c r="J269" s="43"/>
      <c r="K269" s="17"/>
      <c r="L269" s="17"/>
      <c r="M269" s="17"/>
      <c r="P269" s="17"/>
      <c r="Q269" s="17"/>
      <c r="R269" s="43"/>
      <c r="S269" s="17"/>
      <c r="T269" s="17"/>
      <c r="U269" s="17"/>
      <c r="V269" s="43"/>
      <c r="W269" s="17"/>
      <c r="X269" s="17"/>
    </row>
    <row r="270" spans="1:26" x14ac:dyDescent="0.25">
      <c r="A270" s="9"/>
      <c r="B270" s="58">
        <v>44209.521318402774</v>
      </c>
      <c r="D270" s="17"/>
      <c r="E270" s="17"/>
      <c r="G270" s="17"/>
      <c r="H270" s="17"/>
      <c r="I270" s="17"/>
      <c r="J270" s="43"/>
      <c r="K270" s="17"/>
      <c r="L270" s="17"/>
      <c r="M270" s="17"/>
      <c r="P270" s="17"/>
      <c r="Q270" s="17"/>
      <c r="R270" s="43"/>
      <c r="S270" s="17"/>
      <c r="T270" s="17"/>
      <c r="U270" s="17"/>
      <c r="V270" s="43"/>
      <c r="W270" s="17"/>
      <c r="X270" s="17"/>
    </row>
    <row r="271" spans="1:26" x14ac:dyDescent="0.25">
      <c r="A271" s="9"/>
      <c r="B271" s="61" t="s">
        <v>313</v>
      </c>
      <c r="D271" s="17"/>
      <c r="E271" s="17"/>
      <c r="G271" s="17"/>
      <c r="H271" s="17"/>
      <c r="I271" s="17"/>
      <c r="J271" s="43"/>
      <c r="K271" s="17"/>
      <c r="L271" s="17"/>
      <c r="M271" s="17"/>
      <c r="P271" s="17"/>
      <c r="Q271" s="17"/>
      <c r="R271" s="43"/>
      <c r="S271" s="17"/>
      <c r="T271" s="17"/>
      <c r="U271" s="17"/>
      <c r="V271" s="43"/>
      <c r="W271" s="17"/>
      <c r="X271" s="17"/>
    </row>
    <row r="272" spans="1:26" x14ac:dyDescent="0.25">
      <c r="A272" s="9"/>
      <c r="B272" s="57"/>
      <c r="D272" s="17"/>
      <c r="E272" s="17"/>
      <c r="G272" s="17"/>
      <c r="H272" s="17"/>
      <c r="I272" s="17"/>
      <c r="J272" s="43"/>
      <c r="K272" s="17"/>
      <c r="L272" s="17"/>
      <c r="M272" s="17"/>
      <c r="P272" s="17"/>
      <c r="Q272" s="17"/>
      <c r="R272" s="43"/>
      <c r="S272" s="17"/>
      <c r="T272" s="17"/>
      <c r="U272" s="17"/>
      <c r="V272" s="43"/>
      <c r="W272" s="17"/>
      <c r="X272" s="17"/>
    </row>
    <row r="273" spans="4:24" x14ac:dyDescent="0.25">
      <c r="D273" s="17"/>
      <c r="E273" s="17"/>
      <c r="G273" s="17"/>
      <c r="H273" s="17"/>
      <c r="I273" s="17"/>
      <c r="J273" s="43"/>
      <c r="K273" s="17"/>
      <c r="L273" s="17"/>
      <c r="M273" s="17"/>
      <c r="P273" s="17"/>
      <c r="Q273" s="17"/>
      <c r="R273" s="43"/>
      <c r="S273" s="17"/>
      <c r="T273" s="17"/>
      <c r="U273" s="17"/>
      <c r="V273" s="43"/>
      <c r="W273" s="17"/>
      <c r="X273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295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0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311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313073.3600000001</v>
      </c>
      <c r="E12" s="4"/>
      <c r="F12" s="12"/>
      <c r="G12" s="4"/>
      <c r="H12" s="4">
        <f>SUM(OSRRefH13x_0)</f>
        <v>528502.00999999978</v>
      </c>
      <c r="I12" s="4"/>
      <c r="J12" s="12"/>
      <c r="K12" s="4"/>
      <c r="L12" s="4">
        <f t="shared" ref="L12:L123" si="0">+D12-H12</f>
        <v>-215428.64999999967</v>
      </c>
      <c r="M12" s="4"/>
      <c r="N12" s="12">
        <f t="shared" ref="N12:N123" si="1">IF(H12=0,0,L12/H12)</f>
        <v>-0.40762125010650341</v>
      </c>
      <c r="O12" s="10"/>
      <c r="P12" s="4">
        <f>SUM(OSRRefP13x_0)</f>
        <v>3973959.1800000016</v>
      </c>
      <c r="Q12" s="4"/>
      <c r="R12" s="12"/>
      <c r="S12" s="4"/>
      <c r="T12" s="4">
        <f>SUM(OSRRefT13x_0)</f>
        <v>7098566.0699999975</v>
      </c>
      <c r="U12" s="4"/>
      <c r="V12" s="12"/>
      <c r="W12" s="4"/>
      <c r="X12" s="4">
        <f t="shared" ref="X12:X123" si="2">+P12-T12</f>
        <v>-3124606.8899999959</v>
      </c>
      <c r="Y12" s="4"/>
      <c r="Z12" s="12">
        <f t="shared" ref="Z12:Z123" si="3">IF(T12=0,0,X12/T12)</f>
        <v>-0.4401743759497046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-32095.1</f>
        <v>-32095.1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-32095.1</v>
      </c>
      <c r="M13" s="2"/>
      <c r="N13" s="19">
        <f t="shared" si="1"/>
        <v>0</v>
      </c>
      <c r="O13" s="11"/>
      <c r="P13" s="2">
        <f>-91137.86</f>
        <v>-91137.86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-91137.86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--11522</f>
        <v>11522</v>
      </c>
      <c r="E14" s="2"/>
      <c r="F14" s="19"/>
      <c r="G14" s="2"/>
      <c r="H14" s="2">
        <f>--36689.95</f>
        <v>36689.949999999997</v>
      </c>
      <c r="I14" s="2"/>
      <c r="J14" s="19"/>
      <c r="K14" s="2"/>
      <c r="L14" s="2">
        <f t="shared" si="0"/>
        <v>-25167.949999999997</v>
      </c>
      <c r="M14" s="2"/>
      <c r="N14" s="19">
        <f t="shared" si="1"/>
        <v>-0.68596304982699619</v>
      </c>
      <c r="O14" s="11"/>
      <c r="P14" s="2">
        <f>--730666.02</f>
        <v>730666.02</v>
      </c>
      <c r="Q14" s="2"/>
      <c r="R14" s="19"/>
      <c r="S14" s="2"/>
      <c r="T14" s="2">
        <f>--1540034.38</f>
        <v>1540034.38</v>
      </c>
      <c r="U14" s="2"/>
      <c r="V14" s="19"/>
      <c r="W14" s="2"/>
      <c r="X14" s="2">
        <f t="shared" si="2"/>
        <v>-809368.35999999987</v>
      </c>
      <c r="Y14" s="2"/>
      <c r="Z14" s="19">
        <f t="shared" si="3"/>
        <v>-0.52555213734903761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--2822.44</f>
        <v>2822.44</v>
      </c>
      <c r="E15" s="2"/>
      <c r="F15" s="19"/>
      <c r="G15" s="2"/>
      <c r="H15" s="2">
        <f>--10615.68</f>
        <v>10615.68</v>
      </c>
      <c r="I15" s="2"/>
      <c r="J15" s="19"/>
      <c r="K15" s="2"/>
      <c r="L15" s="2">
        <f t="shared" si="0"/>
        <v>-7793.24</v>
      </c>
      <c r="M15" s="2"/>
      <c r="N15" s="19">
        <f t="shared" si="1"/>
        <v>-0.73412536926508709</v>
      </c>
      <c r="O15" s="11"/>
      <c r="P15" s="2">
        <f>--323454.06</f>
        <v>323454.06</v>
      </c>
      <c r="Q15" s="2"/>
      <c r="R15" s="19"/>
      <c r="S15" s="2"/>
      <c r="T15" s="2">
        <f>--681094.97</f>
        <v>681094.97</v>
      </c>
      <c r="U15" s="2"/>
      <c r="V15" s="19"/>
      <c r="W15" s="2"/>
      <c r="X15" s="2">
        <f t="shared" si="2"/>
        <v>-357640.91</v>
      </c>
      <c r="Y15" s="2"/>
      <c r="Z15" s="19">
        <f t="shared" si="3"/>
        <v>-0.52509697729818794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>
        <f>--586.01</f>
        <v>586.01</v>
      </c>
      <c r="I16" s="2"/>
      <c r="J16" s="19"/>
      <c r="K16" s="2"/>
      <c r="L16" s="2">
        <f t="shared" si="0"/>
        <v>-586.01</v>
      </c>
      <c r="M16" s="2"/>
      <c r="N16" s="19">
        <f t="shared" si="1"/>
        <v>-1</v>
      </c>
      <c r="O16" s="11"/>
      <c r="P16" s="2">
        <f>--10665.63</f>
        <v>10665.63</v>
      </c>
      <c r="Q16" s="2"/>
      <c r="R16" s="19"/>
      <c r="S16" s="2"/>
      <c r="T16" s="2">
        <f>--16430.67</f>
        <v>16430.669999999998</v>
      </c>
      <c r="U16" s="2"/>
      <c r="V16" s="19"/>
      <c r="W16" s="2"/>
      <c r="X16" s="2">
        <f t="shared" si="2"/>
        <v>-5765.0399999999991</v>
      </c>
      <c r="Y16" s="2"/>
      <c r="Z16" s="19">
        <f t="shared" si="3"/>
        <v>-0.35087065834807707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--2459.56</f>
        <v>2459.56</v>
      </c>
      <c r="Q17" s="2"/>
      <c r="R17" s="19"/>
      <c r="S17" s="2"/>
      <c r="T17" s="2">
        <f>--30279.88</f>
        <v>30279.88</v>
      </c>
      <c r="U17" s="2"/>
      <c r="V17" s="19"/>
      <c r="W17" s="2"/>
      <c r="X17" s="2">
        <f t="shared" si="2"/>
        <v>-27820.32</v>
      </c>
      <c r="Y17" s="2"/>
      <c r="Z17" s="19">
        <f t="shared" si="3"/>
        <v>-0.91877246541267665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--3.62</f>
        <v>3.62</v>
      </c>
      <c r="I18" s="2"/>
      <c r="J18" s="19"/>
      <c r="K18" s="2"/>
      <c r="L18" s="2">
        <f t="shared" si="0"/>
        <v>-3.62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--13.22</f>
        <v>13.22</v>
      </c>
      <c r="U18" s="2"/>
      <c r="V18" s="19"/>
      <c r="W18" s="2"/>
      <c r="X18" s="2">
        <f t="shared" si="2"/>
        <v>-13.22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--78.85</f>
        <v>78.849999999999994</v>
      </c>
      <c r="E19" s="2"/>
      <c r="F19" s="19"/>
      <c r="G19" s="2"/>
      <c r="H19" s="2">
        <f>--167.6</f>
        <v>167.6</v>
      </c>
      <c r="I19" s="2"/>
      <c r="J19" s="19"/>
      <c r="K19" s="2"/>
      <c r="L19" s="2">
        <f t="shared" si="0"/>
        <v>-88.75</v>
      </c>
      <c r="M19" s="2"/>
      <c r="N19" s="19">
        <f t="shared" si="1"/>
        <v>-0.52953460620525061</v>
      </c>
      <c r="O19" s="11"/>
      <c r="P19" s="2">
        <f>--583.97</f>
        <v>583.97</v>
      </c>
      <c r="Q19" s="2"/>
      <c r="R19" s="19"/>
      <c r="S19" s="2"/>
      <c r="T19" s="2">
        <f>--1280.32</f>
        <v>1280.32</v>
      </c>
      <c r="U19" s="2"/>
      <c r="V19" s="19"/>
      <c r="W19" s="2"/>
      <c r="X19" s="2">
        <f t="shared" si="2"/>
        <v>-696.34999999999991</v>
      </c>
      <c r="Y19" s="2"/>
      <c r="Z19" s="19">
        <f t="shared" si="3"/>
        <v>-0.54388746563359158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--35.82</f>
        <v>35.82</v>
      </c>
      <c r="E20" s="2"/>
      <c r="F20" s="19"/>
      <c r="G20" s="2"/>
      <c r="H20" s="2">
        <f>--109.34</f>
        <v>109.34</v>
      </c>
      <c r="I20" s="2"/>
      <c r="J20" s="19"/>
      <c r="K20" s="2"/>
      <c r="L20" s="2">
        <f t="shared" si="0"/>
        <v>-73.52000000000001</v>
      </c>
      <c r="M20" s="2"/>
      <c r="N20" s="19">
        <f t="shared" si="1"/>
        <v>-0.67239802451070063</v>
      </c>
      <c r="O20" s="11"/>
      <c r="P20" s="2">
        <f>--376.06</f>
        <v>376.06</v>
      </c>
      <c r="Q20" s="2"/>
      <c r="R20" s="19"/>
      <c r="S20" s="2"/>
      <c r="T20" s="2">
        <f>--992.69</f>
        <v>992.69</v>
      </c>
      <c r="U20" s="2"/>
      <c r="V20" s="19"/>
      <c r="W20" s="2"/>
      <c r="X20" s="2">
        <f t="shared" si="2"/>
        <v>-616.63000000000011</v>
      </c>
      <c r="Y20" s="2"/>
      <c r="Z20" s="19">
        <f t="shared" si="3"/>
        <v>-0.62117075824275458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--10.98</f>
        <v>10.98</v>
      </c>
      <c r="I21" s="2"/>
      <c r="J21" s="19"/>
      <c r="K21" s="2"/>
      <c r="L21" s="2">
        <f t="shared" si="0"/>
        <v>-10.98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--242.14</f>
        <v>242.14</v>
      </c>
      <c r="U21" s="2"/>
      <c r="V21" s="19"/>
      <c r="W21" s="2"/>
      <c r="X21" s="2">
        <f t="shared" si="2"/>
        <v>-242.14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--6.95</f>
        <v>6.95</v>
      </c>
      <c r="E22" s="2"/>
      <c r="F22" s="19"/>
      <c r="G22" s="2"/>
      <c r="H22" s="2">
        <f>--157.74</f>
        <v>157.74</v>
      </c>
      <c r="I22" s="2"/>
      <c r="J22" s="19"/>
      <c r="K22" s="2"/>
      <c r="L22" s="2">
        <f t="shared" si="0"/>
        <v>-150.79000000000002</v>
      </c>
      <c r="M22" s="2"/>
      <c r="N22" s="19">
        <f t="shared" si="1"/>
        <v>-0.95594015468492466</v>
      </c>
      <c r="O22" s="11"/>
      <c r="P22" s="2">
        <f>--190.84</f>
        <v>190.84</v>
      </c>
      <c r="Q22" s="2"/>
      <c r="R22" s="19"/>
      <c r="S22" s="2"/>
      <c r="T22" s="2">
        <f>--2890.39</f>
        <v>2890.39</v>
      </c>
      <c r="U22" s="2"/>
      <c r="V22" s="19"/>
      <c r="W22" s="2"/>
      <c r="X22" s="2">
        <f t="shared" si="2"/>
        <v>-2699.5499999999997</v>
      </c>
      <c r="Y22" s="2"/>
      <c r="Z22" s="19">
        <f t="shared" si="3"/>
        <v>-0.93397430796536107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ref="D23:D24" si="5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6">0</f>
        <v>0</v>
      </c>
      <c r="Q23" s="2"/>
      <c r="R23" s="19"/>
      <c r="S23" s="2"/>
      <c r="T23" s="2">
        <f>--33.88</f>
        <v>33.880000000000003</v>
      </c>
      <c r="U23" s="2"/>
      <c r="V23" s="19"/>
      <c r="W23" s="2"/>
      <c r="X23" s="2">
        <f t="shared" si="2"/>
        <v>-33.880000000000003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>
        <f>--5588.38</f>
        <v>5588.38</v>
      </c>
      <c r="I24" s="2"/>
      <c r="J24" s="19"/>
      <c r="K24" s="2"/>
      <c r="L24" s="2">
        <f t="shared" si="0"/>
        <v>-5588.38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--35133.1</f>
        <v>35133.1</v>
      </c>
      <c r="U24" s="2"/>
      <c r="V24" s="19"/>
      <c r="W24" s="2"/>
      <c r="X24" s="2">
        <f t="shared" si="2"/>
        <v>-35133.1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--75.18</f>
        <v>75.180000000000007</v>
      </c>
      <c r="E25" s="2"/>
      <c r="F25" s="19"/>
      <c r="G25" s="2"/>
      <c r="H25" s="2">
        <f>--6254.22</f>
        <v>6254.22</v>
      </c>
      <c r="I25" s="2"/>
      <c r="J25" s="19"/>
      <c r="K25" s="2"/>
      <c r="L25" s="2">
        <f t="shared" si="0"/>
        <v>-6179.04</v>
      </c>
      <c r="M25" s="2"/>
      <c r="N25" s="19">
        <f t="shared" si="1"/>
        <v>-0.98797931636558989</v>
      </c>
      <c r="O25" s="11"/>
      <c r="P25" s="2">
        <f>--372.38</f>
        <v>372.38</v>
      </c>
      <c r="Q25" s="2"/>
      <c r="R25" s="19"/>
      <c r="S25" s="2"/>
      <c r="T25" s="2">
        <f>--49928.17</f>
        <v>49928.17</v>
      </c>
      <c r="U25" s="2"/>
      <c r="V25" s="19"/>
      <c r="W25" s="2"/>
      <c r="X25" s="2">
        <f t="shared" si="2"/>
        <v>-49555.79</v>
      </c>
      <c r="Y25" s="2"/>
      <c r="Z25" s="19">
        <f t="shared" si="3"/>
        <v>-0.99254168538522447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--3253.96</f>
        <v>3253.96</v>
      </c>
      <c r="E26" s="2"/>
      <c r="F26" s="19"/>
      <c r="G26" s="2"/>
      <c r="H26" s="2">
        <f>--10568.39</f>
        <v>10568.39</v>
      </c>
      <c r="I26" s="2"/>
      <c r="J26" s="19"/>
      <c r="K26" s="2"/>
      <c r="L26" s="2">
        <f t="shared" si="0"/>
        <v>-7314.4299999999994</v>
      </c>
      <c r="M26" s="2"/>
      <c r="N26" s="19">
        <f t="shared" si="1"/>
        <v>-0.69210447381294593</v>
      </c>
      <c r="O26" s="11"/>
      <c r="P26" s="2">
        <f>--39974.43</f>
        <v>39974.43</v>
      </c>
      <c r="Q26" s="2"/>
      <c r="R26" s="19"/>
      <c r="S26" s="2"/>
      <c r="T26" s="2">
        <f>--165357.47</f>
        <v>165357.47</v>
      </c>
      <c r="U26" s="2"/>
      <c r="V26" s="19"/>
      <c r="W26" s="2"/>
      <c r="X26" s="2">
        <f t="shared" si="2"/>
        <v>-125383.04000000001</v>
      </c>
      <c r="Y26" s="2"/>
      <c r="Z26" s="19">
        <f t="shared" si="3"/>
        <v>-0.7582544653108203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--1179.23</f>
        <v>1179.23</v>
      </c>
      <c r="E27" s="2"/>
      <c r="F27" s="19"/>
      <c r="G27" s="2"/>
      <c r="H27" s="2">
        <f>--13684.86</f>
        <v>13684.86</v>
      </c>
      <c r="I27" s="2"/>
      <c r="J27" s="19"/>
      <c r="K27" s="2"/>
      <c r="L27" s="2">
        <f t="shared" si="0"/>
        <v>-12505.630000000001</v>
      </c>
      <c r="M27" s="2"/>
      <c r="N27" s="19">
        <f t="shared" si="1"/>
        <v>-0.91382958978023898</v>
      </c>
      <c r="O27" s="11"/>
      <c r="P27" s="2">
        <f>--17178.81</f>
        <v>17178.810000000001</v>
      </c>
      <c r="Q27" s="2"/>
      <c r="R27" s="19"/>
      <c r="S27" s="2"/>
      <c r="T27" s="2">
        <f>--189637.57</f>
        <v>189637.57</v>
      </c>
      <c r="U27" s="2"/>
      <c r="V27" s="19"/>
      <c r="W27" s="2"/>
      <c r="X27" s="2">
        <f t="shared" si="2"/>
        <v>-172458.76</v>
      </c>
      <c r="Y27" s="2"/>
      <c r="Z27" s="19">
        <f t="shared" si="3"/>
        <v>-0.90941241231893033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--247.04</f>
        <v>247.04</v>
      </c>
      <c r="E28" s="2"/>
      <c r="F28" s="19"/>
      <c r="G28" s="2"/>
      <c r="H28" s="2">
        <f>--26.89</f>
        <v>26.89</v>
      </c>
      <c r="I28" s="2"/>
      <c r="J28" s="19"/>
      <c r="K28" s="2"/>
      <c r="L28" s="2">
        <f t="shared" si="0"/>
        <v>220.14999999999998</v>
      </c>
      <c r="M28" s="2"/>
      <c r="N28" s="19">
        <f t="shared" si="1"/>
        <v>8.1870583860171049</v>
      </c>
      <c r="O28" s="11"/>
      <c r="P28" s="2">
        <f>--2109.65</f>
        <v>2109.65</v>
      </c>
      <c r="Q28" s="2"/>
      <c r="R28" s="19"/>
      <c r="S28" s="2"/>
      <c r="T28" s="2">
        <f>--306.94</f>
        <v>306.94</v>
      </c>
      <c r="U28" s="2"/>
      <c r="V28" s="19"/>
      <c r="W28" s="2"/>
      <c r="X28" s="2">
        <f t="shared" si="2"/>
        <v>1802.71</v>
      </c>
      <c r="Y28" s="2"/>
      <c r="Z28" s="19">
        <f t="shared" si="3"/>
        <v>5.8731673942790126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7">0</f>
        <v>0</v>
      </c>
      <c r="E29" s="2"/>
      <c r="F29" s="19"/>
      <c r="G29" s="2"/>
      <c r="H29" s="2">
        <f>--203.26</f>
        <v>203.26</v>
      </c>
      <c r="I29" s="2"/>
      <c r="J29" s="19"/>
      <c r="K29" s="2"/>
      <c r="L29" s="2">
        <f t="shared" si="0"/>
        <v>-203.26</v>
      </c>
      <c r="M29" s="2"/>
      <c r="N29" s="19">
        <f t="shared" si="1"/>
        <v>-1</v>
      </c>
      <c r="O29" s="11"/>
      <c r="P29" s="2">
        <f t="shared" ref="P29:P30" si="8">0</f>
        <v>0</v>
      </c>
      <c r="Q29" s="2"/>
      <c r="R29" s="19"/>
      <c r="S29" s="2"/>
      <c r="T29" s="2">
        <f>--866.34</f>
        <v>866.34</v>
      </c>
      <c r="U29" s="2"/>
      <c r="V29" s="19"/>
      <c r="W29" s="2"/>
      <c r="X29" s="2">
        <f t="shared" si="2"/>
        <v>-866.34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7"/>
        <v>0</v>
      </c>
      <c r="E30" s="2"/>
      <c r="F30" s="19"/>
      <c r="G30" s="2"/>
      <c r="H30" s="2">
        <f>--22.41</f>
        <v>22.41</v>
      </c>
      <c r="I30" s="2"/>
      <c r="J30" s="19"/>
      <c r="K30" s="2"/>
      <c r="L30" s="2">
        <f t="shared" si="0"/>
        <v>-22.41</v>
      </c>
      <c r="M30" s="2"/>
      <c r="N30" s="19">
        <f t="shared" si="1"/>
        <v>-1</v>
      </c>
      <c r="O30" s="11"/>
      <c r="P30" s="2">
        <f t="shared" si="8"/>
        <v>0</v>
      </c>
      <c r="Q30" s="2"/>
      <c r="R30" s="19"/>
      <c r="S30" s="2"/>
      <c r="T30" s="2">
        <f>--131.02</f>
        <v>131.02000000000001</v>
      </c>
      <c r="U30" s="2"/>
      <c r="V30" s="19"/>
      <c r="W30" s="2"/>
      <c r="X30" s="2">
        <f t="shared" si="2"/>
        <v>-131.02000000000001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--547.26</f>
        <v>547.26</v>
      </c>
      <c r="I31" s="2"/>
      <c r="J31" s="19"/>
      <c r="K31" s="2"/>
      <c r="L31" s="2">
        <f t="shared" si="0"/>
        <v>-547.26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--5271.51</f>
        <v>5271.51</v>
      </c>
      <c r="U31" s="2"/>
      <c r="V31" s="19"/>
      <c r="W31" s="2"/>
      <c r="X31" s="2">
        <f t="shared" si="2"/>
        <v>-5264.7300000000005</v>
      </c>
      <c r="Y31" s="2"/>
      <c r="Z31" s="19">
        <f t="shared" si="3"/>
        <v>-0.99871384100570804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--133.49</f>
        <v>133.49</v>
      </c>
      <c r="I32" s="2"/>
      <c r="J32" s="19"/>
      <c r="K32" s="2"/>
      <c r="L32" s="2">
        <f t="shared" si="0"/>
        <v>-133.49</v>
      </c>
      <c r="M32" s="2"/>
      <c r="N32" s="19">
        <f t="shared" si="1"/>
        <v>-1</v>
      </c>
      <c r="O32" s="11"/>
      <c r="P32" s="2">
        <f t="shared" ref="P32:P33" si="9">0</f>
        <v>0</v>
      </c>
      <c r="Q32" s="2"/>
      <c r="R32" s="19"/>
      <c r="S32" s="2"/>
      <c r="T32" s="2">
        <f>--1267.09</f>
        <v>1267.0899999999999</v>
      </c>
      <c r="U32" s="2"/>
      <c r="V32" s="19"/>
      <c r="W32" s="2"/>
      <c r="X32" s="2">
        <f t="shared" si="2"/>
        <v>-1267.0899999999999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--19.09</f>
        <v>19.09</v>
      </c>
      <c r="I33" s="2"/>
      <c r="J33" s="19"/>
      <c r="K33" s="2"/>
      <c r="L33" s="2">
        <f t="shared" si="0"/>
        <v>-19.09</v>
      </c>
      <c r="M33" s="2"/>
      <c r="N33" s="19">
        <f t="shared" si="1"/>
        <v>-1</v>
      </c>
      <c r="O33" s="11"/>
      <c r="P33" s="2">
        <f t="shared" si="9"/>
        <v>0</v>
      </c>
      <c r="Q33" s="2"/>
      <c r="R33" s="19"/>
      <c r="S33" s="2"/>
      <c r="T33" s="2">
        <f>--396.26</f>
        <v>396.26</v>
      </c>
      <c r="U33" s="2"/>
      <c r="V33" s="19"/>
      <c r="W33" s="2"/>
      <c r="X33" s="2">
        <f t="shared" si="2"/>
        <v>-396.26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--84378.29</f>
        <v>84378.29</v>
      </c>
      <c r="E34" s="2"/>
      <c r="F34" s="19"/>
      <c r="G34" s="2"/>
      <c r="H34" s="2">
        <f>--193654.24</f>
        <v>193654.24</v>
      </c>
      <c r="I34" s="2"/>
      <c r="J34" s="19"/>
      <c r="K34" s="2"/>
      <c r="L34" s="2">
        <f t="shared" si="0"/>
        <v>-109275.95</v>
      </c>
      <c r="M34" s="2"/>
      <c r="N34" s="19">
        <f t="shared" si="1"/>
        <v>-0.56428379776244508</v>
      </c>
      <c r="O34" s="11"/>
      <c r="P34" s="2">
        <f>--508110.99</f>
        <v>508110.99</v>
      </c>
      <c r="Q34" s="2"/>
      <c r="R34" s="19"/>
      <c r="S34" s="2"/>
      <c r="T34" s="2">
        <f>--1291791.18</f>
        <v>1291791.18</v>
      </c>
      <c r="U34" s="2"/>
      <c r="V34" s="19"/>
      <c r="W34" s="2"/>
      <c r="X34" s="2">
        <f t="shared" si="2"/>
        <v>-783680.19</v>
      </c>
      <c r="Y34" s="2"/>
      <c r="Z34" s="19">
        <f t="shared" si="3"/>
        <v>-0.60666166647770425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--32217.83</f>
        <v>32217.83</v>
      </c>
      <c r="E35" s="2"/>
      <c r="F35" s="19"/>
      <c r="G35" s="2"/>
      <c r="H35" s="2">
        <f>--37979.16</f>
        <v>37979.160000000003</v>
      </c>
      <c r="I35" s="2"/>
      <c r="J35" s="19"/>
      <c r="K35" s="2"/>
      <c r="L35" s="2">
        <f t="shared" si="0"/>
        <v>-5761.3300000000017</v>
      </c>
      <c r="M35" s="2"/>
      <c r="N35" s="19">
        <f t="shared" si="1"/>
        <v>-0.15169714127431994</v>
      </c>
      <c r="O35" s="11"/>
      <c r="P35" s="2">
        <f>--197618.32</f>
        <v>197618.32</v>
      </c>
      <c r="Q35" s="2"/>
      <c r="R35" s="19"/>
      <c r="S35" s="2"/>
      <c r="T35" s="2">
        <f>--296126.81</f>
        <v>296126.81</v>
      </c>
      <c r="U35" s="2"/>
      <c r="V35" s="19"/>
      <c r="W35" s="2"/>
      <c r="X35" s="2">
        <f t="shared" si="2"/>
        <v>-98508.489999999991</v>
      </c>
      <c r="Y35" s="2"/>
      <c r="Z35" s="19">
        <f t="shared" si="3"/>
        <v>-0.33265643863856836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--8018.58</f>
        <v>8018.58</v>
      </c>
      <c r="E36" s="2"/>
      <c r="F36" s="19"/>
      <c r="G36" s="2"/>
      <c r="H36" s="2">
        <f>--44973.91</f>
        <v>44973.91</v>
      </c>
      <c r="I36" s="2"/>
      <c r="J36" s="19"/>
      <c r="K36" s="2"/>
      <c r="L36" s="2">
        <f t="shared" si="0"/>
        <v>-36955.33</v>
      </c>
      <c r="M36" s="2"/>
      <c r="N36" s="19">
        <f t="shared" si="1"/>
        <v>-0.82170596241242977</v>
      </c>
      <c r="O36" s="11"/>
      <c r="P36" s="2">
        <f>--64897.7</f>
        <v>64897.7</v>
      </c>
      <c r="Q36" s="2"/>
      <c r="R36" s="19"/>
      <c r="S36" s="2"/>
      <c r="T36" s="2">
        <f>--199952.1</f>
        <v>199952.1</v>
      </c>
      <c r="U36" s="2"/>
      <c r="V36" s="19"/>
      <c r="W36" s="2"/>
      <c r="X36" s="2">
        <f t="shared" si="2"/>
        <v>-135054.40000000002</v>
      </c>
      <c r="Y36" s="2"/>
      <c r="Z36" s="19">
        <f t="shared" si="3"/>
        <v>-0.67543376638704977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--35930.93</f>
        <v>35930.93</v>
      </c>
      <c r="E37" s="2"/>
      <c r="F37" s="19"/>
      <c r="G37" s="2"/>
      <c r="H37" s="2">
        <f>--9497.44</f>
        <v>9497.44</v>
      </c>
      <c r="I37" s="2"/>
      <c r="J37" s="19"/>
      <c r="K37" s="2"/>
      <c r="L37" s="2">
        <f t="shared" si="0"/>
        <v>26433.489999999998</v>
      </c>
      <c r="M37" s="2"/>
      <c r="N37" s="19">
        <f t="shared" si="1"/>
        <v>2.7832226368368738</v>
      </c>
      <c r="O37" s="11"/>
      <c r="P37" s="2">
        <f>--93109.15</f>
        <v>93109.15</v>
      </c>
      <c r="Q37" s="2"/>
      <c r="R37" s="19"/>
      <c r="S37" s="2"/>
      <c r="T37" s="2">
        <f>--14320.46</f>
        <v>14320.46</v>
      </c>
      <c r="U37" s="2"/>
      <c r="V37" s="19"/>
      <c r="W37" s="2"/>
      <c r="X37" s="2">
        <f t="shared" si="2"/>
        <v>78788.69</v>
      </c>
      <c r="Y37" s="2"/>
      <c r="Z37" s="19">
        <f t="shared" si="3"/>
        <v>5.5018267569617185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--11267.16</f>
        <v>11267.16</v>
      </c>
      <c r="E38" s="2"/>
      <c r="F38" s="19"/>
      <c r="G38" s="2"/>
      <c r="H38" s="2">
        <f>--5438.42</f>
        <v>5438.42</v>
      </c>
      <c r="I38" s="2"/>
      <c r="J38" s="19"/>
      <c r="K38" s="2"/>
      <c r="L38" s="2">
        <f t="shared" si="0"/>
        <v>5828.74</v>
      </c>
      <c r="M38" s="2"/>
      <c r="N38" s="19">
        <f t="shared" si="1"/>
        <v>1.0717708452087187</v>
      </c>
      <c r="O38" s="11"/>
      <c r="P38" s="2">
        <f>--26273.67</f>
        <v>26273.67</v>
      </c>
      <c r="Q38" s="2"/>
      <c r="R38" s="19"/>
      <c r="S38" s="2"/>
      <c r="T38" s="2">
        <f>--46736.2</f>
        <v>46736.2</v>
      </c>
      <c r="U38" s="2"/>
      <c r="V38" s="19"/>
      <c r="W38" s="2"/>
      <c r="X38" s="2">
        <f t="shared" si="2"/>
        <v>-20462.53</v>
      </c>
      <c r="Y38" s="2"/>
      <c r="Z38" s="19">
        <f t="shared" si="3"/>
        <v>-0.43783041839088332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--13848.98</f>
        <v>13848.98</v>
      </c>
      <c r="E39" s="2"/>
      <c r="F39" s="19"/>
      <c r="G39" s="2"/>
      <c r="H39" s="2">
        <f>--6487.38</f>
        <v>6487.38</v>
      </c>
      <c r="I39" s="2"/>
      <c r="J39" s="19"/>
      <c r="K39" s="2"/>
      <c r="L39" s="2">
        <f t="shared" si="0"/>
        <v>7361.5999999999995</v>
      </c>
      <c r="M39" s="2"/>
      <c r="N39" s="19">
        <f t="shared" si="1"/>
        <v>1.134757020553752</v>
      </c>
      <c r="O39" s="11"/>
      <c r="P39" s="2">
        <f>--122061.15</f>
        <v>122061.15</v>
      </c>
      <c r="Q39" s="2"/>
      <c r="R39" s="19"/>
      <c r="S39" s="2"/>
      <c r="T39" s="2">
        <f>--61005.82</f>
        <v>61005.82</v>
      </c>
      <c r="U39" s="2"/>
      <c r="V39" s="19"/>
      <c r="W39" s="2"/>
      <c r="X39" s="2">
        <f t="shared" si="2"/>
        <v>61055.329999999994</v>
      </c>
      <c r="Y39" s="2"/>
      <c r="Z39" s="19">
        <f t="shared" si="3"/>
        <v>1.0008115619132731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>
        <f>--115.39</f>
        <v>115.39</v>
      </c>
      <c r="I40" s="2"/>
      <c r="J40" s="19"/>
      <c r="K40" s="2"/>
      <c r="L40" s="2">
        <f t="shared" si="0"/>
        <v>-115.39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--1793.94</f>
        <v>1793.94</v>
      </c>
      <c r="U40" s="2"/>
      <c r="V40" s="19"/>
      <c r="W40" s="2"/>
      <c r="X40" s="2">
        <f t="shared" si="2"/>
        <v>-1793.94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--860.25</f>
        <v>860.25</v>
      </c>
      <c r="E41" s="2"/>
      <c r="F41" s="19"/>
      <c r="G41" s="2"/>
      <c r="H41" s="2">
        <f>--14865.23</f>
        <v>14865.23</v>
      </c>
      <c r="I41" s="2"/>
      <c r="J41" s="19"/>
      <c r="K41" s="2"/>
      <c r="L41" s="2">
        <f t="shared" si="0"/>
        <v>-14004.98</v>
      </c>
      <c r="M41" s="2"/>
      <c r="N41" s="19">
        <f t="shared" si="1"/>
        <v>-0.94213005785985149</v>
      </c>
      <c r="O41" s="11"/>
      <c r="P41" s="2">
        <f>--56951.47</f>
        <v>56951.47</v>
      </c>
      <c r="Q41" s="2"/>
      <c r="R41" s="19"/>
      <c r="S41" s="2"/>
      <c r="T41" s="2">
        <f>--246669.48</f>
        <v>246669.48</v>
      </c>
      <c r="U41" s="2"/>
      <c r="V41" s="19"/>
      <c r="W41" s="2"/>
      <c r="X41" s="2">
        <f t="shared" si="2"/>
        <v>-189718.01</v>
      </c>
      <c r="Y41" s="2"/>
      <c r="Z41" s="19">
        <f t="shared" si="3"/>
        <v>-0.76911829546160315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--43662</f>
        <v>43662</v>
      </c>
      <c r="E42" s="2"/>
      <c r="F42" s="19"/>
      <c r="G42" s="2"/>
      <c r="H42" s="2">
        <f>--59585.42</f>
        <v>59585.42</v>
      </c>
      <c r="I42" s="2"/>
      <c r="J42" s="19"/>
      <c r="K42" s="2"/>
      <c r="L42" s="2">
        <f t="shared" si="0"/>
        <v>-15923.419999999998</v>
      </c>
      <c r="M42" s="2"/>
      <c r="N42" s="19">
        <f t="shared" si="1"/>
        <v>-0.26723685089406096</v>
      </c>
      <c r="O42" s="11"/>
      <c r="P42" s="2">
        <f>--993256.89</f>
        <v>993256.89</v>
      </c>
      <c r="Q42" s="2"/>
      <c r="R42" s="19"/>
      <c r="S42" s="2"/>
      <c r="T42" s="2">
        <f>--1342516.26</f>
        <v>1342516.26</v>
      </c>
      <c r="U42" s="2"/>
      <c r="V42" s="19"/>
      <c r="W42" s="2"/>
      <c r="X42" s="2">
        <f t="shared" si="2"/>
        <v>-349259.37</v>
      </c>
      <c r="Y42" s="2"/>
      <c r="Z42" s="19">
        <f t="shared" si="3"/>
        <v>-0.26015280440625727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--7787.03</f>
        <v>7787.03</v>
      </c>
      <c r="E43" s="2"/>
      <c r="F43" s="19"/>
      <c r="G43" s="2"/>
      <c r="H43" s="2">
        <f>--7057.06</f>
        <v>7057.06</v>
      </c>
      <c r="I43" s="2"/>
      <c r="J43" s="19"/>
      <c r="K43" s="2"/>
      <c r="L43" s="2">
        <f t="shared" si="0"/>
        <v>729.96999999999935</v>
      </c>
      <c r="M43" s="2"/>
      <c r="N43" s="19">
        <f t="shared" si="1"/>
        <v>0.10343825899170467</v>
      </c>
      <c r="O43" s="11"/>
      <c r="P43" s="2">
        <f>--84647.97</f>
        <v>84647.97</v>
      </c>
      <c r="Q43" s="2"/>
      <c r="R43" s="19"/>
      <c r="S43" s="2"/>
      <c r="T43" s="2">
        <f>--71130.68</f>
        <v>71130.679999999993</v>
      </c>
      <c r="U43" s="2"/>
      <c r="V43" s="19"/>
      <c r="W43" s="2"/>
      <c r="X43" s="2">
        <f t="shared" si="2"/>
        <v>13517.290000000008</v>
      </c>
      <c r="Y43" s="2"/>
      <c r="Z43" s="19">
        <f t="shared" si="3"/>
        <v>0.19003459547975654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>0</f>
        <v>0</v>
      </c>
      <c r="E44" s="2"/>
      <c r="F44" s="19"/>
      <c r="G44" s="2"/>
      <c r="H44" s="2">
        <f t="shared" ref="H44:H45" si="10"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0</f>
        <v>0</v>
      </c>
      <c r="Q44" s="2"/>
      <c r="R44" s="19"/>
      <c r="S44" s="2"/>
      <c r="T44" s="2">
        <f>--129</f>
        <v>129</v>
      </c>
      <c r="U44" s="2"/>
      <c r="V44" s="19"/>
      <c r="W44" s="2"/>
      <c r="X44" s="2">
        <f t="shared" si="2"/>
        <v>-129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>--1228.99</f>
        <v>1228.99</v>
      </c>
      <c r="E45" s="2"/>
      <c r="F45" s="19"/>
      <c r="G45" s="2"/>
      <c r="H45" s="2">
        <f t="shared" si="10"/>
        <v>0</v>
      </c>
      <c r="I45" s="2"/>
      <c r="J45" s="19"/>
      <c r="K45" s="2"/>
      <c r="L45" s="2">
        <f t="shared" si="0"/>
        <v>1228.99</v>
      </c>
      <c r="M45" s="2"/>
      <c r="N45" s="19">
        <f t="shared" si="1"/>
        <v>0</v>
      </c>
      <c r="O45" s="11"/>
      <c r="P45" s="2">
        <f>--2728.94</f>
        <v>2728.94</v>
      </c>
      <c r="Q45" s="2"/>
      <c r="R45" s="19"/>
      <c r="S45" s="2"/>
      <c r="T45" s="2">
        <f>--4407.94</f>
        <v>4407.9399999999996</v>
      </c>
      <c r="U45" s="2"/>
      <c r="V45" s="19"/>
      <c r="W45" s="2"/>
      <c r="X45" s="2">
        <f t="shared" si="2"/>
        <v>-1678.9999999999995</v>
      </c>
      <c r="Y45" s="2"/>
      <c r="Z45" s="19">
        <f t="shared" si="3"/>
        <v>-0.38090355131875653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--27507.98</f>
        <v>27507.98</v>
      </c>
      <c r="E46" s="2"/>
      <c r="F46" s="19"/>
      <c r="G46" s="2"/>
      <c r="H46" s="2">
        <f>--2769.54</f>
        <v>2769.54</v>
      </c>
      <c r="I46" s="2"/>
      <c r="J46" s="19"/>
      <c r="K46" s="2"/>
      <c r="L46" s="2">
        <f t="shared" si="0"/>
        <v>24738.44</v>
      </c>
      <c r="M46" s="2"/>
      <c r="N46" s="19">
        <f t="shared" si="1"/>
        <v>8.9323281122496869</v>
      </c>
      <c r="O46" s="11"/>
      <c r="P46" s="2">
        <f>--57135.58</f>
        <v>57135.58</v>
      </c>
      <c r="Q46" s="2"/>
      <c r="R46" s="19"/>
      <c r="S46" s="2"/>
      <c r="T46" s="2">
        <f>--33777.24</f>
        <v>33777.24</v>
      </c>
      <c r="U46" s="2"/>
      <c r="V46" s="19"/>
      <c r="W46" s="2"/>
      <c r="X46" s="2">
        <f t="shared" si="2"/>
        <v>23358.340000000004</v>
      </c>
      <c r="Y46" s="2"/>
      <c r="Z46" s="19">
        <f t="shared" si="3"/>
        <v>0.69154081268925482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 t="shared" ref="D47:D49" si="11">0</f>
        <v>0</v>
      </c>
      <c r="E47" s="2"/>
      <c r="F47" s="19"/>
      <c r="G47" s="2"/>
      <c r="H47" s="2">
        <f>0</f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ref="P47:P49" si="12">0</f>
        <v>0</v>
      </c>
      <c r="Q47" s="2"/>
      <c r="R47" s="19"/>
      <c r="S47" s="2"/>
      <c r="T47" s="2">
        <f>--936.91</f>
        <v>936.91</v>
      </c>
      <c r="U47" s="2"/>
      <c r="V47" s="19"/>
      <c r="W47" s="2"/>
      <c r="X47" s="2">
        <f t="shared" si="2"/>
        <v>-936.91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 t="shared" si="11"/>
        <v>0</v>
      </c>
      <c r="E48" s="2"/>
      <c r="F48" s="19"/>
      <c r="G48" s="2"/>
      <c r="H48" s="2">
        <f>--218.75</f>
        <v>218.75</v>
      </c>
      <c r="I48" s="2"/>
      <c r="J48" s="19"/>
      <c r="K48" s="2"/>
      <c r="L48" s="2">
        <f t="shared" si="0"/>
        <v>-218.75</v>
      </c>
      <c r="M48" s="2"/>
      <c r="N48" s="19">
        <f t="shared" si="1"/>
        <v>-1</v>
      </c>
      <c r="O48" s="11"/>
      <c r="P48" s="2">
        <f t="shared" si="12"/>
        <v>0</v>
      </c>
      <c r="Q48" s="2"/>
      <c r="R48" s="19"/>
      <c r="S48" s="2"/>
      <c r="T48" s="2">
        <f>--7659.37</f>
        <v>7659.37</v>
      </c>
      <c r="U48" s="2"/>
      <c r="V48" s="19"/>
      <c r="W48" s="2"/>
      <c r="X48" s="2">
        <f t="shared" si="2"/>
        <v>-7659.37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 t="shared" si="11"/>
        <v>0</v>
      </c>
      <c r="E49" s="2"/>
      <c r="F49" s="19"/>
      <c r="G49" s="2"/>
      <c r="H49" s="2">
        <f>--20.89</f>
        <v>20.89</v>
      </c>
      <c r="I49" s="2"/>
      <c r="J49" s="19"/>
      <c r="K49" s="2"/>
      <c r="L49" s="2">
        <f t="shared" si="0"/>
        <v>-20.89</v>
      </c>
      <c r="M49" s="2"/>
      <c r="N49" s="19">
        <f t="shared" si="1"/>
        <v>-1</v>
      </c>
      <c r="O49" s="11"/>
      <c r="P49" s="2">
        <f t="shared" si="12"/>
        <v>0</v>
      </c>
      <c r="Q49" s="2"/>
      <c r="R49" s="19"/>
      <c r="S49" s="2"/>
      <c r="T49" s="2">
        <f>--297.33</f>
        <v>297.33</v>
      </c>
      <c r="U49" s="2"/>
      <c r="V49" s="19"/>
      <c r="W49" s="2"/>
      <c r="X49" s="2">
        <f t="shared" si="2"/>
        <v>-297.33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-225.75</f>
        <v>-225.75</v>
      </c>
      <c r="E50" s="2"/>
      <c r="F50" s="19"/>
      <c r="G50" s="2"/>
      <c r="H50" s="2">
        <f>--87.99</f>
        <v>87.99</v>
      </c>
      <c r="I50" s="2"/>
      <c r="J50" s="19"/>
      <c r="K50" s="2"/>
      <c r="L50" s="2">
        <f t="shared" si="0"/>
        <v>-313.74</v>
      </c>
      <c r="M50" s="2"/>
      <c r="N50" s="19">
        <f t="shared" si="1"/>
        <v>-3.5656324582338907</v>
      </c>
      <c r="O50" s="11"/>
      <c r="P50" s="2">
        <f>--165587.67</f>
        <v>165587.67000000001</v>
      </c>
      <c r="Q50" s="2"/>
      <c r="R50" s="19"/>
      <c r="S50" s="2"/>
      <c r="T50" s="2">
        <f>--335928.55</f>
        <v>335928.55</v>
      </c>
      <c r="U50" s="2"/>
      <c r="V50" s="19"/>
      <c r="W50" s="2"/>
      <c r="X50" s="2">
        <f t="shared" si="2"/>
        <v>-170340.87999999998</v>
      </c>
      <c r="Y50" s="2"/>
      <c r="Z50" s="19">
        <f t="shared" si="3"/>
        <v>-0.50707473360034439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--3205.21</f>
        <v>3205.21</v>
      </c>
      <c r="E51" s="2"/>
      <c r="F51" s="19"/>
      <c r="G51" s="2"/>
      <c r="H51" s="2">
        <f>--2606.82</f>
        <v>2606.8200000000002</v>
      </c>
      <c r="I51" s="2"/>
      <c r="J51" s="19"/>
      <c r="K51" s="2"/>
      <c r="L51" s="2">
        <f t="shared" si="0"/>
        <v>598.38999999999987</v>
      </c>
      <c r="M51" s="2"/>
      <c r="N51" s="19">
        <f t="shared" si="1"/>
        <v>0.22954787825780062</v>
      </c>
      <c r="O51" s="11"/>
      <c r="P51" s="2">
        <f>--82140.93</f>
        <v>82140.929999999993</v>
      </c>
      <c r="Q51" s="2"/>
      <c r="R51" s="19"/>
      <c r="S51" s="2"/>
      <c r="T51" s="2">
        <f>--95287.57</f>
        <v>95287.57</v>
      </c>
      <c r="U51" s="2"/>
      <c r="V51" s="19"/>
      <c r="W51" s="2"/>
      <c r="X51" s="2">
        <f t="shared" si="2"/>
        <v>-13146.640000000014</v>
      </c>
      <c r="Y51" s="2"/>
      <c r="Z51" s="19">
        <f t="shared" si="3"/>
        <v>-0.13796804766875692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--598.12</f>
        <v>598.12</v>
      </c>
      <c r="E52" s="2"/>
      <c r="F52" s="19"/>
      <c r="G52" s="2"/>
      <c r="H52" s="2">
        <f>--595.75</f>
        <v>595.75</v>
      </c>
      <c r="I52" s="2"/>
      <c r="J52" s="19"/>
      <c r="K52" s="2"/>
      <c r="L52" s="2">
        <f t="shared" si="0"/>
        <v>2.3700000000000045</v>
      </c>
      <c r="M52" s="2"/>
      <c r="N52" s="19">
        <f t="shared" si="1"/>
        <v>3.9781787662610231E-3</v>
      </c>
      <c r="O52" s="11"/>
      <c r="P52" s="2">
        <f>--33631.31</f>
        <v>33631.31</v>
      </c>
      <c r="Q52" s="2"/>
      <c r="R52" s="19"/>
      <c r="S52" s="2"/>
      <c r="T52" s="2">
        <f>--38202.59</f>
        <v>38202.589999999997</v>
      </c>
      <c r="U52" s="2"/>
      <c r="V52" s="19"/>
      <c r="W52" s="2"/>
      <c r="X52" s="2">
        <f t="shared" si="2"/>
        <v>-4571.2799999999988</v>
      </c>
      <c r="Y52" s="2"/>
      <c r="Z52" s="19">
        <f t="shared" si="3"/>
        <v>-0.11965890270790538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0</f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--284.97</f>
        <v>284.97000000000003</v>
      </c>
      <c r="Q53" s="2"/>
      <c r="R53" s="19"/>
      <c r="S53" s="2"/>
      <c r="T53" s="2">
        <f>--329.98</f>
        <v>329.98</v>
      </c>
      <c r="U53" s="2"/>
      <c r="V53" s="19"/>
      <c r="W53" s="2"/>
      <c r="X53" s="2">
        <f t="shared" si="2"/>
        <v>-45.009999999999991</v>
      </c>
      <c r="Y53" s="2"/>
      <c r="Z53" s="19">
        <f t="shared" si="3"/>
        <v>-0.13640220619431478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--1301.3</f>
        <v>1301.3</v>
      </c>
      <c r="E54" s="2"/>
      <c r="F54" s="19"/>
      <c r="G54" s="2"/>
      <c r="H54" s="2">
        <f>--12189.74</f>
        <v>12189.74</v>
      </c>
      <c r="I54" s="2"/>
      <c r="J54" s="19"/>
      <c r="K54" s="2"/>
      <c r="L54" s="2">
        <f t="shared" si="0"/>
        <v>-10888.44</v>
      </c>
      <c r="M54" s="2"/>
      <c r="N54" s="19">
        <f t="shared" si="1"/>
        <v>-0.89324628745157819</v>
      </c>
      <c r="O54" s="11"/>
      <c r="P54" s="2">
        <f>--296191.01</f>
        <v>296191.01</v>
      </c>
      <c r="Q54" s="2"/>
      <c r="R54" s="19"/>
      <c r="S54" s="2"/>
      <c r="T54" s="2">
        <f>--332888.83</f>
        <v>332888.83</v>
      </c>
      <c r="U54" s="2"/>
      <c r="V54" s="19"/>
      <c r="W54" s="2"/>
      <c r="X54" s="2">
        <f t="shared" si="2"/>
        <v>-36697.820000000007</v>
      </c>
      <c r="Y54" s="2"/>
      <c r="Z54" s="19">
        <f t="shared" si="3"/>
        <v>-0.11024046676483559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0</f>
        <v>0</v>
      </c>
      <c r="E55" s="2"/>
      <c r="F55" s="19"/>
      <c r="G55" s="2"/>
      <c r="H55" s="2">
        <f>--431.78</f>
        <v>431.78</v>
      </c>
      <c r="I55" s="2"/>
      <c r="J55" s="19"/>
      <c r="K55" s="2"/>
      <c r="L55" s="2">
        <f t="shared" si="0"/>
        <v>-431.78</v>
      </c>
      <c r="M55" s="2"/>
      <c r="N55" s="19">
        <f t="shared" si="1"/>
        <v>-1</v>
      </c>
      <c r="O55" s="11"/>
      <c r="P55" s="2">
        <f>0</f>
        <v>0</v>
      </c>
      <c r="Q55" s="2"/>
      <c r="R55" s="19"/>
      <c r="S55" s="2"/>
      <c r="T55" s="2">
        <f>--8023.97</f>
        <v>8023.97</v>
      </c>
      <c r="U55" s="2"/>
      <c r="V55" s="19"/>
      <c r="W55" s="2"/>
      <c r="X55" s="2">
        <f t="shared" si="2"/>
        <v>-8023.97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>--41.55</f>
        <v>41.55</v>
      </c>
      <c r="E56" s="2"/>
      <c r="F56" s="19"/>
      <c r="G56" s="2"/>
      <c r="H56" s="2">
        <f>0</f>
        <v>0</v>
      </c>
      <c r="I56" s="2"/>
      <c r="J56" s="19"/>
      <c r="K56" s="2"/>
      <c r="L56" s="2">
        <f t="shared" si="0"/>
        <v>41.55</v>
      </c>
      <c r="M56" s="2"/>
      <c r="N56" s="19">
        <f t="shared" si="1"/>
        <v>0</v>
      </c>
      <c r="O56" s="11"/>
      <c r="P56" s="2">
        <f>--2327.5</f>
        <v>2327.5</v>
      </c>
      <c r="Q56" s="2"/>
      <c r="R56" s="19"/>
      <c r="S56" s="2"/>
      <c r="T56" s="2">
        <f>--1146.72</f>
        <v>1146.72</v>
      </c>
      <c r="U56" s="2"/>
      <c r="V56" s="19"/>
      <c r="W56" s="2"/>
      <c r="X56" s="2">
        <f t="shared" si="2"/>
        <v>1180.78</v>
      </c>
      <c r="Y56" s="2"/>
      <c r="Z56" s="19">
        <f t="shared" si="3"/>
        <v>1.0297021068787497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 t="shared" ref="D57:D59" si="13">0</f>
        <v>0</v>
      </c>
      <c r="E57" s="2"/>
      <c r="F57" s="19"/>
      <c r="G57" s="2"/>
      <c r="H57" s="2">
        <f>--6.95</f>
        <v>6.95</v>
      </c>
      <c r="I57" s="2"/>
      <c r="J57" s="19"/>
      <c r="K57" s="2"/>
      <c r="L57" s="2">
        <f t="shared" si="0"/>
        <v>-6.95</v>
      </c>
      <c r="M57" s="2"/>
      <c r="N57" s="19">
        <f t="shared" si="1"/>
        <v>-1</v>
      </c>
      <c r="O57" s="11"/>
      <c r="P57" s="2">
        <f>--233.43</f>
        <v>233.43</v>
      </c>
      <c r="Q57" s="2"/>
      <c r="R57" s="19"/>
      <c r="S57" s="2"/>
      <c r="T57" s="2">
        <f>--41.91</f>
        <v>41.91</v>
      </c>
      <c r="U57" s="2"/>
      <c r="V57" s="19"/>
      <c r="W57" s="2"/>
      <c r="X57" s="2">
        <f t="shared" si="2"/>
        <v>191.52</v>
      </c>
      <c r="Y57" s="2"/>
      <c r="Z57" s="19">
        <f t="shared" si="3"/>
        <v>4.5697924123120979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 t="shared" si="13"/>
        <v>0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0</f>
        <v>0</v>
      </c>
      <c r="Q58" s="2"/>
      <c r="R58" s="19"/>
      <c r="S58" s="2"/>
      <c r="T58" s="2">
        <f>--124.18</f>
        <v>124.18</v>
      </c>
      <c r="U58" s="2"/>
      <c r="V58" s="19"/>
      <c r="W58" s="2"/>
      <c r="X58" s="2">
        <f t="shared" si="2"/>
        <v>-124.18</v>
      </c>
      <c r="Y58" s="2"/>
      <c r="Z58" s="19">
        <f t="shared" si="3"/>
        <v>-1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 t="shared" si="13"/>
        <v>0</v>
      </c>
      <c r="E59" s="2"/>
      <c r="F59" s="19"/>
      <c r="G59" s="2"/>
      <c r="H59" s="2">
        <f>--38.73</f>
        <v>38.729999999999997</v>
      </c>
      <c r="I59" s="2"/>
      <c r="J59" s="19"/>
      <c r="K59" s="2"/>
      <c r="L59" s="2">
        <f t="shared" si="0"/>
        <v>-38.729999999999997</v>
      </c>
      <c r="M59" s="2"/>
      <c r="N59" s="19">
        <f t="shared" si="1"/>
        <v>-1</v>
      </c>
      <c r="O59" s="11"/>
      <c r="P59" s="2">
        <f>--52.68</f>
        <v>52.68</v>
      </c>
      <c r="Q59" s="2"/>
      <c r="R59" s="19"/>
      <c r="S59" s="2"/>
      <c r="T59" s="2">
        <f>--1509.11</f>
        <v>1509.11</v>
      </c>
      <c r="U59" s="2"/>
      <c r="V59" s="19"/>
      <c r="W59" s="2"/>
      <c r="X59" s="2">
        <f t="shared" si="2"/>
        <v>-1456.4299999999998</v>
      </c>
      <c r="Y59" s="2"/>
      <c r="Z59" s="19">
        <f t="shared" si="3"/>
        <v>-0.96509200787218952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--259.53</f>
        <v>259.52999999999997</v>
      </c>
      <c r="E60" s="2"/>
      <c r="F60" s="19"/>
      <c r="G60" s="2"/>
      <c r="H60" s="2">
        <f t="shared" ref="H60:H61" si="14">0</f>
        <v>0</v>
      </c>
      <c r="I60" s="2"/>
      <c r="J60" s="19"/>
      <c r="K60" s="2"/>
      <c r="L60" s="2">
        <f t="shared" si="0"/>
        <v>259.52999999999997</v>
      </c>
      <c r="M60" s="2"/>
      <c r="N60" s="19">
        <f t="shared" si="1"/>
        <v>0</v>
      </c>
      <c r="O60" s="11"/>
      <c r="P60" s="2">
        <f>--3206.11</f>
        <v>3206.11</v>
      </c>
      <c r="Q60" s="2"/>
      <c r="R60" s="19"/>
      <c r="S60" s="2"/>
      <c r="T60" s="2">
        <f>--2603.4</f>
        <v>2603.4</v>
      </c>
      <c r="U60" s="2"/>
      <c r="V60" s="19"/>
      <c r="W60" s="2"/>
      <c r="X60" s="2">
        <f t="shared" si="2"/>
        <v>602.71</v>
      </c>
      <c r="Y60" s="2"/>
      <c r="Z60" s="19">
        <f t="shared" si="3"/>
        <v>0.23150879618959821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>0</f>
        <v>0</v>
      </c>
      <c r="E61" s="2"/>
      <c r="F61" s="19"/>
      <c r="G61" s="2"/>
      <c r="H61" s="2">
        <f t="shared" si="14"/>
        <v>0</v>
      </c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--24.78</f>
        <v>24.78</v>
      </c>
      <c r="Q61" s="2"/>
      <c r="R61" s="19"/>
      <c r="S61" s="2"/>
      <c r="T61" s="2">
        <f>--348.72</f>
        <v>348.72</v>
      </c>
      <c r="U61" s="2"/>
      <c r="V61" s="19"/>
      <c r="W61" s="2"/>
      <c r="X61" s="2">
        <f t="shared" si="2"/>
        <v>-323.94000000000005</v>
      </c>
      <c r="Y61" s="2"/>
      <c r="Z61" s="19">
        <f t="shared" si="3"/>
        <v>-0.92894012388162428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--1032.82</f>
        <v>1032.82</v>
      </c>
      <c r="E62" s="2"/>
      <c r="F62" s="19"/>
      <c r="G62" s="2"/>
      <c r="H62" s="2">
        <f>--4058.22</f>
        <v>4058.22</v>
      </c>
      <c r="I62" s="2"/>
      <c r="J62" s="19"/>
      <c r="K62" s="2"/>
      <c r="L62" s="2">
        <f t="shared" si="0"/>
        <v>-3025.3999999999996</v>
      </c>
      <c r="M62" s="2"/>
      <c r="N62" s="19">
        <f t="shared" si="1"/>
        <v>-0.74549925829550878</v>
      </c>
      <c r="O62" s="11"/>
      <c r="P62" s="2">
        <f>--7542.15</f>
        <v>7542.15</v>
      </c>
      <c r="Q62" s="2"/>
      <c r="R62" s="19"/>
      <c r="S62" s="2"/>
      <c r="T62" s="2">
        <f>--39085.73</f>
        <v>39085.730000000003</v>
      </c>
      <c r="U62" s="2"/>
      <c r="V62" s="19"/>
      <c r="W62" s="2"/>
      <c r="X62" s="2">
        <f t="shared" si="2"/>
        <v>-31543.58</v>
      </c>
      <c r="Y62" s="2"/>
      <c r="Z62" s="19">
        <f t="shared" si="3"/>
        <v>-0.80703571354558301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 t="shared" ref="D63:D67" si="15">0</f>
        <v>0</v>
      </c>
      <c r="E63" s="2"/>
      <c r="F63" s="19"/>
      <c r="G63" s="2"/>
      <c r="H63" s="2">
        <f>--1170.81</f>
        <v>1170.81</v>
      </c>
      <c r="I63" s="2"/>
      <c r="J63" s="19"/>
      <c r="K63" s="2"/>
      <c r="L63" s="2">
        <f t="shared" si="0"/>
        <v>-1170.81</v>
      </c>
      <c r="M63" s="2"/>
      <c r="N63" s="19">
        <f t="shared" si="1"/>
        <v>-1</v>
      </c>
      <c r="O63" s="11"/>
      <c r="P63" s="2">
        <f>--22.49</f>
        <v>22.49</v>
      </c>
      <c r="Q63" s="2"/>
      <c r="R63" s="19"/>
      <c r="S63" s="2"/>
      <c r="T63" s="2">
        <f>--11445.2</f>
        <v>11445.2</v>
      </c>
      <c r="U63" s="2"/>
      <c r="V63" s="19"/>
      <c r="W63" s="2"/>
      <c r="X63" s="2">
        <f t="shared" si="2"/>
        <v>-11422.710000000001</v>
      </c>
      <c r="Y63" s="2"/>
      <c r="Z63" s="19">
        <f t="shared" si="3"/>
        <v>-0.99803498409813718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 t="shared" si="15"/>
        <v>0</v>
      </c>
      <c r="E64" s="2"/>
      <c r="F64" s="19"/>
      <c r="G64" s="2"/>
      <c r="H64" s="2">
        <f>--1305.22</f>
        <v>1305.22</v>
      </c>
      <c r="I64" s="2"/>
      <c r="J64" s="19"/>
      <c r="K64" s="2"/>
      <c r="L64" s="2">
        <f t="shared" si="0"/>
        <v>-1305.22</v>
      </c>
      <c r="M64" s="2"/>
      <c r="N64" s="19">
        <f t="shared" si="1"/>
        <v>-1</v>
      </c>
      <c r="O64" s="11"/>
      <c r="P64" s="2">
        <f>--80.71</f>
        <v>80.709999999999994</v>
      </c>
      <c r="Q64" s="2"/>
      <c r="R64" s="19"/>
      <c r="S64" s="2"/>
      <c r="T64" s="2">
        <f>--12121.78</f>
        <v>12121.78</v>
      </c>
      <c r="U64" s="2"/>
      <c r="V64" s="19"/>
      <c r="W64" s="2"/>
      <c r="X64" s="2">
        <f t="shared" si="2"/>
        <v>-12041.070000000002</v>
      </c>
      <c r="Y64" s="2"/>
      <c r="Z64" s="19">
        <f t="shared" si="3"/>
        <v>-0.99334173693962446</v>
      </c>
    </row>
    <row r="65" spans="1:26" s="24" customFormat="1" hidden="1" outlineLevel="1" x14ac:dyDescent="0.25">
      <c r="A65" s="44"/>
      <c r="B65" s="11" t="str">
        <f>CONCATENATE("          ", "4134", " - ", "NON-TAXABLE SALES-SODA")</f>
        <v xml:space="preserve">          4134 - NON-TAXABLE SALES-SODA</v>
      </c>
      <c r="C65" s="11"/>
      <c r="D65" s="2">
        <f t="shared" si="15"/>
        <v>0</v>
      </c>
      <c r="E65" s="2"/>
      <c r="F65" s="19"/>
      <c r="G65" s="2"/>
      <c r="H65" s="2">
        <f>0</f>
        <v>0</v>
      </c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--45.53</f>
        <v>45.53</v>
      </c>
      <c r="Q65" s="2"/>
      <c r="R65" s="19"/>
      <c r="S65" s="2"/>
      <c r="T65" s="2">
        <f>0</f>
        <v>0</v>
      </c>
      <c r="U65" s="2"/>
      <c r="V65" s="19"/>
      <c r="W65" s="2"/>
      <c r="X65" s="2">
        <f t="shared" si="2"/>
        <v>45.53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"4135", " - ", "NON-TAXABLE SALES")</f>
        <v xml:space="preserve">          4135 - NON-TAXABLE SALES</v>
      </c>
      <c r="C66" s="11"/>
      <c r="D66" s="2">
        <f t="shared" si="15"/>
        <v>0</v>
      </c>
      <c r="E66" s="2"/>
      <c r="F66" s="19"/>
      <c r="G66" s="2"/>
      <c r="H66" s="2">
        <f>--3.59</f>
        <v>3.59</v>
      </c>
      <c r="I66" s="2"/>
      <c r="J66" s="19"/>
      <c r="K66" s="2"/>
      <c r="L66" s="2">
        <f t="shared" si="0"/>
        <v>-3.59</v>
      </c>
      <c r="M66" s="2"/>
      <c r="N66" s="19">
        <f t="shared" si="1"/>
        <v>-1</v>
      </c>
      <c r="O66" s="11"/>
      <c r="P66" s="2">
        <f>0</f>
        <v>0</v>
      </c>
      <c r="Q66" s="2"/>
      <c r="R66" s="19"/>
      <c r="S66" s="2"/>
      <c r="T66" s="2">
        <f>--118.32</f>
        <v>118.32</v>
      </c>
      <c r="U66" s="2"/>
      <c r="V66" s="19"/>
      <c r="W66" s="2"/>
      <c r="X66" s="2">
        <f t="shared" si="2"/>
        <v>-118.32</v>
      </c>
      <c r="Y66" s="2"/>
      <c r="Z66" s="19">
        <f t="shared" si="3"/>
        <v>-1</v>
      </c>
    </row>
    <row r="67" spans="1:26" s="24" customFormat="1" hidden="1" outlineLevel="1" x14ac:dyDescent="0.25">
      <c r="A67" s="44"/>
      <c r="B67" s="11" t="str">
        <f>CONCATENATE("          ", "4137", " - ", "NON-TAXABLE SALES-WATER")</f>
        <v xml:space="preserve">          4137 - NON-TAXABLE SALES-WATER</v>
      </c>
      <c r="C67" s="11"/>
      <c r="D67" s="2">
        <f t="shared" si="15"/>
        <v>0</v>
      </c>
      <c r="E67" s="2"/>
      <c r="F67" s="19"/>
      <c r="G67" s="2"/>
      <c r="H67" s="2">
        <f>--623.73</f>
        <v>623.73</v>
      </c>
      <c r="I67" s="2"/>
      <c r="J67" s="19"/>
      <c r="K67" s="2"/>
      <c r="L67" s="2">
        <f t="shared" si="0"/>
        <v>-623.73</v>
      </c>
      <c r="M67" s="2"/>
      <c r="N67" s="19">
        <f t="shared" si="1"/>
        <v>-1</v>
      </c>
      <c r="O67" s="11"/>
      <c r="P67" s="2">
        <f>--68.25</f>
        <v>68.25</v>
      </c>
      <c r="Q67" s="2"/>
      <c r="R67" s="19"/>
      <c r="S67" s="2"/>
      <c r="T67" s="2">
        <f>--5913.07</f>
        <v>5913.07</v>
      </c>
      <c r="U67" s="2"/>
      <c r="V67" s="19"/>
      <c r="W67" s="2"/>
      <c r="X67" s="2">
        <f t="shared" si="2"/>
        <v>-5844.82</v>
      </c>
      <c r="Y67" s="2"/>
      <c r="Z67" s="19">
        <f t="shared" si="3"/>
        <v>-0.98845777235852106</v>
      </c>
    </row>
    <row r="68" spans="1:26" s="24" customFormat="1" hidden="1" outlineLevel="1" x14ac:dyDescent="0.25">
      <c r="A68" s="44"/>
      <c r="B68" s="11" t="str">
        <f>CONCATENATE("          ", "4140", " - ", "NON-TAXABLE SALES-LOGO CLOTHIN")</f>
        <v xml:space="preserve">          4140 - NON-TAXABLE SALES-LOGO CLOTHIN</v>
      </c>
      <c r="C68" s="11"/>
      <c r="D68" s="2">
        <f>--53650.7</f>
        <v>53650.7</v>
      </c>
      <c r="E68" s="2"/>
      <c r="F68" s="19"/>
      <c r="G68" s="2"/>
      <c r="H68" s="2">
        <f>--18815.05</f>
        <v>18815.05</v>
      </c>
      <c r="I68" s="2"/>
      <c r="J68" s="19"/>
      <c r="K68" s="2"/>
      <c r="L68" s="2">
        <f t="shared" si="0"/>
        <v>34835.649999999994</v>
      </c>
      <c r="M68" s="2"/>
      <c r="N68" s="19">
        <f t="shared" si="1"/>
        <v>1.851477939202925</v>
      </c>
      <c r="O68" s="11"/>
      <c r="P68" s="2">
        <f>--103970.97</f>
        <v>103970.97</v>
      </c>
      <c r="Q68" s="2"/>
      <c r="R68" s="19"/>
      <c r="S68" s="2"/>
      <c r="T68" s="2">
        <f>--38823.84</f>
        <v>38823.839999999997</v>
      </c>
      <c r="U68" s="2"/>
      <c r="V68" s="19"/>
      <c r="W68" s="2"/>
      <c r="X68" s="2">
        <f t="shared" si="2"/>
        <v>65147.130000000005</v>
      </c>
      <c r="Y68" s="2"/>
      <c r="Z68" s="19">
        <f t="shared" si="3"/>
        <v>1.6780187122139389</v>
      </c>
    </row>
    <row r="69" spans="1:26" s="24" customFormat="1" hidden="1" outlineLevel="1" x14ac:dyDescent="0.25">
      <c r="A69" s="44"/>
      <c r="B69" s="11" t="str">
        <f>CONCATENATE("          ", "4141", " - ", "NON-TAXABLE SALES-LOGO GIFTS")</f>
        <v xml:space="preserve">          4141 - NON-TAXABLE SALES-LOGO GIFTS</v>
      </c>
      <c r="C69" s="11"/>
      <c r="D69" s="2">
        <f>--1780.23</f>
        <v>1780.23</v>
      </c>
      <c r="E69" s="2"/>
      <c r="F69" s="19"/>
      <c r="G69" s="2"/>
      <c r="H69" s="2">
        <f>--699.6</f>
        <v>699.6</v>
      </c>
      <c r="I69" s="2"/>
      <c r="J69" s="19"/>
      <c r="K69" s="2"/>
      <c r="L69" s="2">
        <f t="shared" si="0"/>
        <v>1080.6300000000001</v>
      </c>
      <c r="M69" s="2"/>
      <c r="N69" s="19">
        <f t="shared" si="1"/>
        <v>1.5446397941680963</v>
      </c>
      <c r="O69" s="11"/>
      <c r="P69" s="2">
        <f>--5969.25</f>
        <v>5969.25</v>
      </c>
      <c r="Q69" s="2"/>
      <c r="R69" s="19"/>
      <c r="S69" s="2"/>
      <c r="T69" s="2">
        <f>--2529.88</f>
        <v>2529.88</v>
      </c>
      <c r="U69" s="2"/>
      <c r="V69" s="19"/>
      <c r="W69" s="2"/>
      <c r="X69" s="2">
        <f t="shared" si="2"/>
        <v>3439.37</v>
      </c>
      <c r="Y69" s="2"/>
      <c r="Z69" s="19">
        <f t="shared" si="3"/>
        <v>1.3594992647872626</v>
      </c>
    </row>
    <row r="70" spans="1:26" s="24" customFormat="1" hidden="1" outlineLevel="1" x14ac:dyDescent="0.25">
      <c r="A70" s="44"/>
      <c r="B70" s="11" t="str">
        <f>CONCATENATE("          ", "4142", " - ", "NON-TAXABLE SALES-EVERYDAY GIF")</f>
        <v xml:space="preserve">          4142 - NON-TAXABLE SALES-EVERYDAY GIF</v>
      </c>
      <c r="C70" s="11"/>
      <c r="D70" s="2">
        <f>0</f>
        <v>0</v>
      </c>
      <c r="E70" s="2"/>
      <c r="F70" s="19"/>
      <c r="G70" s="2"/>
      <c r="H70" s="2">
        <f>--2554.55</f>
        <v>2554.5500000000002</v>
      </c>
      <c r="I70" s="2"/>
      <c r="J70" s="19"/>
      <c r="K70" s="2"/>
      <c r="L70" s="2">
        <f t="shared" si="0"/>
        <v>-2554.5500000000002</v>
      </c>
      <c r="M70" s="2"/>
      <c r="N70" s="19">
        <f t="shared" si="1"/>
        <v>-1</v>
      </c>
      <c r="O70" s="11"/>
      <c r="P70" s="2">
        <f>--2208.19</f>
        <v>2208.19</v>
      </c>
      <c r="Q70" s="2"/>
      <c r="R70" s="19"/>
      <c r="S70" s="2"/>
      <c r="T70" s="2">
        <f>--10487.38</f>
        <v>10487.38</v>
      </c>
      <c r="U70" s="2"/>
      <c r="V70" s="19"/>
      <c r="W70" s="2"/>
      <c r="X70" s="2">
        <f t="shared" si="2"/>
        <v>-8279.1899999999987</v>
      </c>
      <c r="Y70" s="2"/>
      <c r="Z70" s="19">
        <f t="shared" si="3"/>
        <v>-0.78944312116086179</v>
      </c>
    </row>
    <row r="71" spans="1:26" s="24" customFormat="1" hidden="1" outlineLevel="1" x14ac:dyDescent="0.25">
      <c r="A71" s="44"/>
      <c r="B71" s="11" t="str">
        <f>CONCATENATE("          ", "4143", " - ", "NON-TAXABLE SALES-CARDS")</f>
        <v xml:space="preserve">          4143 - NON-TAXABLE SALES-CARDS</v>
      </c>
      <c r="C71" s="11"/>
      <c r="D71" s="2">
        <f>--1697.07</f>
        <v>1697.07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1697.07</v>
      </c>
      <c r="M71" s="2"/>
      <c r="N71" s="19">
        <f t="shared" si="1"/>
        <v>0</v>
      </c>
      <c r="O71" s="11"/>
      <c r="P71" s="2">
        <f>--1737.03</f>
        <v>1737.03</v>
      </c>
      <c r="Q71" s="2"/>
      <c r="R71" s="19"/>
      <c r="S71" s="2"/>
      <c r="T71" s="2">
        <f>0</f>
        <v>0</v>
      </c>
      <c r="U71" s="2"/>
      <c r="V71" s="19"/>
      <c r="W71" s="2"/>
      <c r="X71" s="2">
        <f t="shared" si="2"/>
        <v>1737.03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"4144", " - ", "NON-TAXABLE SALES-ACCESSORIES")</f>
        <v xml:space="preserve">          4144 - NON-TAXABLE SALES-ACCESSORIES</v>
      </c>
      <c r="C72" s="11"/>
      <c r="D72" s="2">
        <f>--99.8</f>
        <v>99.8</v>
      </c>
      <c r="E72" s="2"/>
      <c r="F72" s="19"/>
      <c r="G72" s="2"/>
      <c r="H72" s="2">
        <f>--351.29</f>
        <v>351.29</v>
      </c>
      <c r="I72" s="2"/>
      <c r="J72" s="19"/>
      <c r="K72" s="2"/>
      <c r="L72" s="2">
        <f t="shared" si="0"/>
        <v>-251.49</v>
      </c>
      <c r="M72" s="2"/>
      <c r="N72" s="19">
        <f t="shared" si="1"/>
        <v>-0.71590423866321273</v>
      </c>
      <c r="O72" s="11"/>
      <c r="P72" s="2">
        <f>--489.5</f>
        <v>489.5</v>
      </c>
      <c r="Q72" s="2"/>
      <c r="R72" s="19"/>
      <c r="S72" s="2"/>
      <c r="T72" s="2">
        <f>--592.85</f>
        <v>592.85</v>
      </c>
      <c r="U72" s="2"/>
      <c r="V72" s="19"/>
      <c r="W72" s="2"/>
      <c r="X72" s="2">
        <f t="shared" si="2"/>
        <v>-103.35000000000002</v>
      </c>
      <c r="Y72" s="2"/>
      <c r="Z72" s="19">
        <f t="shared" si="3"/>
        <v>-0.17432740153495829</v>
      </c>
    </row>
    <row r="73" spans="1:26" s="24" customFormat="1" hidden="1" outlineLevel="1" x14ac:dyDescent="0.25">
      <c r="A73" s="44"/>
      <c r="B73" s="11" t="str">
        <f>CONCATENATE("          ", "4145", " - ", "NON-TAXABLE SALES-SPECIAL ORDE")</f>
        <v xml:space="preserve">          4145 - NON-TAXABLE SALES-SPECIAL ORDE</v>
      </c>
      <c r="C73" s="11"/>
      <c r="D73" s="2">
        <f>--16747.77</f>
        <v>16747.77</v>
      </c>
      <c r="E73" s="2"/>
      <c r="F73" s="19"/>
      <c r="G73" s="2"/>
      <c r="H73" s="2">
        <f>0</f>
        <v>0</v>
      </c>
      <c r="I73" s="2"/>
      <c r="J73" s="19"/>
      <c r="K73" s="2"/>
      <c r="L73" s="2">
        <f t="shared" si="0"/>
        <v>16747.77</v>
      </c>
      <c r="M73" s="2"/>
      <c r="N73" s="19">
        <f t="shared" si="1"/>
        <v>0</v>
      </c>
      <c r="O73" s="11"/>
      <c r="P73" s="2">
        <f>--55393.77</f>
        <v>55393.77</v>
      </c>
      <c r="Q73" s="2"/>
      <c r="R73" s="19"/>
      <c r="S73" s="2"/>
      <c r="T73" s="2">
        <f>--140</f>
        <v>140</v>
      </c>
      <c r="U73" s="2"/>
      <c r="V73" s="19"/>
      <c r="W73" s="2"/>
      <c r="X73" s="2">
        <f t="shared" si="2"/>
        <v>55253.77</v>
      </c>
      <c r="Y73" s="2"/>
      <c r="Z73" s="19">
        <f t="shared" si="3"/>
        <v>394.66978571428569</v>
      </c>
    </row>
    <row r="74" spans="1:26" s="24" customFormat="1" hidden="1" outlineLevel="1" x14ac:dyDescent="0.25">
      <c r="A74" s="44"/>
      <c r="B74" s="11" t="str">
        <f>CONCATENATE("          ", "4146", " - ", "NON-TAXABLE SALES-COIN OP MACH")</f>
        <v xml:space="preserve">          4146 - NON-TAXABLE SALES-COIN OP MACH</v>
      </c>
      <c r="C74" s="11"/>
      <c r="D74" s="2">
        <f>--19.9</f>
        <v>19.899999999999999</v>
      </c>
      <c r="E74" s="2"/>
      <c r="F74" s="19"/>
      <c r="G74" s="2"/>
      <c r="H74" s="2">
        <f>--27126.9</f>
        <v>27126.9</v>
      </c>
      <c r="I74" s="2"/>
      <c r="J74" s="19"/>
      <c r="K74" s="2"/>
      <c r="L74" s="2">
        <f t="shared" si="0"/>
        <v>-27107</v>
      </c>
      <c r="M74" s="2"/>
      <c r="N74" s="19">
        <f t="shared" si="1"/>
        <v>-0.99926641083205225</v>
      </c>
      <c r="O74" s="11"/>
      <c r="P74" s="2">
        <f>--127.9</f>
        <v>127.9</v>
      </c>
      <c r="Q74" s="2"/>
      <c r="R74" s="19"/>
      <c r="S74" s="2"/>
      <c r="T74" s="2">
        <f>--146467.95</f>
        <v>146467.95000000001</v>
      </c>
      <c r="U74" s="2"/>
      <c r="V74" s="19"/>
      <c r="W74" s="2"/>
      <c r="X74" s="2">
        <f t="shared" si="2"/>
        <v>-146340.05000000002</v>
      </c>
      <c r="Y74" s="2"/>
      <c r="Z74" s="19">
        <f t="shared" si="3"/>
        <v>-0.9991267714199592</v>
      </c>
    </row>
    <row r="75" spans="1:26" s="24" customFormat="1" hidden="1" outlineLevel="1" x14ac:dyDescent="0.25">
      <c r="A75" s="44"/>
      <c r="B75" s="11" t="str">
        <f>CONCATENATE("          ", "4147", " - ", "NON-TAXABLE SALES-MISC")</f>
        <v xml:space="preserve">          4147 - NON-TAXABLE SALES-MISC</v>
      </c>
      <c r="C75" s="11"/>
      <c r="D75" s="2">
        <f>--13</f>
        <v>13</v>
      </c>
      <c r="E75" s="2"/>
      <c r="F75" s="19"/>
      <c r="G75" s="2"/>
      <c r="H75" s="2">
        <f>--57.5</f>
        <v>57.5</v>
      </c>
      <c r="I75" s="2"/>
      <c r="J75" s="19"/>
      <c r="K75" s="2"/>
      <c r="L75" s="2">
        <f t="shared" si="0"/>
        <v>-44.5</v>
      </c>
      <c r="M75" s="2"/>
      <c r="N75" s="19">
        <f t="shared" si="1"/>
        <v>-0.77391304347826084</v>
      </c>
      <c r="O75" s="11"/>
      <c r="P75" s="2">
        <f>--104.5</f>
        <v>104.5</v>
      </c>
      <c r="Q75" s="2"/>
      <c r="R75" s="19"/>
      <c r="S75" s="2"/>
      <c r="T75" s="2">
        <f>--307.4</f>
        <v>307.39999999999998</v>
      </c>
      <c r="U75" s="2"/>
      <c r="V75" s="19"/>
      <c r="W75" s="2"/>
      <c r="X75" s="2">
        <f t="shared" si="2"/>
        <v>-202.89999999999998</v>
      </c>
      <c r="Y75" s="2"/>
      <c r="Z75" s="19">
        <f t="shared" si="3"/>
        <v>-0.6600520494469746</v>
      </c>
    </row>
    <row r="76" spans="1:26" s="24" customFormat="1" hidden="1" outlineLevel="1" x14ac:dyDescent="0.25">
      <c r="A76" s="44"/>
      <c r="B76" s="11" t="str">
        <f>CONCATENATE("          ", "4181", " - ", "NON-TAXABLE SALES-ELECTRONICS")</f>
        <v xml:space="preserve">          4181 - NON-TAXABLE SALES-ELECTRONICS</v>
      </c>
      <c r="C76" s="11"/>
      <c r="D76" s="2">
        <f>0</f>
        <v>0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--3534.12</f>
        <v>3534.12</v>
      </c>
      <c r="Q76" s="2"/>
      <c r="R76" s="19"/>
      <c r="S76" s="2"/>
      <c r="T76" s="2">
        <f>--1462.51</f>
        <v>1462.51</v>
      </c>
      <c r="U76" s="2"/>
      <c r="V76" s="19"/>
      <c r="W76" s="2"/>
      <c r="X76" s="2">
        <f t="shared" si="2"/>
        <v>2071.6099999999997</v>
      </c>
      <c r="Y76" s="2"/>
      <c r="Z76" s="19">
        <f t="shared" si="3"/>
        <v>1.4164757847809586</v>
      </c>
    </row>
    <row r="77" spans="1:26" s="24" customFormat="1" hidden="1" outlineLevel="1" x14ac:dyDescent="0.25">
      <c r="A77" s="44"/>
      <c r="B77" s="11" t="str">
        <f>CONCATENATE("          ", "4182", " - ", "NON-TAXABLE SALES-COMPUTER HAR")</f>
        <v xml:space="preserve">          4182 - NON-TAXABLE SALES-COMPUTER HAR</v>
      </c>
      <c r="C77" s="11"/>
      <c r="D77" s="2">
        <f>--9513.96</f>
        <v>9513.9599999999991</v>
      </c>
      <c r="E77" s="2"/>
      <c r="F77" s="19"/>
      <c r="G77" s="2"/>
      <c r="H77" s="2">
        <f>--8486</f>
        <v>8486</v>
      </c>
      <c r="I77" s="2"/>
      <c r="J77" s="19"/>
      <c r="K77" s="2"/>
      <c r="L77" s="2">
        <f t="shared" si="0"/>
        <v>1027.9599999999991</v>
      </c>
      <c r="M77" s="2"/>
      <c r="N77" s="19">
        <f t="shared" si="1"/>
        <v>0.12113598868724948</v>
      </c>
      <c r="O77" s="11"/>
      <c r="P77" s="2">
        <f>--164308.31</f>
        <v>164308.31</v>
      </c>
      <c r="Q77" s="2"/>
      <c r="R77" s="19"/>
      <c r="S77" s="2"/>
      <c r="T77" s="2">
        <f>--70795</f>
        <v>70795</v>
      </c>
      <c r="U77" s="2"/>
      <c r="V77" s="19"/>
      <c r="W77" s="2"/>
      <c r="X77" s="2">
        <f t="shared" si="2"/>
        <v>93513.31</v>
      </c>
      <c r="Y77" s="2"/>
      <c r="Z77" s="19">
        <f t="shared" si="3"/>
        <v>1.3209027473691644</v>
      </c>
    </row>
    <row r="78" spans="1:26" s="24" customFormat="1" hidden="1" outlineLevel="1" x14ac:dyDescent="0.25">
      <c r="A78" s="44"/>
      <c r="B78" s="11" t="str">
        <f>CONCATENATE("          ", "4183", " - ", "NON-TAXABLE SALES-COMPUTER EQU")</f>
        <v xml:space="preserve">          4183 - NON-TAXABLE SALES-COMPUTER EQU</v>
      </c>
      <c r="C78" s="11"/>
      <c r="D78" s="2">
        <f>--258.91</f>
        <v>258.91000000000003</v>
      </c>
      <c r="E78" s="2"/>
      <c r="F78" s="19"/>
      <c r="G78" s="2"/>
      <c r="H78" s="2">
        <f>--266.75</f>
        <v>266.75</v>
      </c>
      <c r="I78" s="2"/>
      <c r="J78" s="19"/>
      <c r="K78" s="2"/>
      <c r="L78" s="2">
        <f t="shared" si="0"/>
        <v>-7.839999999999975</v>
      </c>
      <c r="M78" s="2"/>
      <c r="N78" s="19">
        <f t="shared" si="1"/>
        <v>-2.9390815370196721E-2</v>
      </c>
      <c r="O78" s="11"/>
      <c r="P78" s="2">
        <f>--7629.19</f>
        <v>7629.19</v>
      </c>
      <c r="Q78" s="2"/>
      <c r="R78" s="19"/>
      <c r="S78" s="2"/>
      <c r="T78" s="2">
        <f>--3571.63</f>
        <v>3571.63</v>
      </c>
      <c r="U78" s="2"/>
      <c r="V78" s="19"/>
      <c r="W78" s="2"/>
      <c r="X78" s="2">
        <f t="shared" si="2"/>
        <v>4057.5599999999995</v>
      </c>
      <c r="Y78" s="2"/>
      <c r="Z78" s="19">
        <f t="shared" si="3"/>
        <v>1.1360527266262181</v>
      </c>
    </row>
    <row r="79" spans="1:26" s="24" customFormat="1" hidden="1" outlineLevel="1" x14ac:dyDescent="0.25">
      <c r="A79" s="44"/>
      <c r="B79" s="11" t="str">
        <f>CONCATENATE("          ", "4184", " - ", "NON-TAXABLE SALES-SOFTWARE LIC")</f>
        <v xml:space="preserve">          4184 - NON-TAXABLE SALES-SOFTWARE LIC</v>
      </c>
      <c r="C79" s="11"/>
      <c r="D79" s="2">
        <f>0</f>
        <v>0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0</f>
        <v>0</v>
      </c>
      <c r="Q79" s="2"/>
      <c r="R79" s="19"/>
      <c r="S79" s="2"/>
      <c r="T79" s="2">
        <f>--2728</f>
        <v>2728</v>
      </c>
      <c r="U79" s="2"/>
      <c r="V79" s="19"/>
      <c r="W79" s="2"/>
      <c r="X79" s="2">
        <f t="shared" si="2"/>
        <v>-2728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"4185", " - ", "NON-TAXABLE SALES-SOFTWARE")</f>
        <v xml:space="preserve">          4185 - NON-TAXABLE SALES-SOFTWARE</v>
      </c>
      <c r="C80" s="11"/>
      <c r="D80" s="2">
        <f>--873.93</f>
        <v>873.93</v>
      </c>
      <c r="E80" s="2"/>
      <c r="F80" s="19"/>
      <c r="G80" s="2"/>
      <c r="H80" s="2">
        <f>--437.97</f>
        <v>437.97</v>
      </c>
      <c r="I80" s="2"/>
      <c r="J80" s="19"/>
      <c r="K80" s="2"/>
      <c r="L80" s="2">
        <f t="shared" si="0"/>
        <v>435.95999999999992</v>
      </c>
      <c r="M80" s="2"/>
      <c r="N80" s="19">
        <f t="shared" si="1"/>
        <v>0.99541064456469597</v>
      </c>
      <c r="O80" s="11"/>
      <c r="P80" s="2">
        <f>--26680.67</f>
        <v>26680.67</v>
      </c>
      <c r="Q80" s="2"/>
      <c r="R80" s="19"/>
      <c r="S80" s="2"/>
      <c r="T80" s="2">
        <f>--9401.84</f>
        <v>9401.84</v>
      </c>
      <c r="U80" s="2"/>
      <c r="V80" s="19"/>
      <c r="W80" s="2"/>
      <c r="X80" s="2">
        <f t="shared" si="2"/>
        <v>17278.829999999998</v>
      </c>
      <c r="Y80" s="2"/>
      <c r="Z80" s="19">
        <f t="shared" si="3"/>
        <v>1.8378136620065857</v>
      </c>
    </row>
    <row r="81" spans="1:26" s="24" customFormat="1" hidden="1" outlineLevel="1" x14ac:dyDescent="0.25">
      <c r="A81" s="44"/>
      <c r="B81" s="11" t="str">
        <f>CONCATENATE("          ", "4186", " - ", "NON-TAXABLE SALES-COMPUTER SUP")</f>
        <v xml:space="preserve">          4186 - NON-TAXABLE SALES-COMPUTER SUP</v>
      </c>
      <c r="C81" s="11"/>
      <c r="D81" s="2">
        <f>--176.22</f>
        <v>176.22</v>
      </c>
      <c r="E81" s="2"/>
      <c r="F81" s="19"/>
      <c r="G81" s="2"/>
      <c r="H81" s="2">
        <f>--49.99</f>
        <v>49.99</v>
      </c>
      <c r="I81" s="2"/>
      <c r="J81" s="19"/>
      <c r="K81" s="2"/>
      <c r="L81" s="2">
        <f t="shared" si="0"/>
        <v>126.22999999999999</v>
      </c>
      <c r="M81" s="2"/>
      <c r="N81" s="19">
        <f t="shared" si="1"/>
        <v>2.5251050210042005</v>
      </c>
      <c r="O81" s="11"/>
      <c r="P81" s="2">
        <f>--1949.99</f>
        <v>1949.99</v>
      </c>
      <c r="Q81" s="2"/>
      <c r="R81" s="19"/>
      <c r="S81" s="2"/>
      <c r="T81" s="2">
        <f>--1622.39</f>
        <v>1622.39</v>
      </c>
      <c r="U81" s="2"/>
      <c r="V81" s="19"/>
      <c r="W81" s="2"/>
      <c r="X81" s="2">
        <f t="shared" si="2"/>
        <v>327.59999999999991</v>
      </c>
      <c r="Y81" s="2"/>
      <c r="Z81" s="19">
        <f t="shared" si="3"/>
        <v>0.20192432152565037</v>
      </c>
    </row>
    <row r="82" spans="1:26" s="24" customFormat="1" hidden="1" outlineLevel="1" x14ac:dyDescent="0.25">
      <c r="A82" s="44"/>
      <c r="B82" s="11" t="str">
        <f>CONCATENATE("          ", "4188", " - ", "NON-TAXABLE SALES-MUSIC")</f>
        <v xml:space="preserve">          4188 - NON-TAXABLE SALES-MUSIC</v>
      </c>
      <c r="C82" s="11"/>
      <c r="D82" s="2">
        <f>0</f>
        <v>0</v>
      </c>
      <c r="E82" s="2"/>
      <c r="F82" s="19"/>
      <c r="G82" s="2"/>
      <c r="H82" s="2">
        <f>0</f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0</f>
        <v>0</v>
      </c>
      <c r="Q82" s="2"/>
      <c r="R82" s="19"/>
      <c r="S82" s="2"/>
      <c r="T82" s="2">
        <f>--219.96</f>
        <v>219.96</v>
      </c>
      <c r="U82" s="2"/>
      <c r="V82" s="19"/>
      <c r="W82" s="2"/>
      <c r="X82" s="2">
        <f t="shared" si="2"/>
        <v>-219.96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"4201", " - ", "SALES RETURN TAXABLE-NEW TEXT")</f>
        <v xml:space="preserve">          4201 - SALES RETURN TAXABLE-NEW TEXT</v>
      </c>
      <c r="C83" s="11"/>
      <c r="D83" s="2">
        <f>-681.18</f>
        <v>-681.18</v>
      </c>
      <c r="E83" s="2"/>
      <c r="F83" s="19"/>
      <c r="G83" s="2"/>
      <c r="H83" s="2">
        <f>-631.8</f>
        <v>-631.79999999999995</v>
      </c>
      <c r="I83" s="2"/>
      <c r="J83" s="19"/>
      <c r="K83" s="2"/>
      <c r="L83" s="2">
        <f t="shared" si="0"/>
        <v>-49.379999999999995</v>
      </c>
      <c r="M83" s="2"/>
      <c r="N83" s="19">
        <f t="shared" si="1"/>
        <v>7.8157644824311492E-2</v>
      </c>
      <c r="O83" s="11"/>
      <c r="P83" s="2">
        <f>-35775.84</f>
        <v>-35775.839999999997</v>
      </c>
      <c r="Q83" s="2"/>
      <c r="R83" s="19"/>
      <c r="S83" s="2"/>
      <c r="T83" s="2">
        <f>-78730.37</f>
        <v>-78730.37</v>
      </c>
      <c r="U83" s="2"/>
      <c r="V83" s="19"/>
      <c r="W83" s="2"/>
      <c r="X83" s="2">
        <f t="shared" si="2"/>
        <v>42954.53</v>
      </c>
      <c r="Y83" s="2"/>
      <c r="Z83" s="19">
        <f t="shared" si="3"/>
        <v>-0.54559034842589971</v>
      </c>
    </row>
    <row r="84" spans="1:26" s="24" customFormat="1" hidden="1" outlineLevel="1" x14ac:dyDescent="0.25">
      <c r="A84" s="44"/>
      <c r="B84" s="11" t="str">
        <f>CONCATENATE("          ", "4202", " - ", "SALES RETURN TAXABLE-USED TEXT")</f>
        <v xml:space="preserve">          4202 - SALES RETURN TAXABLE-USED TEXT</v>
      </c>
      <c r="C84" s="11"/>
      <c r="D84" s="2">
        <f>-62.65</f>
        <v>-62.65</v>
      </c>
      <c r="E84" s="2"/>
      <c r="F84" s="19"/>
      <c r="G84" s="2"/>
      <c r="H84" s="2">
        <f>-166.15</f>
        <v>-166.15</v>
      </c>
      <c r="I84" s="2"/>
      <c r="J84" s="19"/>
      <c r="K84" s="2"/>
      <c r="L84" s="2">
        <f t="shared" si="0"/>
        <v>103.5</v>
      </c>
      <c r="M84" s="2"/>
      <c r="N84" s="19">
        <f t="shared" si="1"/>
        <v>-0.62293108636773997</v>
      </c>
      <c r="O84" s="11"/>
      <c r="P84" s="2">
        <f>-13866</f>
        <v>-13866</v>
      </c>
      <c r="Q84" s="2"/>
      <c r="R84" s="19"/>
      <c r="S84" s="2"/>
      <c r="T84" s="2">
        <f>-27208.35</f>
        <v>-27208.35</v>
      </c>
      <c r="U84" s="2"/>
      <c r="V84" s="19"/>
      <c r="W84" s="2"/>
      <c r="X84" s="2">
        <f t="shared" si="2"/>
        <v>13342.349999999999</v>
      </c>
      <c r="Y84" s="2"/>
      <c r="Z84" s="19">
        <f t="shared" si="3"/>
        <v>-0.49037703499109647</v>
      </c>
    </row>
    <row r="85" spans="1:26" s="24" customFormat="1" hidden="1" outlineLevel="1" x14ac:dyDescent="0.25">
      <c r="A85" s="44"/>
      <c r="B85" s="11" t="str">
        <f>CONCATENATE("          ", "4203", " - ", "SALES RETURN TAXABLE-RENTAL TE")</f>
        <v xml:space="preserve">          4203 - SALES RETURN TAXABLE-RENTAL TE</v>
      </c>
      <c r="C85" s="11"/>
      <c r="D85" s="2">
        <f t="shared" ref="D85:D92" si="16">0</f>
        <v>0</v>
      </c>
      <c r="E85" s="2"/>
      <c r="F85" s="19"/>
      <c r="G85" s="2"/>
      <c r="H85" s="2">
        <f t="shared" ref="H85:H87" si="17"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0</f>
        <v>0</v>
      </c>
      <c r="Q85" s="2"/>
      <c r="R85" s="19"/>
      <c r="S85" s="2"/>
      <c r="T85" s="2">
        <f>-144.99</f>
        <v>-144.99</v>
      </c>
      <c r="U85" s="2"/>
      <c r="V85" s="19"/>
      <c r="W85" s="2"/>
      <c r="X85" s="2">
        <f t="shared" si="2"/>
        <v>144.99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"4204", " - ", "SALES RETURN TAXABLE-DIGITAL T")</f>
        <v xml:space="preserve">          4204 - SALES RETURN TAXABLE-DIGITAL T</v>
      </c>
      <c r="C86" s="11"/>
      <c r="D86" s="2">
        <f t="shared" si="16"/>
        <v>0</v>
      </c>
      <c r="E86" s="2"/>
      <c r="F86" s="19"/>
      <c r="G86" s="2"/>
      <c r="H86" s="2">
        <f t="shared" si="17"/>
        <v>0</v>
      </c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-1630.85</f>
        <v>-1630.85</v>
      </c>
      <c r="Q86" s="2"/>
      <c r="R86" s="19"/>
      <c r="S86" s="2"/>
      <c r="T86" s="2">
        <f>-11369.46</f>
        <v>-11369.46</v>
      </c>
      <c r="U86" s="2"/>
      <c r="V86" s="19"/>
      <c r="W86" s="2"/>
      <c r="X86" s="2">
        <f t="shared" si="2"/>
        <v>9738.6099999999988</v>
      </c>
      <c r="Y86" s="2"/>
      <c r="Z86" s="19">
        <f t="shared" si="3"/>
        <v>-0.85655871079189327</v>
      </c>
    </row>
    <row r="87" spans="1:26" s="24" customFormat="1" hidden="1" outlineLevel="1" x14ac:dyDescent="0.25">
      <c r="A87" s="44"/>
      <c r="B87" s="11" t="str">
        <f>CONCATENATE("          ", "4213", " - ", "NON-TAXABLE SALES-TRADE BOOKS")</f>
        <v xml:space="preserve">          4213 - NON-TAXABLE SALES-TRADE BOOKS</v>
      </c>
      <c r="C87" s="11"/>
      <c r="D87" s="2">
        <f t="shared" si="16"/>
        <v>0</v>
      </c>
      <c r="E87" s="2"/>
      <c r="F87" s="19"/>
      <c r="G87" s="2"/>
      <c r="H87" s="2">
        <f t="shared" si="17"/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 t="shared" ref="P87:P91" si="18">0</f>
        <v>0</v>
      </c>
      <c r="Q87" s="2"/>
      <c r="R87" s="19"/>
      <c r="S87" s="2"/>
      <c r="T87" s="2">
        <f>-102.71</f>
        <v>-102.71</v>
      </c>
      <c r="U87" s="2"/>
      <c r="V87" s="19"/>
      <c r="W87" s="2"/>
      <c r="X87" s="2">
        <f t="shared" si="2"/>
        <v>102.71</v>
      </c>
      <c r="Y87" s="2"/>
      <c r="Z87" s="19">
        <f t="shared" si="3"/>
        <v>-1</v>
      </c>
    </row>
    <row r="88" spans="1:26" s="24" customFormat="1" hidden="1" outlineLevel="1" x14ac:dyDescent="0.25">
      <c r="A88" s="44"/>
      <c r="B88" s="11" t="str">
        <f>CONCATENATE("          ", "4214", " - ", "SALES RETURN TAXABLE-REMAINDER")</f>
        <v xml:space="preserve">          4214 - SALES RETURN TAXABLE-REMAINDER</v>
      </c>
      <c r="C88" s="11"/>
      <c r="D88" s="2">
        <f t="shared" si="16"/>
        <v>0</v>
      </c>
      <c r="E88" s="2"/>
      <c r="F88" s="19"/>
      <c r="G88" s="2"/>
      <c r="H88" s="2">
        <f>-11.94</f>
        <v>-11.94</v>
      </c>
      <c r="I88" s="2"/>
      <c r="J88" s="19"/>
      <c r="K88" s="2"/>
      <c r="L88" s="2">
        <f t="shared" si="0"/>
        <v>11.94</v>
      </c>
      <c r="M88" s="2"/>
      <c r="N88" s="19">
        <f t="shared" si="1"/>
        <v>-1</v>
      </c>
      <c r="O88" s="11"/>
      <c r="P88" s="2">
        <f t="shared" si="18"/>
        <v>0</v>
      </c>
      <c r="Q88" s="2"/>
      <c r="R88" s="19"/>
      <c r="S88" s="2"/>
      <c r="T88" s="2">
        <f>-11.94</f>
        <v>-11.94</v>
      </c>
      <c r="U88" s="2"/>
      <c r="V88" s="19"/>
      <c r="W88" s="2"/>
      <c r="X88" s="2">
        <f t="shared" si="2"/>
        <v>11.94</v>
      </c>
      <c r="Y88" s="2"/>
      <c r="Z88" s="19">
        <f t="shared" si="3"/>
        <v>-1</v>
      </c>
    </row>
    <row r="89" spans="1:26" s="24" customFormat="1" hidden="1" outlineLevel="1" x14ac:dyDescent="0.25">
      <c r="A89" s="44"/>
      <c r="B89" s="11" t="str">
        <f>CONCATENATE("          ", "4217", " - ", "NON-TAXABLE SALES-DORM/HOUSEWA")</f>
        <v xml:space="preserve">          4217 - NON-TAXABLE SALES-DORM/HOUSEWA</v>
      </c>
      <c r="C89" s="11"/>
      <c r="D89" s="2">
        <f t="shared" si="16"/>
        <v>0</v>
      </c>
      <c r="E89" s="2"/>
      <c r="F89" s="19"/>
      <c r="G89" s="2"/>
      <c r="H89" s="2">
        <f t="shared" ref="H89:H90" si="19"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 t="shared" si="18"/>
        <v>0</v>
      </c>
      <c r="Q89" s="2"/>
      <c r="R89" s="19"/>
      <c r="S89" s="2"/>
      <c r="T89" s="2">
        <f>-2.98</f>
        <v>-2.98</v>
      </c>
      <c r="U89" s="2"/>
      <c r="V89" s="19"/>
      <c r="W89" s="2"/>
      <c r="X89" s="2">
        <f t="shared" si="2"/>
        <v>2.98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"4218", " - ", "SALES RETURN TAXABLE-STUDY GUI")</f>
        <v xml:space="preserve">          4218 - SALES RETURN TAXABLE-STUDY GUI</v>
      </c>
      <c r="C90" s="11"/>
      <c r="D90" s="2">
        <f t="shared" si="16"/>
        <v>0</v>
      </c>
      <c r="E90" s="2"/>
      <c r="F90" s="19"/>
      <c r="G90" s="2"/>
      <c r="H90" s="2">
        <f t="shared" si="19"/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 t="shared" si="18"/>
        <v>0</v>
      </c>
      <c r="Q90" s="2"/>
      <c r="R90" s="19"/>
      <c r="S90" s="2"/>
      <c r="T90" s="2">
        <f>-32.75</f>
        <v>-32.75</v>
      </c>
      <c r="U90" s="2"/>
      <c r="V90" s="19"/>
      <c r="W90" s="2"/>
      <c r="X90" s="2">
        <f t="shared" si="2"/>
        <v>32.75</v>
      </c>
      <c r="Y90" s="2"/>
      <c r="Z90" s="19">
        <f t="shared" si="3"/>
        <v>-1</v>
      </c>
    </row>
    <row r="91" spans="1:26" s="24" customFormat="1" hidden="1" outlineLevel="1" x14ac:dyDescent="0.25">
      <c r="A91" s="44"/>
      <c r="B91" s="11" t="str">
        <f>CONCATENATE("          ", "4225", " - ", "SALES RETURN TAXABLE-TEST FORM")</f>
        <v xml:space="preserve">          4225 - SALES RETURN TAXABLE-TEST FORM</v>
      </c>
      <c r="C91" s="11"/>
      <c r="D91" s="2">
        <f t="shared" si="16"/>
        <v>0</v>
      </c>
      <c r="E91" s="2"/>
      <c r="F91" s="19"/>
      <c r="G91" s="2"/>
      <c r="H91" s="2">
        <f>-15.51</f>
        <v>-15.51</v>
      </c>
      <c r="I91" s="2"/>
      <c r="J91" s="19"/>
      <c r="K91" s="2"/>
      <c r="L91" s="2">
        <f t="shared" si="0"/>
        <v>15.51</v>
      </c>
      <c r="M91" s="2"/>
      <c r="N91" s="19">
        <f t="shared" si="1"/>
        <v>-1</v>
      </c>
      <c r="O91" s="11"/>
      <c r="P91" s="2">
        <f t="shared" si="18"/>
        <v>0</v>
      </c>
      <c r="Q91" s="2"/>
      <c r="R91" s="19"/>
      <c r="S91" s="2"/>
      <c r="T91" s="2">
        <f>-80.97</f>
        <v>-80.97</v>
      </c>
      <c r="U91" s="2"/>
      <c r="V91" s="19"/>
      <c r="W91" s="2"/>
      <c r="X91" s="2">
        <f t="shared" si="2"/>
        <v>80.97</v>
      </c>
      <c r="Y91" s="2"/>
      <c r="Z91" s="19">
        <f t="shared" si="3"/>
        <v>-1</v>
      </c>
    </row>
    <row r="92" spans="1:26" s="24" customFormat="1" hidden="1" outlineLevel="1" x14ac:dyDescent="0.25">
      <c r="A92" s="44"/>
      <c r="B92" s="11" t="str">
        <f>CONCATENATE("          ", "4226", " - ", "SALES RETURN TAXABLE-WRITING I")</f>
        <v xml:space="preserve">          4226 - SALES RETURN TAXABLE-WRITING I</v>
      </c>
      <c r="C92" s="11"/>
      <c r="D92" s="2">
        <f t="shared" si="16"/>
        <v>0</v>
      </c>
      <c r="E92" s="2"/>
      <c r="F92" s="19"/>
      <c r="G92" s="2"/>
      <c r="H92" s="2">
        <f>-41.65</f>
        <v>-41.65</v>
      </c>
      <c r="I92" s="2"/>
      <c r="J92" s="19"/>
      <c r="K92" s="2"/>
      <c r="L92" s="2">
        <f t="shared" si="0"/>
        <v>41.65</v>
      </c>
      <c r="M92" s="2"/>
      <c r="N92" s="19">
        <f t="shared" si="1"/>
        <v>-1</v>
      </c>
      <c r="O92" s="11"/>
      <c r="P92" s="2">
        <f>-34.23</f>
        <v>-34.229999999999997</v>
      </c>
      <c r="Q92" s="2"/>
      <c r="R92" s="19"/>
      <c r="S92" s="2"/>
      <c r="T92" s="2">
        <f>-531.36</f>
        <v>-531.36</v>
      </c>
      <c r="U92" s="2"/>
      <c r="V92" s="19"/>
      <c r="W92" s="2"/>
      <c r="X92" s="2">
        <f t="shared" si="2"/>
        <v>497.13</v>
      </c>
      <c r="Y92" s="2"/>
      <c r="Z92" s="19">
        <f t="shared" si="3"/>
        <v>-0.93558039747064137</v>
      </c>
    </row>
    <row r="93" spans="1:26" s="24" customFormat="1" hidden="1" outlineLevel="1" x14ac:dyDescent="0.25">
      <c r="A93" s="44"/>
      <c r="B93" s="11" t="str">
        <f>CONCATENATE("          ", "4227", " - ", "SALES RETURN TAXABLE-SCHOOL SU")</f>
        <v xml:space="preserve">          4227 - SALES RETURN TAXABLE-SCHOOL SU</v>
      </c>
      <c r="C93" s="11"/>
      <c r="D93" s="2">
        <f>-25.82</f>
        <v>-25.82</v>
      </c>
      <c r="E93" s="2"/>
      <c r="F93" s="19"/>
      <c r="G93" s="2"/>
      <c r="H93" s="2">
        <f>-204.76</f>
        <v>-204.76</v>
      </c>
      <c r="I93" s="2"/>
      <c r="J93" s="19"/>
      <c r="K93" s="2"/>
      <c r="L93" s="2">
        <f t="shared" si="0"/>
        <v>178.94</v>
      </c>
      <c r="M93" s="2"/>
      <c r="N93" s="19">
        <f t="shared" si="1"/>
        <v>-0.87390115256886114</v>
      </c>
      <c r="O93" s="11"/>
      <c r="P93" s="2">
        <f>-636.46</f>
        <v>-636.46</v>
      </c>
      <c r="Q93" s="2"/>
      <c r="R93" s="19"/>
      <c r="S93" s="2"/>
      <c r="T93" s="2">
        <f>-5948.58</f>
        <v>-5948.58</v>
      </c>
      <c r="U93" s="2"/>
      <c r="V93" s="19"/>
      <c r="W93" s="2"/>
      <c r="X93" s="2">
        <f t="shared" si="2"/>
        <v>5312.12</v>
      </c>
      <c r="Y93" s="2"/>
      <c r="Z93" s="19">
        <f t="shared" si="3"/>
        <v>-0.89300639816561267</v>
      </c>
    </row>
    <row r="94" spans="1:26" s="24" customFormat="1" hidden="1" outlineLevel="1" x14ac:dyDescent="0.25">
      <c r="A94" s="44"/>
      <c r="B94" s="11" t="str">
        <f>CONCATENATE("          ", "4228", " - ", "SALES RETURN TAXABLE-ART/TECH")</f>
        <v xml:space="preserve">          4228 - SALES RETURN TAXABLE-ART/TECH</v>
      </c>
      <c r="C94" s="11"/>
      <c r="D94" s="2">
        <f t="shared" ref="D94:D95" si="20">0</f>
        <v>0</v>
      </c>
      <c r="E94" s="2"/>
      <c r="F94" s="19"/>
      <c r="G94" s="2"/>
      <c r="H94" s="2">
        <f>-277.33</f>
        <v>-277.33</v>
      </c>
      <c r="I94" s="2"/>
      <c r="J94" s="19"/>
      <c r="K94" s="2"/>
      <c r="L94" s="2">
        <f t="shared" si="0"/>
        <v>277.33</v>
      </c>
      <c r="M94" s="2"/>
      <c r="N94" s="19">
        <f t="shared" si="1"/>
        <v>-1</v>
      </c>
      <c r="O94" s="11"/>
      <c r="P94" s="2">
        <f>-254.69</f>
        <v>-254.69</v>
      </c>
      <c r="Q94" s="2"/>
      <c r="R94" s="19"/>
      <c r="S94" s="2"/>
      <c r="T94" s="2">
        <f>-3148.62</f>
        <v>-3148.62</v>
      </c>
      <c r="U94" s="2"/>
      <c r="V94" s="19"/>
      <c r="W94" s="2"/>
      <c r="X94" s="2">
        <f t="shared" si="2"/>
        <v>2893.93</v>
      </c>
      <c r="Y94" s="2"/>
      <c r="Z94" s="19">
        <f t="shared" si="3"/>
        <v>-0.91911059448266219</v>
      </c>
    </row>
    <row r="95" spans="1:26" s="24" customFormat="1" hidden="1" outlineLevel="1" x14ac:dyDescent="0.25">
      <c r="A95" s="44"/>
      <c r="B95" s="11" t="str">
        <f>CONCATENATE("          ", "4233", " - ", "SALES RETURN TAXABLE-CANDY")</f>
        <v xml:space="preserve">          4233 - SALES RETURN TAXABLE-CANDY</v>
      </c>
      <c r="C95" s="11"/>
      <c r="D95" s="2">
        <f t="shared" si="20"/>
        <v>0</v>
      </c>
      <c r="E95" s="2"/>
      <c r="F95" s="19"/>
      <c r="G95" s="2"/>
      <c r="H95" s="2">
        <f>0</f>
        <v>0</v>
      </c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0</f>
        <v>0</v>
      </c>
      <c r="Q95" s="2"/>
      <c r="R95" s="19"/>
      <c r="S95" s="2"/>
      <c r="T95" s="2">
        <f>-1.29</f>
        <v>-1.29</v>
      </c>
      <c r="U95" s="2"/>
      <c r="V95" s="19"/>
      <c r="W95" s="2"/>
      <c r="X95" s="2">
        <f t="shared" si="2"/>
        <v>1.29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"4240", " - ", "SALES RETURN TAXABLE-LOGO CLOT")</f>
        <v xml:space="preserve">          4240 - SALES RETURN TAXABLE-LOGO CLOT</v>
      </c>
      <c r="C96" s="11"/>
      <c r="D96" s="2">
        <f>-4840.17</f>
        <v>-4840.17</v>
      </c>
      <c r="E96" s="2"/>
      <c r="F96" s="19"/>
      <c r="G96" s="2"/>
      <c r="H96" s="2">
        <f>-8212.91</f>
        <v>-8212.91</v>
      </c>
      <c r="I96" s="2"/>
      <c r="J96" s="19"/>
      <c r="K96" s="2"/>
      <c r="L96" s="2">
        <f t="shared" si="0"/>
        <v>3372.74</v>
      </c>
      <c r="M96" s="2"/>
      <c r="N96" s="19">
        <f t="shared" si="1"/>
        <v>-0.41066321194314803</v>
      </c>
      <c r="O96" s="11"/>
      <c r="P96" s="2">
        <f>-20418.84</f>
        <v>-20418.84</v>
      </c>
      <c r="Q96" s="2"/>
      <c r="R96" s="19"/>
      <c r="S96" s="2"/>
      <c r="T96" s="2">
        <f>-49321.94</f>
        <v>-49321.94</v>
      </c>
      <c r="U96" s="2"/>
      <c r="V96" s="19"/>
      <c r="W96" s="2"/>
      <c r="X96" s="2">
        <f t="shared" si="2"/>
        <v>28903.100000000002</v>
      </c>
      <c r="Y96" s="2"/>
      <c r="Z96" s="19">
        <f t="shared" si="3"/>
        <v>-0.58600898504803345</v>
      </c>
    </row>
    <row r="97" spans="1:26" s="24" customFormat="1" hidden="1" outlineLevel="1" x14ac:dyDescent="0.25">
      <c r="A97" s="44"/>
      <c r="B97" s="11" t="str">
        <f>CONCATENATE("          ", "4241", " - ", "SALES RETURN TAXABLE-LOGO GIFT")</f>
        <v xml:space="preserve">          4241 - SALES RETURN TAXABLE-LOGO GIFT</v>
      </c>
      <c r="C97" s="11"/>
      <c r="D97" s="2">
        <f>-755.16</f>
        <v>-755.16</v>
      </c>
      <c r="E97" s="2"/>
      <c r="F97" s="19"/>
      <c r="G97" s="2"/>
      <c r="H97" s="2">
        <f>-939.28</f>
        <v>-939.28</v>
      </c>
      <c r="I97" s="2"/>
      <c r="J97" s="19"/>
      <c r="K97" s="2"/>
      <c r="L97" s="2">
        <f t="shared" si="0"/>
        <v>184.12</v>
      </c>
      <c r="M97" s="2"/>
      <c r="N97" s="19">
        <f t="shared" si="1"/>
        <v>-0.19602248530789543</v>
      </c>
      <c r="O97" s="11"/>
      <c r="P97" s="2">
        <f>-3560.01</f>
        <v>-3560.01</v>
      </c>
      <c r="Q97" s="2"/>
      <c r="R97" s="19"/>
      <c r="S97" s="2"/>
      <c r="T97" s="2">
        <f>-4148.87</f>
        <v>-4148.87</v>
      </c>
      <c r="U97" s="2"/>
      <c r="V97" s="19"/>
      <c r="W97" s="2"/>
      <c r="X97" s="2">
        <f t="shared" si="2"/>
        <v>588.85999999999967</v>
      </c>
      <c r="Y97" s="2"/>
      <c r="Z97" s="19">
        <f t="shared" si="3"/>
        <v>-0.14193262261772474</v>
      </c>
    </row>
    <row r="98" spans="1:26" s="24" customFormat="1" hidden="1" outlineLevel="1" x14ac:dyDescent="0.25">
      <c r="A98" s="44"/>
      <c r="B98" s="11" t="str">
        <f>CONCATENATE("          ", "4242", " - ", "SALES RETURN TAXABLE-EVERYDAY")</f>
        <v xml:space="preserve">          4242 - SALES RETURN TAXABLE-EVERYDAY</v>
      </c>
      <c r="C98" s="11"/>
      <c r="D98" s="2">
        <f>-287.93</f>
        <v>-287.93</v>
      </c>
      <c r="E98" s="2"/>
      <c r="F98" s="19"/>
      <c r="G98" s="2"/>
      <c r="H98" s="2">
        <f>-1097.55</f>
        <v>-1097.55</v>
      </c>
      <c r="I98" s="2"/>
      <c r="J98" s="19"/>
      <c r="K98" s="2"/>
      <c r="L98" s="2">
        <f t="shared" si="0"/>
        <v>809.61999999999989</v>
      </c>
      <c r="M98" s="2"/>
      <c r="N98" s="19">
        <f t="shared" si="1"/>
        <v>-0.73766115438932156</v>
      </c>
      <c r="O98" s="11"/>
      <c r="P98" s="2">
        <f>-1616.92</f>
        <v>-1616.92</v>
      </c>
      <c r="Q98" s="2"/>
      <c r="R98" s="19"/>
      <c r="S98" s="2"/>
      <c r="T98" s="2">
        <f>-2789.42</f>
        <v>-2789.42</v>
      </c>
      <c r="U98" s="2"/>
      <c r="V98" s="19"/>
      <c r="W98" s="2"/>
      <c r="X98" s="2">
        <f t="shared" si="2"/>
        <v>1172.5</v>
      </c>
      <c r="Y98" s="2"/>
      <c r="Z98" s="19">
        <f t="shared" si="3"/>
        <v>-0.42033827820837305</v>
      </c>
    </row>
    <row r="99" spans="1:26" s="24" customFormat="1" hidden="1" outlineLevel="1" x14ac:dyDescent="0.25">
      <c r="A99" s="44"/>
      <c r="B99" s="11" t="str">
        <f>CONCATENATE("          ", "4243", " - ", "SALES RETURN TAXABLE-CARDS")</f>
        <v xml:space="preserve">          4243 - SALES RETURN TAXABLE-CARDS</v>
      </c>
      <c r="C99" s="11"/>
      <c r="D99" s="2">
        <f>-1765.08</f>
        <v>-1765.08</v>
      </c>
      <c r="E99" s="2"/>
      <c r="F99" s="19"/>
      <c r="G99" s="2"/>
      <c r="H99" s="2">
        <f>-558.63</f>
        <v>-558.63</v>
      </c>
      <c r="I99" s="2"/>
      <c r="J99" s="19"/>
      <c r="K99" s="2"/>
      <c r="L99" s="2">
        <f t="shared" si="0"/>
        <v>-1206.4499999999998</v>
      </c>
      <c r="M99" s="2"/>
      <c r="N99" s="19">
        <f t="shared" si="1"/>
        <v>2.1596584501369418</v>
      </c>
      <c r="O99" s="11"/>
      <c r="P99" s="2">
        <f>-3577.54</f>
        <v>-3577.54</v>
      </c>
      <c r="Q99" s="2"/>
      <c r="R99" s="19"/>
      <c r="S99" s="2"/>
      <c r="T99" s="2">
        <f>-879.47</f>
        <v>-879.47</v>
      </c>
      <c r="U99" s="2"/>
      <c r="V99" s="19"/>
      <c r="W99" s="2"/>
      <c r="X99" s="2">
        <f t="shared" si="2"/>
        <v>-2698.0699999999997</v>
      </c>
      <c r="Y99" s="2"/>
      <c r="Z99" s="19">
        <f t="shared" si="3"/>
        <v>3.0678363105051902</v>
      </c>
    </row>
    <row r="100" spans="1:26" s="24" customFormat="1" hidden="1" outlineLevel="1" x14ac:dyDescent="0.25">
      <c r="A100" s="44"/>
      <c r="B100" s="11" t="str">
        <f>CONCATENATE("          ", "4244", " - ", "SALES RETURN TAXABLE-ACCESSORI")</f>
        <v xml:space="preserve">          4244 - SALES RETURN TAXABLE-ACCESSORI</v>
      </c>
      <c r="C100" s="11"/>
      <c r="D100" s="2">
        <f>-299.93</f>
        <v>-299.93</v>
      </c>
      <c r="E100" s="2"/>
      <c r="F100" s="19"/>
      <c r="G100" s="2"/>
      <c r="H100" s="2">
        <f>-202.71</f>
        <v>-202.71</v>
      </c>
      <c r="I100" s="2"/>
      <c r="J100" s="19"/>
      <c r="K100" s="2"/>
      <c r="L100" s="2">
        <f t="shared" si="0"/>
        <v>-97.22</v>
      </c>
      <c r="M100" s="2"/>
      <c r="N100" s="19">
        <f t="shared" si="1"/>
        <v>0.47960140101623006</v>
      </c>
      <c r="O100" s="11"/>
      <c r="P100" s="2">
        <f>-890.87</f>
        <v>-890.87</v>
      </c>
      <c r="Q100" s="2"/>
      <c r="R100" s="19"/>
      <c r="S100" s="2"/>
      <c r="T100" s="2">
        <f>-1731.77</f>
        <v>-1731.77</v>
      </c>
      <c r="U100" s="2"/>
      <c r="V100" s="19"/>
      <c r="W100" s="2"/>
      <c r="X100" s="2">
        <f t="shared" si="2"/>
        <v>840.9</v>
      </c>
      <c r="Y100" s="2"/>
      <c r="Z100" s="19">
        <f t="shared" si="3"/>
        <v>-0.48557256448604608</v>
      </c>
    </row>
    <row r="101" spans="1:26" s="24" customFormat="1" hidden="1" outlineLevel="1" x14ac:dyDescent="0.25">
      <c r="A101" s="44"/>
      <c r="B101" s="11" t="str">
        <f>CONCATENATE("          ", "4245", " - ", "SALES RETURN TAXABLE-SPECIAL O")</f>
        <v xml:space="preserve">          4245 - SALES RETURN TAXABLE-SPECIAL O</v>
      </c>
      <c r="C101" s="11"/>
      <c r="D101" s="2">
        <f>-9752.79</f>
        <v>-9752.7900000000009</v>
      </c>
      <c r="E101" s="2"/>
      <c r="F101" s="19"/>
      <c r="G101" s="2"/>
      <c r="H101" s="2">
        <f>0</f>
        <v>0</v>
      </c>
      <c r="I101" s="2"/>
      <c r="J101" s="19"/>
      <c r="K101" s="2"/>
      <c r="L101" s="2">
        <f t="shared" si="0"/>
        <v>-9752.7900000000009</v>
      </c>
      <c r="M101" s="2"/>
      <c r="N101" s="19">
        <f t="shared" si="1"/>
        <v>0</v>
      </c>
      <c r="O101" s="11"/>
      <c r="P101" s="2">
        <f>-11345.61</f>
        <v>-11345.61</v>
      </c>
      <c r="Q101" s="2"/>
      <c r="R101" s="19"/>
      <c r="S101" s="2"/>
      <c r="T101" s="2">
        <f>-91.96</f>
        <v>-91.96</v>
      </c>
      <c r="U101" s="2"/>
      <c r="V101" s="19"/>
      <c r="W101" s="2"/>
      <c r="X101" s="2">
        <f t="shared" si="2"/>
        <v>-11253.650000000001</v>
      </c>
      <c r="Y101" s="2"/>
      <c r="Z101" s="19">
        <f t="shared" si="3"/>
        <v>122.37548934319271</v>
      </c>
    </row>
    <row r="102" spans="1:26" s="24" customFormat="1" hidden="1" outlineLevel="1" x14ac:dyDescent="0.25">
      <c r="A102" s="44"/>
      <c r="B102" s="11" t="str">
        <f>CONCATENATE("          ", "4281", " - ", "SALES RETURN TAXABLE-ELECTRONI")</f>
        <v xml:space="preserve">          4281 - SALES RETURN TAXABLE-ELECTRONI</v>
      </c>
      <c r="C102" s="11"/>
      <c r="D102" s="2">
        <f>0</f>
        <v>0</v>
      </c>
      <c r="E102" s="2"/>
      <c r="F102" s="19"/>
      <c r="G102" s="2"/>
      <c r="H102" s="2">
        <f>-814.9</f>
        <v>-814.9</v>
      </c>
      <c r="I102" s="2"/>
      <c r="J102" s="19"/>
      <c r="K102" s="2"/>
      <c r="L102" s="2">
        <f t="shared" si="0"/>
        <v>814.9</v>
      </c>
      <c r="M102" s="2"/>
      <c r="N102" s="19">
        <f t="shared" si="1"/>
        <v>-1</v>
      </c>
      <c r="O102" s="11"/>
      <c r="P102" s="2">
        <f>-14632.15</f>
        <v>-14632.15</v>
      </c>
      <c r="Q102" s="2"/>
      <c r="R102" s="19"/>
      <c r="S102" s="2"/>
      <c r="T102" s="2">
        <f>-5861.96</f>
        <v>-5861.96</v>
      </c>
      <c r="U102" s="2"/>
      <c r="V102" s="19"/>
      <c r="W102" s="2"/>
      <c r="X102" s="2">
        <f t="shared" si="2"/>
        <v>-8770.1899999999987</v>
      </c>
      <c r="Y102" s="2"/>
      <c r="Z102" s="19">
        <f t="shared" si="3"/>
        <v>1.4961190455069633</v>
      </c>
    </row>
    <row r="103" spans="1:26" s="24" customFormat="1" hidden="1" outlineLevel="1" x14ac:dyDescent="0.25">
      <c r="A103" s="44"/>
      <c r="B103" s="11" t="str">
        <f>CONCATENATE("          ", "4282", " - ", "SALES RETURN TAXABLE-COMPUTER")</f>
        <v xml:space="preserve">          4282 - SALES RETURN TAXABLE-COMPUTER</v>
      </c>
      <c r="C103" s="11"/>
      <c r="D103" s="2">
        <f>-7936</f>
        <v>-7936</v>
      </c>
      <c r="E103" s="2"/>
      <c r="F103" s="19"/>
      <c r="G103" s="2"/>
      <c r="H103" s="2">
        <f>-7175.99</f>
        <v>-7175.99</v>
      </c>
      <c r="I103" s="2"/>
      <c r="J103" s="19"/>
      <c r="K103" s="2"/>
      <c r="L103" s="2">
        <f t="shared" si="0"/>
        <v>-760.01000000000022</v>
      </c>
      <c r="M103" s="2"/>
      <c r="N103" s="19">
        <f t="shared" si="1"/>
        <v>0.10591012529281678</v>
      </c>
      <c r="O103" s="11"/>
      <c r="P103" s="2">
        <f>-92020.01</f>
        <v>-92020.01</v>
      </c>
      <c r="Q103" s="2"/>
      <c r="R103" s="19"/>
      <c r="S103" s="2"/>
      <c r="T103" s="2">
        <f>-187653.58</f>
        <v>-187653.58</v>
      </c>
      <c r="U103" s="2"/>
      <c r="V103" s="19"/>
      <c r="W103" s="2"/>
      <c r="X103" s="2">
        <f t="shared" si="2"/>
        <v>95633.569999999992</v>
      </c>
      <c r="Y103" s="2"/>
      <c r="Z103" s="19">
        <f t="shared" si="3"/>
        <v>-0.50962827354532747</v>
      </c>
    </row>
    <row r="104" spans="1:26" s="24" customFormat="1" hidden="1" outlineLevel="1" x14ac:dyDescent="0.25">
      <c r="A104" s="44"/>
      <c r="B104" s="11" t="str">
        <f>CONCATENATE("          ", "4283", " - ", "SALES RETURN TAXABLE-COMPUTER")</f>
        <v xml:space="preserve">          4283 - SALES RETURN TAXABLE-COMPUTER</v>
      </c>
      <c r="C104" s="11"/>
      <c r="D104" s="2">
        <f>-99.99</f>
        <v>-99.99</v>
      </c>
      <c r="E104" s="2"/>
      <c r="F104" s="19"/>
      <c r="G104" s="2"/>
      <c r="H104" s="2">
        <f>-325.91</f>
        <v>-325.91000000000003</v>
      </c>
      <c r="I104" s="2"/>
      <c r="J104" s="19"/>
      <c r="K104" s="2"/>
      <c r="L104" s="2">
        <f t="shared" si="0"/>
        <v>225.92000000000002</v>
      </c>
      <c r="M104" s="2"/>
      <c r="N104" s="19">
        <f t="shared" si="1"/>
        <v>-0.69319750851462059</v>
      </c>
      <c r="O104" s="11"/>
      <c r="P104" s="2">
        <f>-3411.26</f>
        <v>-3411.26</v>
      </c>
      <c r="Q104" s="2"/>
      <c r="R104" s="19"/>
      <c r="S104" s="2"/>
      <c r="T104" s="2">
        <f>-3282.15</f>
        <v>-3282.15</v>
      </c>
      <c r="U104" s="2"/>
      <c r="V104" s="19"/>
      <c r="W104" s="2"/>
      <c r="X104" s="2">
        <f t="shared" si="2"/>
        <v>-129.11000000000013</v>
      </c>
      <c r="Y104" s="2"/>
      <c r="Z104" s="19">
        <f t="shared" si="3"/>
        <v>3.9337019941197121E-2</v>
      </c>
    </row>
    <row r="105" spans="1:26" s="24" customFormat="1" hidden="1" outlineLevel="1" x14ac:dyDescent="0.25">
      <c r="A105" s="44"/>
      <c r="B105" s="11" t="str">
        <f>CONCATENATE("          ", "4284", " - ", "SALES RETURN TAXABLE-SOFTWARE")</f>
        <v xml:space="preserve">          4284 - SALES RETURN TAXABLE-SOFTWARE</v>
      </c>
      <c r="C105" s="11"/>
      <c r="D105" s="2">
        <f t="shared" ref="D105:D106" si="21">0</f>
        <v>0</v>
      </c>
      <c r="E105" s="2"/>
      <c r="F105" s="19"/>
      <c r="G105" s="2"/>
      <c r="H105" s="2">
        <f t="shared" ref="H105:H106" si="22"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0</f>
        <v>0</v>
      </c>
      <c r="Q105" s="2"/>
      <c r="R105" s="19"/>
      <c r="S105" s="2"/>
      <c r="T105" s="2">
        <f>-129</f>
        <v>-129</v>
      </c>
      <c r="U105" s="2"/>
      <c r="V105" s="19"/>
      <c r="W105" s="2"/>
      <c r="X105" s="2">
        <f t="shared" si="2"/>
        <v>129</v>
      </c>
      <c r="Y105" s="2"/>
      <c r="Z105" s="19">
        <f t="shared" si="3"/>
        <v>-1</v>
      </c>
    </row>
    <row r="106" spans="1:26" s="24" customFormat="1" hidden="1" outlineLevel="1" x14ac:dyDescent="0.25">
      <c r="A106" s="44"/>
      <c r="B106" s="11" t="str">
        <f>CONCATENATE("          ", "4285", " - ", "SALES RETURN TAXABLE-SOFTWARE")</f>
        <v xml:space="preserve">          4285 - SALES RETURN TAXABLE-SOFTWARE</v>
      </c>
      <c r="C106" s="11"/>
      <c r="D106" s="2">
        <f t="shared" si="21"/>
        <v>0</v>
      </c>
      <c r="E106" s="2"/>
      <c r="F106" s="19"/>
      <c r="G106" s="2"/>
      <c r="H106" s="2">
        <f t="shared" si="22"/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-691.98</f>
        <v>-691.98</v>
      </c>
      <c r="Q106" s="2"/>
      <c r="R106" s="19"/>
      <c r="S106" s="2"/>
      <c r="T106" s="2">
        <f>-655.98</f>
        <v>-655.98</v>
      </c>
      <c r="U106" s="2"/>
      <c r="V106" s="19"/>
      <c r="W106" s="2"/>
      <c r="X106" s="2">
        <f t="shared" si="2"/>
        <v>-36</v>
      </c>
      <c r="Y106" s="2"/>
      <c r="Z106" s="19">
        <f t="shared" si="3"/>
        <v>5.4879721942742155E-2</v>
      </c>
    </row>
    <row r="107" spans="1:26" s="24" customFormat="1" hidden="1" outlineLevel="1" x14ac:dyDescent="0.25">
      <c r="A107" s="44"/>
      <c r="B107" s="11" t="str">
        <f>CONCATENATE("          ", "4286", " - ", "SALES RETURN TAXABLE-COMPUTER")</f>
        <v xml:space="preserve">          4286 - SALES RETURN TAXABLE-COMPUTER</v>
      </c>
      <c r="C107" s="11"/>
      <c r="D107" s="2">
        <f>-4127</f>
        <v>-4127</v>
      </c>
      <c r="E107" s="2"/>
      <c r="F107" s="19"/>
      <c r="G107" s="2"/>
      <c r="H107" s="2">
        <f>-195.9</f>
        <v>-195.9</v>
      </c>
      <c r="I107" s="2"/>
      <c r="J107" s="19"/>
      <c r="K107" s="2"/>
      <c r="L107" s="2">
        <f t="shared" si="0"/>
        <v>-3931.1</v>
      </c>
      <c r="M107" s="2"/>
      <c r="N107" s="19">
        <f t="shared" si="1"/>
        <v>20.066870852475752</v>
      </c>
      <c r="O107" s="11"/>
      <c r="P107" s="2">
        <f>-4708.35</f>
        <v>-4708.3500000000004</v>
      </c>
      <c r="Q107" s="2"/>
      <c r="R107" s="19"/>
      <c r="S107" s="2"/>
      <c r="T107" s="2">
        <f>-2987.89</f>
        <v>-2987.89</v>
      </c>
      <c r="U107" s="2"/>
      <c r="V107" s="19"/>
      <c r="W107" s="2"/>
      <c r="X107" s="2">
        <f t="shared" si="2"/>
        <v>-1720.4600000000005</v>
      </c>
      <c r="Y107" s="2"/>
      <c r="Z107" s="19">
        <f t="shared" si="3"/>
        <v>0.57581102383287219</v>
      </c>
    </row>
    <row r="108" spans="1:26" s="24" customFormat="1" hidden="1" outlineLevel="1" x14ac:dyDescent="0.25">
      <c r="A108" s="44"/>
      <c r="B108" s="11" t="str">
        <f>CONCATENATE("          ", "4288", " - ", "TAXABLE SALES RETURN-MUSIC")</f>
        <v xml:space="preserve">          4288 - TAXABLE SALES RETURN-MUSIC</v>
      </c>
      <c r="C108" s="11"/>
      <c r="D108" s="2">
        <f t="shared" ref="D108:D110" si="23">0</f>
        <v>0</v>
      </c>
      <c r="E108" s="2"/>
      <c r="F108" s="19"/>
      <c r="G108" s="2"/>
      <c r="H108" s="2">
        <f t="shared" ref="H108:H111" si="24">0</f>
        <v>0</v>
      </c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 t="shared" ref="P108:P110" si="25">0</f>
        <v>0</v>
      </c>
      <c r="Q108" s="2"/>
      <c r="R108" s="19"/>
      <c r="S108" s="2"/>
      <c r="T108" s="2">
        <f>-3.99</f>
        <v>-3.99</v>
      </c>
      <c r="U108" s="2"/>
      <c r="V108" s="19"/>
      <c r="W108" s="2"/>
      <c r="X108" s="2">
        <f t="shared" si="2"/>
        <v>3.99</v>
      </c>
      <c r="Y108" s="2"/>
      <c r="Z108" s="19">
        <f t="shared" si="3"/>
        <v>-1</v>
      </c>
    </row>
    <row r="109" spans="1:26" s="24" customFormat="1" hidden="1" outlineLevel="1" x14ac:dyDescent="0.25">
      <c r="A109" s="44"/>
      <c r="B109" s="11" t="str">
        <f>CONCATENATE("          ", "4292", " - ", "SALES RETURN TAXABLE-GRAD MERC")</f>
        <v xml:space="preserve">          4292 - SALES RETURN TAXABLE-GRAD MERC</v>
      </c>
      <c r="C109" s="11"/>
      <c r="D109" s="2">
        <f t="shared" si="23"/>
        <v>0</v>
      </c>
      <c r="E109" s="2"/>
      <c r="F109" s="19"/>
      <c r="G109" s="2"/>
      <c r="H109" s="2">
        <f t="shared" si="24"/>
        <v>0</v>
      </c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 t="shared" si="25"/>
        <v>0</v>
      </c>
      <c r="Q109" s="2"/>
      <c r="R109" s="19"/>
      <c r="S109" s="2"/>
      <c r="T109" s="2">
        <f>-419.05</f>
        <v>-419.05</v>
      </c>
      <c r="U109" s="2"/>
      <c r="V109" s="19"/>
      <c r="W109" s="2"/>
      <c r="X109" s="2">
        <f t="shared" si="2"/>
        <v>419.05</v>
      </c>
      <c r="Y109" s="2"/>
      <c r="Z109" s="19">
        <f t="shared" si="3"/>
        <v>-1</v>
      </c>
    </row>
    <row r="110" spans="1:26" s="24" customFormat="1" hidden="1" outlineLevel="1" x14ac:dyDescent="0.25">
      <c r="A110" s="44"/>
      <c r="B110" s="11" t="str">
        <f>CONCATENATE("          ", "4295", " - ", "SALES RETURN TAXABLE-CUSTOMER")</f>
        <v xml:space="preserve">          4295 - SALES RETURN TAXABLE-CUSTOMER</v>
      </c>
      <c r="C110" s="11"/>
      <c r="D110" s="2">
        <f t="shared" si="23"/>
        <v>0</v>
      </c>
      <c r="E110" s="2"/>
      <c r="F110" s="19"/>
      <c r="G110" s="2"/>
      <c r="H110" s="2">
        <f t="shared" si="24"/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 t="shared" si="25"/>
        <v>0</v>
      </c>
      <c r="Q110" s="2"/>
      <c r="R110" s="19"/>
      <c r="S110" s="2"/>
      <c r="T110" s="2">
        <f>--0.99</f>
        <v>0.99</v>
      </c>
      <c r="U110" s="2"/>
      <c r="V110" s="19"/>
      <c r="W110" s="2"/>
      <c r="X110" s="2">
        <f t="shared" si="2"/>
        <v>-0.99</v>
      </c>
      <c r="Y110" s="2"/>
      <c r="Z110" s="19">
        <f t="shared" si="3"/>
        <v>-1</v>
      </c>
    </row>
    <row r="111" spans="1:26" s="24" customFormat="1" hidden="1" outlineLevel="1" x14ac:dyDescent="0.25">
      <c r="A111" s="44"/>
      <c r="B111" s="11" t="str">
        <f>CONCATENATE("          ", "4301", " - ", "SALES RETURN NON TAXABLE-NEW T")</f>
        <v xml:space="preserve">          4301 - SALES RETURN NON TAXABLE-NEW T</v>
      </c>
      <c r="C111" s="11"/>
      <c r="D111" s="2">
        <f>-372.93</f>
        <v>-372.93</v>
      </c>
      <c r="E111" s="2"/>
      <c r="F111" s="19"/>
      <c r="G111" s="2"/>
      <c r="H111" s="2">
        <f t="shared" si="24"/>
        <v>0</v>
      </c>
      <c r="I111" s="2"/>
      <c r="J111" s="19"/>
      <c r="K111" s="2"/>
      <c r="L111" s="2">
        <f t="shared" si="0"/>
        <v>-372.93</v>
      </c>
      <c r="M111" s="2"/>
      <c r="N111" s="19">
        <f t="shared" si="1"/>
        <v>0</v>
      </c>
      <c r="O111" s="11"/>
      <c r="P111" s="2">
        <f>-2749.1</f>
        <v>-2749.1</v>
      </c>
      <c r="Q111" s="2"/>
      <c r="R111" s="19"/>
      <c r="S111" s="2"/>
      <c r="T111" s="2">
        <f>-12310.98</f>
        <v>-12310.98</v>
      </c>
      <c r="U111" s="2"/>
      <c r="V111" s="19"/>
      <c r="W111" s="2"/>
      <c r="X111" s="2">
        <f t="shared" si="2"/>
        <v>9561.8799999999992</v>
      </c>
      <c r="Y111" s="2"/>
      <c r="Z111" s="19">
        <f t="shared" si="3"/>
        <v>-0.77669527527459226</v>
      </c>
    </row>
    <row r="112" spans="1:26" s="24" customFormat="1" hidden="1" outlineLevel="1" x14ac:dyDescent="0.25">
      <c r="A112" s="44"/>
      <c r="B112" s="11" t="str">
        <f>CONCATENATE("          ", "4302", " - ", "SALES RETURN NON TAXABLE-TEXT")</f>
        <v xml:space="preserve">          4302 - SALES RETURN NON TAXABLE-TEXT</v>
      </c>
      <c r="C112" s="11"/>
      <c r="D112" s="2">
        <f>-77.35</f>
        <v>-77.349999999999994</v>
      </c>
      <c r="E112" s="2"/>
      <c r="F112" s="19"/>
      <c r="G112" s="2"/>
      <c r="H112" s="2">
        <f>-14.1</f>
        <v>-14.1</v>
      </c>
      <c r="I112" s="2"/>
      <c r="J112" s="19"/>
      <c r="K112" s="2"/>
      <c r="L112" s="2">
        <f t="shared" si="0"/>
        <v>-63.249999999999993</v>
      </c>
      <c r="M112" s="2"/>
      <c r="N112" s="19">
        <f t="shared" si="1"/>
        <v>4.4858156028368787</v>
      </c>
      <c r="O112" s="11"/>
      <c r="P112" s="2">
        <f>-1470.2</f>
        <v>-1470.2</v>
      </c>
      <c r="Q112" s="2"/>
      <c r="R112" s="19"/>
      <c r="S112" s="2"/>
      <c r="T112" s="2">
        <f>-697.9</f>
        <v>-697.9</v>
      </c>
      <c r="U112" s="2"/>
      <c r="V112" s="19"/>
      <c r="W112" s="2"/>
      <c r="X112" s="2">
        <f t="shared" si="2"/>
        <v>-772.30000000000007</v>
      </c>
      <c r="Y112" s="2"/>
      <c r="Z112" s="19">
        <f t="shared" si="3"/>
        <v>1.1066055308783496</v>
      </c>
    </row>
    <row r="113" spans="1:26" s="24" customFormat="1" hidden="1" outlineLevel="1" x14ac:dyDescent="0.25">
      <c r="A113" s="44"/>
      <c r="B113" s="11" t="str">
        <f>CONCATENATE("          ", "4303", " - ", "SALES RETURN NON-TAXABLE-RENTA")</f>
        <v xml:space="preserve">          4303 - SALES RETURN NON-TAXABLE-RENTA</v>
      </c>
      <c r="C113" s="11"/>
      <c r="D113" s="2">
        <f>0</f>
        <v>0</v>
      </c>
      <c r="E113" s="2"/>
      <c r="F113" s="19"/>
      <c r="G113" s="2"/>
      <c r="H113" s="2">
        <f>0</f>
        <v>0</v>
      </c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0</f>
        <v>0</v>
      </c>
      <c r="Q113" s="2"/>
      <c r="R113" s="19"/>
      <c r="S113" s="2"/>
      <c r="T113" s="2">
        <f>-184.99</f>
        <v>-184.99</v>
      </c>
      <c r="U113" s="2"/>
      <c r="V113" s="19"/>
      <c r="W113" s="2"/>
      <c r="X113" s="2">
        <f t="shared" si="2"/>
        <v>184.99</v>
      </c>
      <c r="Y113" s="2"/>
      <c r="Z113" s="19">
        <f t="shared" si="3"/>
        <v>-1</v>
      </c>
    </row>
    <row r="114" spans="1:26" s="24" customFormat="1" hidden="1" outlineLevel="1" x14ac:dyDescent="0.25">
      <c r="A114" s="44"/>
      <c r="B114" s="11" t="str">
        <f>CONCATENATE("          ", "4304", " - ", "SALES RETURN NON TAXABLE-DIGIT")</f>
        <v xml:space="preserve">          4304 - SALES RETURN NON TAXABLE-DIGIT</v>
      </c>
      <c r="C114" s="11"/>
      <c r="D114" s="2">
        <f>-144.23</f>
        <v>-144.22999999999999</v>
      </c>
      <c r="E114" s="2"/>
      <c r="F114" s="19"/>
      <c r="G114" s="2"/>
      <c r="H114" s="2">
        <f>-226.45</f>
        <v>-226.45</v>
      </c>
      <c r="I114" s="2"/>
      <c r="J114" s="19"/>
      <c r="K114" s="2"/>
      <c r="L114" s="2">
        <f t="shared" si="0"/>
        <v>82.22</v>
      </c>
      <c r="M114" s="2"/>
      <c r="N114" s="19">
        <f t="shared" si="1"/>
        <v>-0.36308235813645395</v>
      </c>
      <c r="O114" s="11"/>
      <c r="P114" s="2">
        <f>-14422.77</f>
        <v>-14422.77</v>
      </c>
      <c r="Q114" s="2"/>
      <c r="R114" s="19"/>
      <c r="S114" s="2"/>
      <c r="T114" s="2">
        <f>-13430.32</f>
        <v>-13430.32</v>
      </c>
      <c r="U114" s="2"/>
      <c r="V114" s="19"/>
      <c r="W114" s="2"/>
      <c r="X114" s="2">
        <f t="shared" si="2"/>
        <v>-992.45000000000073</v>
      </c>
      <c r="Y114" s="2"/>
      <c r="Z114" s="19">
        <f t="shared" si="3"/>
        <v>7.3896228831479865E-2</v>
      </c>
    </row>
    <row r="115" spans="1:26" s="24" customFormat="1" hidden="1" outlineLevel="1" x14ac:dyDescent="0.25">
      <c r="A115" s="44"/>
      <c r="B115" s="11" t="str">
        <f>CONCATENATE("          ", "4311", " - ", "SALES RETURN NON TAXABLE-NO VA")</f>
        <v xml:space="preserve">          4311 - SALES RETURN NON TAXABLE-NO VA</v>
      </c>
      <c r="C115" s="11"/>
      <c r="D115" s="2">
        <f t="shared" ref="D115:D116" si="26">0</f>
        <v>0</v>
      </c>
      <c r="E115" s="2"/>
      <c r="F115" s="19"/>
      <c r="G115" s="2"/>
      <c r="H115" s="2">
        <f t="shared" ref="H115:H116" si="27">0</f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 t="shared" ref="P115:P116" si="28">0</f>
        <v>0</v>
      </c>
      <c r="Q115" s="2"/>
      <c r="R115" s="19"/>
      <c r="S115" s="2"/>
      <c r="T115" s="2">
        <f>-387.96</f>
        <v>-387.96</v>
      </c>
      <c r="U115" s="2"/>
      <c r="V115" s="19"/>
      <c r="W115" s="2"/>
      <c r="X115" s="2">
        <f t="shared" si="2"/>
        <v>387.96</v>
      </c>
      <c r="Y115" s="2"/>
      <c r="Z115" s="19">
        <f t="shared" si="3"/>
        <v>-1</v>
      </c>
    </row>
    <row r="116" spans="1:26" s="24" customFormat="1" hidden="1" outlineLevel="1" x14ac:dyDescent="0.25">
      <c r="A116" s="44"/>
      <c r="B116" s="11" t="str">
        <f>CONCATENATE("          ", "4327", " - ", "SALES RETURN NON TAXABLE-SCHOO")</f>
        <v xml:space="preserve">          4327 - SALES RETURN NON TAXABLE-SCHOO</v>
      </c>
      <c r="C116" s="11"/>
      <c r="D116" s="2">
        <f t="shared" si="26"/>
        <v>0</v>
      </c>
      <c r="E116" s="2"/>
      <c r="F116" s="19"/>
      <c r="G116" s="2"/>
      <c r="H116" s="2">
        <f t="shared" si="27"/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 t="shared" si="28"/>
        <v>0</v>
      </c>
      <c r="Q116" s="2"/>
      <c r="R116" s="19"/>
      <c r="S116" s="2"/>
      <c r="T116" s="2">
        <f>-21.87</f>
        <v>-21.87</v>
      </c>
      <c r="U116" s="2"/>
      <c r="V116" s="19"/>
      <c r="W116" s="2"/>
      <c r="X116" s="2">
        <f t="shared" si="2"/>
        <v>21.87</v>
      </c>
      <c r="Y116" s="2"/>
      <c r="Z116" s="19">
        <f t="shared" si="3"/>
        <v>-1</v>
      </c>
    </row>
    <row r="117" spans="1:26" s="24" customFormat="1" hidden="1" outlineLevel="1" x14ac:dyDescent="0.25">
      <c r="A117" s="44"/>
      <c r="B117" s="11" t="str">
        <f>CONCATENATE("          ", "4340", " - ", "SALES RETURN NON TAXABLE-LOGO")</f>
        <v xml:space="preserve">          4340 - SALES RETURN NON TAXABLE-LOGO</v>
      </c>
      <c r="C117" s="11"/>
      <c r="D117" s="2">
        <f>-543.24</f>
        <v>-543.24</v>
      </c>
      <c r="E117" s="2"/>
      <c r="F117" s="19"/>
      <c r="G117" s="2"/>
      <c r="H117" s="2">
        <f>-391.5</f>
        <v>-391.5</v>
      </c>
      <c r="I117" s="2"/>
      <c r="J117" s="19"/>
      <c r="K117" s="2"/>
      <c r="L117" s="2">
        <f t="shared" si="0"/>
        <v>-151.74</v>
      </c>
      <c r="M117" s="2"/>
      <c r="N117" s="19">
        <f t="shared" si="1"/>
        <v>0.38758620689655177</v>
      </c>
      <c r="O117" s="11"/>
      <c r="P117" s="2">
        <f>-1483.72</f>
        <v>-1483.72</v>
      </c>
      <c r="Q117" s="2"/>
      <c r="R117" s="19"/>
      <c r="S117" s="2"/>
      <c r="T117" s="2">
        <f>-714.9</f>
        <v>-714.9</v>
      </c>
      <c r="U117" s="2"/>
      <c r="V117" s="19"/>
      <c r="W117" s="2"/>
      <c r="X117" s="2">
        <f t="shared" si="2"/>
        <v>-768.82</v>
      </c>
      <c r="Y117" s="2"/>
      <c r="Z117" s="19">
        <f t="shared" si="3"/>
        <v>1.0754231361029516</v>
      </c>
    </row>
    <row r="118" spans="1:26" s="24" customFormat="1" hidden="1" outlineLevel="1" x14ac:dyDescent="0.25">
      <c r="A118" s="44"/>
      <c r="B118" s="11" t="str">
        <f>CONCATENATE("          ", "4341", " - ", "SALES RETURN NON TAXABLE-LOGO")</f>
        <v xml:space="preserve">          4341 - SALES RETURN NON TAXABLE-LOGO</v>
      </c>
      <c r="C118" s="11"/>
      <c r="D118" s="2">
        <f>-33.85</f>
        <v>-33.85</v>
      </c>
      <c r="E118" s="2"/>
      <c r="F118" s="19"/>
      <c r="G118" s="2"/>
      <c r="H118" s="2">
        <f>-9.95</f>
        <v>-9.9499999999999993</v>
      </c>
      <c r="I118" s="2"/>
      <c r="J118" s="19"/>
      <c r="K118" s="2"/>
      <c r="L118" s="2">
        <f t="shared" si="0"/>
        <v>-23.900000000000002</v>
      </c>
      <c r="M118" s="2"/>
      <c r="N118" s="19">
        <f t="shared" si="1"/>
        <v>2.4020100502512567</v>
      </c>
      <c r="O118" s="11"/>
      <c r="P118" s="2">
        <f>-335.64</f>
        <v>-335.64</v>
      </c>
      <c r="Q118" s="2"/>
      <c r="R118" s="19"/>
      <c r="S118" s="2"/>
      <c r="T118" s="2">
        <f>-20.85</f>
        <v>-20.85</v>
      </c>
      <c r="U118" s="2"/>
      <c r="V118" s="19"/>
      <c r="W118" s="2"/>
      <c r="X118" s="2">
        <f t="shared" si="2"/>
        <v>-314.78999999999996</v>
      </c>
      <c r="Y118" s="2"/>
      <c r="Z118" s="19">
        <f t="shared" si="3"/>
        <v>15.097841726618702</v>
      </c>
    </row>
    <row r="119" spans="1:26" s="24" customFormat="1" hidden="1" outlineLevel="1" x14ac:dyDescent="0.25">
      <c r="A119" s="44"/>
      <c r="B119" s="11" t="str">
        <f>CONCATENATE("          ", "4342", " - ", "SALES RETURN NON TAXABLE-EVERY")</f>
        <v xml:space="preserve">          4342 - SALES RETURN NON TAXABLE-EVERY</v>
      </c>
      <c r="C119" s="11"/>
      <c r="D119" s="2">
        <f t="shared" ref="D119:D123" si="29">0</f>
        <v>0</v>
      </c>
      <c r="E119" s="2"/>
      <c r="F119" s="19"/>
      <c r="G119" s="2"/>
      <c r="H119" s="2">
        <f t="shared" ref="H119:H123" si="30">0</f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-118.7</f>
        <v>-118.7</v>
      </c>
      <c r="Q119" s="2"/>
      <c r="R119" s="19"/>
      <c r="S119" s="2"/>
      <c r="T119" s="2">
        <f>-109.8</f>
        <v>-109.8</v>
      </c>
      <c r="U119" s="2"/>
      <c r="V119" s="19"/>
      <c r="W119" s="2"/>
      <c r="X119" s="2">
        <f t="shared" si="2"/>
        <v>-8.9000000000000057</v>
      </c>
      <c r="Y119" s="2"/>
      <c r="Z119" s="19">
        <f t="shared" si="3"/>
        <v>8.1056466302367999E-2</v>
      </c>
    </row>
    <row r="120" spans="1:26" s="24" customFormat="1" hidden="1" outlineLevel="1" x14ac:dyDescent="0.25">
      <c r="A120" s="44"/>
      <c r="B120" s="11" t="str">
        <f>CONCATENATE("          ", "4346", " - ", "SALES RETURN NON TAXABLE-COIN-")</f>
        <v xml:space="preserve">          4346 - SALES RETURN NON TAXABLE-COIN-</v>
      </c>
      <c r="C120" s="11"/>
      <c r="D120" s="2">
        <f t="shared" si="29"/>
        <v>0</v>
      </c>
      <c r="E120" s="2"/>
      <c r="F120" s="19"/>
      <c r="G120" s="2"/>
      <c r="H120" s="2">
        <f t="shared" si="30"/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0</f>
        <v>0</v>
      </c>
      <c r="Q120" s="2"/>
      <c r="R120" s="19"/>
      <c r="S120" s="2"/>
      <c r="T120" s="2">
        <f>-8.15</f>
        <v>-8.15</v>
      </c>
      <c r="U120" s="2"/>
      <c r="V120" s="19"/>
      <c r="W120" s="2"/>
      <c r="X120" s="2">
        <f t="shared" si="2"/>
        <v>8.15</v>
      </c>
      <c r="Y120" s="2"/>
      <c r="Z120" s="19">
        <f t="shared" si="3"/>
        <v>-1</v>
      </c>
    </row>
    <row r="121" spans="1:26" s="24" customFormat="1" hidden="1" outlineLevel="1" x14ac:dyDescent="0.25">
      <c r="A121" s="44"/>
      <c r="B121" s="11" t="str">
        <f>CONCATENATE("          ", "4381", " - ", "SALES RETURN NON TAXABLE-ELECT")</f>
        <v xml:space="preserve">          4381 - SALES RETURN NON TAXABLE-ELECT</v>
      </c>
      <c r="C121" s="11"/>
      <c r="D121" s="2">
        <f t="shared" si="29"/>
        <v>0</v>
      </c>
      <c r="E121" s="2"/>
      <c r="F121" s="19"/>
      <c r="G121" s="2"/>
      <c r="H121" s="2">
        <f t="shared" si="30"/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-5624.15</f>
        <v>-5624.15</v>
      </c>
      <c r="Q121" s="2"/>
      <c r="R121" s="19"/>
      <c r="S121" s="2"/>
      <c r="T121" s="2">
        <f>-1279.84</f>
        <v>-1279.8399999999999</v>
      </c>
      <c r="U121" s="2"/>
      <c r="V121" s="19"/>
      <c r="W121" s="2"/>
      <c r="X121" s="2">
        <f t="shared" si="2"/>
        <v>-4344.3099999999995</v>
      </c>
      <c r="Y121" s="2"/>
      <c r="Z121" s="19">
        <f t="shared" si="3"/>
        <v>3.3944164895611948</v>
      </c>
    </row>
    <row r="122" spans="1:26" s="24" customFormat="1" hidden="1" outlineLevel="1" x14ac:dyDescent="0.25">
      <c r="A122" s="44"/>
      <c r="B122" s="11" t="str">
        <f>CONCATENATE("          ", "4383", " - ", "SALES RETURN NON TAXABLE-COMPU")</f>
        <v xml:space="preserve">          4383 - SALES RETURN NON TAXABLE-COMPU</v>
      </c>
      <c r="C122" s="11"/>
      <c r="D122" s="2">
        <f t="shared" si="29"/>
        <v>0</v>
      </c>
      <c r="E122" s="2"/>
      <c r="F122" s="19"/>
      <c r="G122" s="2"/>
      <c r="H122" s="2">
        <f t="shared" si="30"/>
        <v>0</v>
      </c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 t="shared" ref="P122:P123" si="31">0</f>
        <v>0</v>
      </c>
      <c r="Q122" s="2"/>
      <c r="R122" s="19"/>
      <c r="S122" s="2"/>
      <c r="T122" s="2">
        <f>-49.98</f>
        <v>-49.98</v>
      </c>
      <c r="U122" s="2"/>
      <c r="V122" s="19"/>
      <c r="W122" s="2"/>
      <c r="X122" s="2">
        <f t="shared" si="2"/>
        <v>49.98</v>
      </c>
      <c r="Y122" s="2"/>
      <c r="Z122" s="19">
        <f t="shared" si="3"/>
        <v>-1</v>
      </c>
    </row>
    <row r="123" spans="1:26" s="24" customFormat="1" hidden="1" outlineLevel="1" x14ac:dyDescent="0.25">
      <c r="A123" s="44"/>
      <c r="B123" s="11" t="str">
        <f>CONCATENATE("          ", "4386", " - ", "SALES RETURN NON TAXABLE-COMPU")</f>
        <v xml:space="preserve">          4386 - SALES RETURN NON TAXABLE-COMPU</v>
      </c>
      <c r="C123" s="11"/>
      <c r="D123" s="2">
        <f t="shared" si="29"/>
        <v>0</v>
      </c>
      <c r="E123" s="2"/>
      <c r="F123" s="19"/>
      <c r="G123" s="2"/>
      <c r="H123" s="2">
        <f t="shared" si="30"/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 t="shared" si="31"/>
        <v>0</v>
      </c>
      <c r="Q123" s="2"/>
      <c r="R123" s="19"/>
      <c r="S123" s="2"/>
      <c r="T123" s="2">
        <f>-54.97</f>
        <v>-54.97</v>
      </c>
      <c r="U123" s="2"/>
      <c r="V123" s="19"/>
      <c r="W123" s="2"/>
      <c r="X123" s="2">
        <f t="shared" si="2"/>
        <v>54.97</v>
      </c>
      <c r="Y123" s="2"/>
      <c r="Z123" s="19">
        <f t="shared" si="3"/>
        <v>-1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collapsed="1" x14ac:dyDescent="0.25">
      <c r="A125" s="10"/>
      <c r="B125" s="29" t="s">
        <v>8</v>
      </c>
      <c r="C125" s="10"/>
      <c r="D125" s="4">
        <f>SUM(OSRRefD16x_0)</f>
        <v>207177.40000000002</v>
      </c>
      <c r="E125" s="4"/>
      <c r="F125" s="12">
        <f t="shared" ref="F125:F182" si="32">IF(D$12=0,0,D125/D$12)</f>
        <v>0.66175352639394147</v>
      </c>
      <c r="G125" s="4"/>
      <c r="H125" s="4">
        <f>SUM(OSRRefH16x_0)</f>
        <v>264708.85000000009</v>
      </c>
      <c r="I125" s="4"/>
      <c r="J125" s="12">
        <f t="shared" ref="J125:J182" si="33">IF(H$12=0,0,H125/H$12)</f>
        <v>0.5008663070174515</v>
      </c>
      <c r="K125" s="4"/>
      <c r="L125" s="4">
        <f t="shared" ref="L125:L182" si="34">+D125-H125</f>
        <v>-57531.45000000007</v>
      </c>
      <c r="M125" s="4"/>
      <c r="N125" s="12">
        <f t="shared" ref="N125:N182" si="35">IF(H125=0,0,L125/H125)</f>
        <v>-0.21733859672617689</v>
      </c>
      <c r="O125" s="10"/>
      <c r="P125" s="4">
        <f>SUM(OSRRefP16x_0)</f>
        <v>2950590.27</v>
      </c>
      <c r="Q125" s="4"/>
      <c r="R125" s="12">
        <f t="shared" ref="R125:R182" si="36">IF(P$12=0,0,P125/P$12)</f>
        <v>0.74248127279455323</v>
      </c>
      <c r="S125" s="4"/>
      <c r="T125" s="4">
        <f>SUM(OSRRefT16x_0)</f>
        <v>4627473.8099999977</v>
      </c>
      <c r="U125" s="4"/>
      <c r="V125" s="12">
        <f t="shared" ref="V125:V182" si="37">IF(T$12=0,0,T125/T$12)</f>
        <v>0.65188853134109093</v>
      </c>
      <c r="W125" s="4"/>
      <c r="X125" s="4">
        <f t="shared" ref="X125:X182" si="38">+P125-T125</f>
        <v>-1676883.5399999977</v>
      </c>
      <c r="Y125" s="4"/>
      <c r="Z125" s="12">
        <f t="shared" ref="Z125:Z182" si="39">IF(T125=0,0,X125/T125)</f>
        <v>-0.36237558738338888</v>
      </c>
    </row>
    <row r="126" spans="1:26" s="24" customFormat="1" hidden="1" outlineLevel="1" x14ac:dyDescent="0.25">
      <c r="A126" s="44"/>
      <c r="B126" s="11" t="str">
        <f>CONCATENATE("          ", "5001", " - ", "PURCHASES @ COST-NEW TEXT")</f>
        <v xml:space="preserve">          5001 - PURCHASES @ COST-NEW TEXT</v>
      </c>
      <c r="C126" s="11"/>
      <c r="D126" s="2">
        <v>37317.56</v>
      </c>
      <c r="E126" s="2"/>
      <c r="F126" s="19">
        <f t="shared" si="32"/>
        <v>0.11919749415919638</v>
      </c>
      <c r="G126" s="2"/>
      <c r="H126" s="2">
        <v>155219.06</v>
      </c>
      <c r="I126" s="2"/>
      <c r="J126" s="19">
        <f t="shared" si="33"/>
        <v>0.29369625292437407</v>
      </c>
      <c r="K126" s="2"/>
      <c r="L126" s="2">
        <f t="shared" si="34"/>
        <v>-117901.5</v>
      </c>
      <c r="M126" s="2"/>
      <c r="N126" s="19">
        <f t="shared" si="35"/>
        <v>-0.75958132976710468</v>
      </c>
      <c r="O126" s="11"/>
      <c r="P126" s="2">
        <v>1277913.04</v>
      </c>
      <c r="Q126" s="2"/>
      <c r="R126" s="19">
        <f t="shared" si="36"/>
        <v>0.32157175806722793</v>
      </c>
      <c r="S126" s="2"/>
      <c r="T126" s="2">
        <v>1737069.75</v>
      </c>
      <c r="U126" s="2"/>
      <c r="V126" s="19">
        <f t="shared" si="37"/>
        <v>0.24470713280266765</v>
      </c>
      <c r="W126" s="2"/>
      <c r="X126" s="2">
        <f t="shared" si="38"/>
        <v>-459156.70999999996</v>
      </c>
      <c r="Y126" s="2"/>
      <c r="Z126" s="19">
        <f t="shared" si="39"/>
        <v>-0.26432830921153277</v>
      </c>
    </row>
    <row r="127" spans="1:26" s="24" customFormat="1" hidden="1" outlineLevel="1" x14ac:dyDescent="0.25">
      <c r="A127" s="44"/>
      <c r="B127" s="11" t="str">
        <f>CONCATENATE("          ", "5002", " - ", "PURCHASES @ COST-USED TEXT")</f>
        <v xml:space="preserve">          5002 - PURCHASES @ COST-USED TEXT</v>
      </c>
      <c r="C127" s="11"/>
      <c r="D127" s="2">
        <v>70238.87</v>
      </c>
      <c r="E127" s="2"/>
      <c r="F127" s="19">
        <f t="shared" si="32"/>
        <v>0.22435275233894053</v>
      </c>
      <c r="G127" s="2"/>
      <c r="H127" s="2">
        <v>40274.950000000004</v>
      </c>
      <c r="I127" s="2"/>
      <c r="J127" s="19">
        <f t="shared" si="33"/>
        <v>7.6205859652265132E-2</v>
      </c>
      <c r="K127" s="2"/>
      <c r="L127" s="2">
        <f t="shared" si="34"/>
        <v>29963.919999999991</v>
      </c>
      <c r="M127" s="2"/>
      <c r="N127" s="19">
        <f t="shared" si="35"/>
        <v>0.74398403970706328</v>
      </c>
      <c r="O127" s="11"/>
      <c r="P127" s="2">
        <v>164472.92000000001</v>
      </c>
      <c r="Q127" s="2"/>
      <c r="R127" s="19">
        <f t="shared" si="36"/>
        <v>4.1387672230694617E-2</v>
      </c>
      <c r="S127" s="2"/>
      <c r="T127" s="2">
        <v>252522.85</v>
      </c>
      <c r="U127" s="2"/>
      <c r="V127" s="19">
        <f t="shared" si="37"/>
        <v>3.5573783142938346E-2</v>
      </c>
      <c r="W127" s="2"/>
      <c r="X127" s="2">
        <f t="shared" si="38"/>
        <v>-88049.93</v>
      </c>
      <c r="Y127" s="2"/>
      <c r="Z127" s="19">
        <f t="shared" si="39"/>
        <v>-0.34868104015141599</v>
      </c>
    </row>
    <row r="128" spans="1:26" s="24" customFormat="1" hidden="1" outlineLevel="1" x14ac:dyDescent="0.25">
      <c r="A128" s="44"/>
      <c r="B128" s="11" t="str">
        <f>CONCATENATE("          ", "5003", " - ", "PURCHASES @ COST-RENTAL TEXT")</f>
        <v xml:space="preserve">          5003 - PURCHASES @ COST-RENTAL TEXT</v>
      </c>
      <c r="C128" s="11"/>
      <c r="D128" s="2"/>
      <c r="E128" s="2"/>
      <c r="F128" s="19">
        <f t="shared" si="32"/>
        <v>0</v>
      </c>
      <c r="G128" s="2"/>
      <c r="H128" s="2"/>
      <c r="I128" s="2"/>
      <c r="J128" s="19">
        <f t="shared" si="33"/>
        <v>0</v>
      </c>
      <c r="K128" s="2"/>
      <c r="L128" s="2">
        <f t="shared" si="34"/>
        <v>0</v>
      </c>
      <c r="M128" s="2"/>
      <c r="N128" s="19">
        <f t="shared" si="35"/>
        <v>0</v>
      </c>
      <c r="O128" s="11"/>
      <c r="P128" s="2">
        <v>32.520000000000003</v>
      </c>
      <c r="Q128" s="2"/>
      <c r="R128" s="19">
        <f t="shared" si="36"/>
        <v>8.1832747964965228E-6</v>
      </c>
      <c r="S128" s="2"/>
      <c r="T128" s="2">
        <v>-78.400000000000006</v>
      </c>
      <c r="U128" s="2"/>
      <c r="V128" s="19">
        <f t="shared" si="37"/>
        <v>-1.1044484086910814E-5</v>
      </c>
      <c r="W128" s="2"/>
      <c r="X128" s="2">
        <f t="shared" si="38"/>
        <v>110.92000000000002</v>
      </c>
      <c r="Y128" s="2"/>
      <c r="Z128" s="19">
        <f t="shared" si="39"/>
        <v>-1.4147959183673471</v>
      </c>
    </row>
    <row r="129" spans="1:26" s="24" customFormat="1" hidden="1" outlineLevel="1" x14ac:dyDescent="0.25">
      <c r="A129" s="44"/>
      <c r="B129" s="11" t="str">
        <f>CONCATENATE("          ", "5004", " - ", "PURCHASES @ COST-DIGITAL TEXT")</f>
        <v xml:space="preserve">          5004 - PURCHASES @ COST-DIGITAL TEXT</v>
      </c>
      <c r="C129" s="11"/>
      <c r="D129" s="2">
        <v>900</v>
      </c>
      <c r="E129" s="2"/>
      <c r="F129" s="19">
        <f t="shared" si="32"/>
        <v>2.8747255914715955E-3</v>
      </c>
      <c r="G129" s="2"/>
      <c r="H129" s="2">
        <v>31572.300000000003</v>
      </c>
      <c r="I129" s="2"/>
      <c r="J129" s="19">
        <f t="shared" si="33"/>
        <v>5.9739224075987932E-2</v>
      </c>
      <c r="K129" s="2"/>
      <c r="L129" s="2">
        <f t="shared" si="34"/>
        <v>-30672.300000000003</v>
      </c>
      <c r="M129" s="2"/>
      <c r="N129" s="19">
        <f t="shared" si="35"/>
        <v>-0.97149399948689197</v>
      </c>
      <c r="O129" s="11"/>
      <c r="P129" s="2">
        <v>197838.11000000002</v>
      </c>
      <c r="Q129" s="2"/>
      <c r="R129" s="19">
        <f t="shared" si="36"/>
        <v>4.9783629131288643E-2</v>
      </c>
      <c r="S129" s="2"/>
      <c r="T129" s="2">
        <v>354352.27</v>
      </c>
      <c r="U129" s="2"/>
      <c r="V129" s="19">
        <f t="shared" si="37"/>
        <v>4.9918852132343421E-2</v>
      </c>
      <c r="W129" s="2"/>
      <c r="X129" s="2">
        <f t="shared" si="38"/>
        <v>-156514.16</v>
      </c>
      <c r="Y129" s="2"/>
      <c r="Z129" s="19">
        <f t="shared" si="39"/>
        <v>-0.44169086316280687</v>
      </c>
    </row>
    <row r="130" spans="1:26" s="24" customFormat="1" hidden="1" outlineLevel="1" x14ac:dyDescent="0.25">
      <c r="A130" s="44"/>
      <c r="B130" s="11" t="str">
        <f>CONCATENATE("          ", "5011", " - ", "PURCHASES @ COST-NO VALUE TEXT")</f>
        <v xml:space="preserve">          5011 - PURCHASES @ COST-NO VALUE TEXT</v>
      </c>
      <c r="C130" s="11"/>
      <c r="D130" s="2"/>
      <c r="E130" s="2"/>
      <c r="F130" s="19">
        <f t="shared" si="32"/>
        <v>0</v>
      </c>
      <c r="G130" s="2"/>
      <c r="H130" s="2">
        <v>1161</v>
      </c>
      <c r="I130" s="2"/>
      <c r="J130" s="19">
        <f t="shared" si="33"/>
        <v>2.1967749942899944E-3</v>
      </c>
      <c r="K130" s="2"/>
      <c r="L130" s="2">
        <f t="shared" si="34"/>
        <v>-1161</v>
      </c>
      <c r="M130" s="2"/>
      <c r="N130" s="19">
        <f t="shared" si="35"/>
        <v>-1</v>
      </c>
      <c r="O130" s="11"/>
      <c r="P130" s="2">
        <v>67.17</v>
      </c>
      <c r="Q130" s="2"/>
      <c r="R130" s="19">
        <f t="shared" si="36"/>
        <v>1.6902538993870585E-5</v>
      </c>
      <c r="S130" s="2"/>
      <c r="T130" s="2">
        <v>4902</v>
      </c>
      <c r="U130" s="2"/>
      <c r="V130" s="19">
        <f t="shared" si="37"/>
        <v>6.9056200247495929E-4</v>
      </c>
      <c r="W130" s="2"/>
      <c r="X130" s="2">
        <f t="shared" si="38"/>
        <v>-4834.83</v>
      </c>
      <c r="Y130" s="2"/>
      <c r="Z130" s="19">
        <f t="shared" si="39"/>
        <v>-0.98629742962056299</v>
      </c>
    </row>
    <row r="131" spans="1:26" s="24" customFormat="1" hidden="1" outlineLevel="1" x14ac:dyDescent="0.25">
      <c r="A131" s="44"/>
      <c r="B131" s="11" t="str">
        <f>CONCATENATE("          ", "5013", " - ", "PURCHASES @ COST-TRADE BOOKS")</f>
        <v xml:space="preserve">          5013 - PURCHASES @ COST-TRADE BOOKS</v>
      </c>
      <c r="C131" s="11"/>
      <c r="D131" s="2">
        <v>31.11</v>
      </c>
      <c r="E131" s="2"/>
      <c r="F131" s="19">
        <f t="shared" si="32"/>
        <v>9.9369681278534811E-5</v>
      </c>
      <c r="G131" s="2"/>
      <c r="H131" s="2">
        <v>37.17</v>
      </c>
      <c r="I131" s="2"/>
      <c r="J131" s="19">
        <f t="shared" si="33"/>
        <v>7.033085834432308E-5</v>
      </c>
      <c r="K131" s="2"/>
      <c r="L131" s="2">
        <f t="shared" si="34"/>
        <v>-6.0600000000000023</v>
      </c>
      <c r="M131" s="2"/>
      <c r="N131" s="19">
        <f t="shared" si="35"/>
        <v>-0.16303470540758683</v>
      </c>
      <c r="O131" s="11"/>
      <c r="P131" s="2">
        <v>2125.85</v>
      </c>
      <c r="Q131" s="2"/>
      <c r="R131" s="19">
        <f t="shared" si="36"/>
        <v>5.3494510227958584E-4</v>
      </c>
      <c r="S131" s="2"/>
      <c r="T131" s="2">
        <v>735.31</v>
      </c>
      <c r="U131" s="2"/>
      <c r="V131" s="19">
        <f t="shared" si="37"/>
        <v>1.0358570910645905E-4</v>
      </c>
      <c r="W131" s="2"/>
      <c r="X131" s="2">
        <f t="shared" si="38"/>
        <v>1390.54</v>
      </c>
      <c r="Y131" s="2"/>
      <c r="Z131" s="19">
        <f t="shared" si="39"/>
        <v>1.8910935523792687</v>
      </c>
    </row>
    <row r="132" spans="1:26" s="24" customFormat="1" hidden="1" outlineLevel="1" x14ac:dyDescent="0.25">
      <c r="A132" s="44"/>
      <c r="B132" s="11" t="str">
        <f>CONCATENATE("          ", "5014", " - ", "PURCHASES @ COST-REMAINDERS")</f>
        <v xml:space="preserve">          5014 - PURCHASES @ COST-REMAINDERS</v>
      </c>
      <c r="C132" s="11"/>
      <c r="D132" s="2"/>
      <c r="E132" s="2"/>
      <c r="F132" s="19">
        <f t="shared" si="32"/>
        <v>0</v>
      </c>
      <c r="G132" s="2"/>
      <c r="H132" s="2">
        <v>56.98</v>
      </c>
      <c r="I132" s="2"/>
      <c r="J132" s="19">
        <f t="shared" si="33"/>
        <v>1.0781415949581728E-4</v>
      </c>
      <c r="K132" s="2"/>
      <c r="L132" s="2">
        <f t="shared" si="34"/>
        <v>-56.98</v>
      </c>
      <c r="M132" s="2"/>
      <c r="N132" s="19">
        <f t="shared" si="35"/>
        <v>-1</v>
      </c>
      <c r="O132" s="11"/>
      <c r="P132" s="2">
        <v>90.41</v>
      </c>
      <c r="Q132" s="2"/>
      <c r="R132" s="19">
        <f t="shared" si="36"/>
        <v>2.275061114241238E-5</v>
      </c>
      <c r="S132" s="2"/>
      <c r="T132" s="2">
        <v>513.79</v>
      </c>
      <c r="U132" s="2"/>
      <c r="V132" s="19">
        <f t="shared" si="37"/>
        <v>7.2379406620075331E-5</v>
      </c>
      <c r="W132" s="2"/>
      <c r="X132" s="2">
        <f t="shared" si="38"/>
        <v>-423.38</v>
      </c>
      <c r="Y132" s="2"/>
      <c r="Z132" s="19">
        <f t="shared" si="39"/>
        <v>-0.82403316530099846</v>
      </c>
    </row>
    <row r="133" spans="1:26" s="24" customFormat="1" hidden="1" outlineLevel="1" x14ac:dyDescent="0.25">
      <c r="A133" s="44"/>
      <c r="B133" s="11" t="str">
        <f>CONCATENATE("          ", "5017", " - ", "PURCHASES @ COST-DORM/HOUSEWAR")</f>
        <v xml:space="preserve">          5017 - PURCHASES @ COST-DORM/HOUSEWAR</v>
      </c>
      <c r="C133" s="11"/>
      <c r="D133" s="2"/>
      <c r="E133" s="2"/>
      <c r="F133" s="19">
        <f t="shared" si="32"/>
        <v>0</v>
      </c>
      <c r="G133" s="2"/>
      <c r="H133" s="2"/>
      <c r="I133" s="2"/>
      <c r="J133" s="19">
        <f t="shared" si="33"/>
        <v>0</v>
      </c>
      <c r="K133" s="2"/>
      <c r="L133" s="2">
        <f t="shared" si="34"/>
        <v>0</v>
      </c>
      <c r="M133" s="2"/>
      <c r="N133" s="19">
        <f t="shared" si="35"/>
        <v>0</v>
      </c>
      <c r="O133" s="11"/>
      <c r="P133" s="2"/>
      <c r="Q133" s="2"/>
      <c r="R133" s="19">
        <f t="shared" si="36"/>
        <v>0</v>
      </c>
      <c r="S133" s="2"/>
      <c r="T133" s="2">
        <v>0</v>
      </c>
      <c r="U133" s="2"/>
      <c r="V133" s="19">
        <f t="shared" si="37"/>
        <v>0</v>
      </c>
      <c r="W133" s="2"/>
      <c r="X133" s="2">
        <f t="shared" si="38"/>
        <v>0</v>
      </c>
      <c r="Y133" s="2"/>
      <c r="Z133" s="19">
        <f t="shared" si="39"/>
        <v>0</v>
      </c>
    </row>
    <row r="134" spans="1:26" s="24" customFormat="1" hidden="1" outlineLevel="1" x14ac:dyDescent="0.25">
      <c r="A134" s="44"/>
      <c r="B134" s="11" t="str">
        <f>CONCATENATE("          ", "5018", " - ", "PURCHASES @ COST-STUDY GUIDES")</f>
        <v xml:space="preserve">          5018 - PURCHASES @ COST-STUDY GUIDES</v>
      </c>
      <c r="C134" s="11"/>
      <c r="D134" s="2"/>
      <c r="E134" s="2"/>
      <c r="F134" s="19">
        <f t="shared" si="32"/>
        <v>0</v>
      </c>
      <c r="G134" s="2"/>
      <c r="H134" s="2">
        <v>196.31</v>
      </c>
      <c r="I134" s="2"/>
      <c r="J134" s="19">
        <f t="shared" si="33"/>
        <v>3.7144608021452951E-4</v>
      </c>
      <c r="K134" s="2"/>
      <c r="L134" s="2">
        <f t="shared" si="34"/>
        <v>-196.31</v>
      </c>
      <c r="M134" s="2"/>
      <c r="N134" s="19">
        <f t="shared" si="35"/>
        <v>-1</v>
      </c>
      <c r="O134" s="11"/>
      <c r="P134" s="2">
        <v>106.34</v>
      </c>
      <c r="Q134" s="2"/>
      <c r="R134" s="19">
        <f t="shared" si="36"/>
        <v>2.675920792925708E-5</v>
      </c>
      <c r="S134" s="2"/>
      <c r="T134" s="2">
        <v>998.4</v>
      </c>
      <c r="U134" s="2"/>
      <c r="V134" s="19">
        <f t="shared" si="37"/>
        <v>1.406481238822928E-4</v>
      </c>
      <c r="W134" s="2"/>
      <c r="X134" s="2">
        <f t="shared" si="38"/>
        <v>-892.06</v>
      </c>
      <c r="Y134" s="2"/>
      <c r="Z134" s="19">
        <f t="shared" si="39"/>
        <v>-0.89348958333333328</v>
      </c>
    </row>
    <row r="135" spans="1:26" s="24" customFormat="1" hidden="1" outlineLevel="1" x14ac:dyDescent="0.25">
      <c r="A135" s="44"/>
      <c r="B135" s="11" t="str">
        <f>CONCATENATE("          ", "5025", " - ", "PURCHASES @ COST-TEST FORMS")</f>
        <v xml:space="preserve">          5025 - PURCHASES @ COST-TEST FORMS</v>
      </c>
      <c r="C135" s="11"/>
      <c r="D135" s="2"/>
      <c r="E135" s="2"/>
      <c r="F135" s="19">
        <f t="shared" si="32"/>
        <v>0</v>
      </c>
      <c r="G135" s="2"/>
      <c r="H135" s="2">
        <v>0</v>
      </c>
      <c r="I135" s="2"/>
      <c r="J135" s="19">
        <f t="shared" si="33"/>
        <v>0</v>
      </c>
      <c r="K135" s="2"/>
      <c r="L135" s="2">
        <f t="shared" si="34"/>
        <v>0</v>
      </c>
      <c r="M135" s="2"/>
      <c r="N135" s="19">
        <f t="shared" si="35"/>
        <v>0</v>
      </c>
      <c r="O135" s="11"/>
      <c r="P135" s="2">
        <v>599.29</v>
      </c>
      <c r="Q135" s="2"/>
      <c r="R135" s="19">
        <f t="shared" si="36"/>
        <v>1.5080426669103323E-4</v>
      </c>
      <c r="S135" s="2"/>
      <c r="T135" s="2">
        <v>22098.390000000003</v>
      </c>
      <c r="U135" s="2"/>
      <c r="V135" s="19">
        <f t="shared" si="37"/>
        <v>3.1130780191498605E-3</v>
      </c>
      <c r="W135" s="2"/>
      <c r="X135" s="2">
        <f t="shared" si="38"/>
        <v>-21499.100000000002</v>
      </c>
      <c r="Y135" s="2"/>
      <c r="Z135" s="19">
        <f t="shared" si="39"/>
        <v>-0.97288082977990697</v>
      </c>
    </row>
    <row r="136" spans="1:26" s="24" customFormat="1" hidden="1" outlineLevel="1" x14ac:dyDescent="0.25">
      <c r="A136" s="44"/>
      <c r="B136" s="11" t="str">
        <f>CONCATENATE("          ", "5026", " - ", "PURCHASES @ COST-WRITING INSTR")</f>
        <v xml:space="preserve">          5026 - PURCHASES @ COST-WRITING INSTR</v>
      </c>
      <c r="C136" s="11"/>
      <c r="D136" s="2">
        <v>-5.1100000000000003</v>
      </c>
      <c r="E136" s="2"/>
      <c r="F136" s="19">
        <f t="shared" si="32"/>
        <v>-1.6322053080466503E-5</v>
      </c>
      <c r="G136" s="2"/>
      <c r="H136" s="2">
        <v>4344.2</v>
      </c>
      <c r="I136" s="2"/>
      <c r="J136" s="19">
        <f t="shared" si="33"/>
        <v>8.2198362878506404E-3</v>
      </c>
      <c r="K136" s="2"/>
      <c r="L136" s="2">
        <f t="shared" si="34"/>
        <v>-4349.3099999999995</v>
      </c>
      <c r="M136" s="2"/>
      <c r="N136" s="19">
        <f t="shared" si="35"/>
        <v>-1.0011762810183693</v>
      </c>
      <c r="O136" s="11"/>
      <c r="P136" s="2">
        <v>374.91</v>
      </c>
      <c r="Q136" s="2"/>
      <c r="R136" s="19">
        <f t="shared" si="36"/>
        <v>9.4341683700938241E-5</v>
      </c>
      <c r="S136" s="2"/>
      <c r="T136" s="2">
        <v>34294.769999999997</v>
      </c>
      <c r="U136" s="2"/>
      <c r="V136" s="19">
        <f t="shared" si="37"/>
        <v>4.8312250195059478E-3</v>
      </c>
      <c r="W136" s="2"/>
      <c r="X136" s="2">
        <f t="shared" si="38"/>
        <v>-33919.859999999993</v>
      </c>
      <c r="Y136" s="2"/>
      <c r="Z136" s="19">
        <f t="shared" si="39"/>
        <v>-0.98906801241122178</v>
      </c>
    </row>
    <row r="137" spans="1:26" s="24" customFormat="1" hidden="1" outlineLevel="1" x14ac:dyDescent="0.25">
      <c r="A137" s="44"/>
      <c r="B137" s="11" t="str">
        <f>CONCATENATE("          ", "5027", " - ", "PURCHASES @ COST-SCHOOL SUPPLI")</f>
        <v xml:space="preserve">          5027 - PURCHASES @ COST-SCHOOL SUPPLI</v>
      </c>
      <c r="C137" s="11"/>
      <c r="D137" s="2"/>
      <c r="E137" s="2"/>
      <c r="F137" s="19">
        <f t="shared" si="32"/>
        <v>0</v>
      </c>
      <c r="G137" s="2"/>
      <c r="H137" s="2">
        <v>2493.64</v>
      </c>
      <c r="I137" s="2"/>
      <c r="J137" s="19">
        <f t="shared" si="33"/>
        <v>4.7183169653413444E-3</v>
      </c>
      <c r="K137" s="2"/>
      <c r="L137" s="2">
        <f t="shared" si="34"/>
        <v>-2493.64</v>
      </c>
      <c r="M137" s="2"/>
      <c r="N137" s="19">
        <f t="shared" si="35"/>
        <v>-1</v>
      </c>
      <c r="O137" s="11"/>
      <c r="P137" s="2">
        <v>19071.350000000002</v>
      </c>
      <c r="Q137" s="2"/>
      <c r="R137" s="19">
        <f t="shared" si="36"/>
        <v>4.7990804978525203E-3</v>
      </c>
      <c r="S137" s="2"/>
      <c r="T137" s="2">
        <v>78000</v>
      </c>
      <c r="U137" s="2"/>
      <c r="V137" s="19">
        <f t="shared" si="37"/>
        <v>1.0988134678304125E-2</v>
      </c>
      <c r="W137" s="2"/>
      <c r="X137" s="2">
        <f t="shared" si="38"/>
        <v>-58928.649999999994</v>
      </c>
      <c r="Y137" s="2"/>
      <c r="Z137" s="19">
        <f t="shared" si="39"/>
        <v>-0.75549551282051275</v>
      </c>
    </row>
    <row r="138" spans="1:26" s="24" customFormat="1" hidden="1" outlineLevel="1" x14ac:dyDescent="0.25">
      <c r="A138" s="44"/>
      <c r="B138" s="11" t="str">
        <f>CONCATENATE("          ", "5028", " - ", "PURCHASES @ COST-ART/TECH")</f>
        <v xml:space="preserve">          5028 - PURCHASES @ COST-ART/TECH</v>
      </c>
      <c r="C138" s="11"/>
      <c r="D138" s="2"/>
      <c r="E138" s="2"/>
      <c r="F138" s="19">
        <f t="shared" si="32"/>
        <v>0</v>
      </c>
      <c r="G138" s="2"/>
      <c r="H138" s="2">
        <v>7730.31</v>
      </c>
      <c r="I138" s="2"/>
      <c r="J138" s="19">
        <f t="shared" si="33"/>
        <v>1.4626831788208344E-2</v>
      </c>
      <c r="K138" s="2"/>
      <c r="L138" s="2">
        <f t="shared" si="34"/>
        <v>-7730.31</v>
      </c>
      <c r="M138" s="2"/>
      <c r="N138" s="19">
        <f t="shared" si="35"/>
        <v>-1</v>
      </c>
      <c r="O138" s="11"/>
      <c r="P138" s="2">
        <v>41358.449999999997</v>
      </c>
      <c r="Q138" s="2"/>
      <c r="R138" s="19">
        <f t="shared" si="36"/>
        <v>1.0407366590011119E-2</v>
      </c>
      <c r="S138" s="2"/>
      <c r="T138" s="2">
        <v>103000.81999999999</v>
      </c>
      <c r="U138" s="2"/>
      <c r="V138" s="19">
        <f t="shared" si="37"/>
        <v>1.4510088232509757E-2</v>
      </c>
      <c r="W138" s="2"/>
      <c r="X138" s="2">
        <f t="shared" si="38"/>
        <v>-61642.369999999995</v>
      </c>
      <c r="Y138" s="2"/>
      <c r="Z138" s="19">
        <f t="shared" si="39"/>
        <v>-0.59846484717306137</v>
      </c>
    </row>
    <row r="139" spans="1:26" s="24" customFormat="1" hidden="1" outlineLevel="1" x14ac:dyDescent="0.25">
      <c r="A139" s="44"/>
      <c r="B139" s="11" t="str">
        <f>CONCATENATE("          ", "5031", " - ", "PURCHASES @ COST-FOOD")</f>
        <v xml:space="preserve">          5031 - PURCHASES @ COST-FOOD</v>
      </c>
      <c r="C139" s="11"/>
      <c r="D139" s="2">
        <v>-1260</v>
      </c>
      <c r="E139" s="2"/>
      <c r="F139" s="19">
        <f t="shared" si="32"/>
        <v>-4.0246158280602337E-3</v>
      </c>
      <c r="G139" s="2"/>
      <c r="H139" s="2">
        <v>1695.24</v>
      </c>
      <c r="I139" s="2"/>
      <c r="J139" s="19">
        <f t="shared" si="33"/>
        <v>3.2076320769338241E-3</v>
      </c>
      <c r="K139" s="2"/>
      <c r="L139" s="2">
        <f t="shared" si="34"/>
        <v>-2955.24</v>
      </c>
      <c r="M139" s="2"/>
      <c r="N139" s="19">
        <f t="shared" si="35"/>
        <v>-1.7432575918454023</v>
      </c>
      <c r="O139" s="11"/>
      <c r="P139" s="2">
        <v>7275.1</v>
      </c>
      <c r="Q139" s="2"/>
      <c r="R139" s="19">
        <f t="shared" si="36"/>
        <v>1.8306931879456289E-3</v>
      </c>
      <c r="S139" s="2"/>
      <c r="T139" s="2">
        <v>22509.73</v>
      </c>
      <c r="U139" s="2"/>
      <c r="V139" s="19">
        <f t="shared" si="37"/>
        <v>3.1710249334905476E-3</v>
      </c>
      <c r="W139" s="2"/>
      <c r="X139" s="2">
        <f t="shared" si="38"/>
        <v>-15234.63</v>
      </c>
      <c r="Y139" s="2"/>
      <c r="Z139" s="19">
        <f t="shared" si="39"/>
        <v>-0.67680198740722342</v>
      </c>
    </row>
    <row r="140" spans="1:26" s="24" customFormat="1" hidden="1" outlineLevel="1" x14ac:dyDescent="0.25">
      <c r="A140" s="44"/>
      <c r="B140" s="11" t="str">
        <f>CONCATENATE("          ", "5032", " - ", "PURCHASES @ COST-JUICE")</f>
        <v xml:space="preserve">          5032 - PURCHASES @ COST-JUICE</v>
      </c>
      <c r="C140" s="11"/>
      <c r="D140" s="2"/>
      <c r="E140" s="2"/>
      <c r="F140" s="19">
        <f t="shared" si="32"/>
        <v>0</v>
      </c>
      <c r="G140" s="2"/>
      <c r="H140" s="2">
        <v>358.99</v>
      </c>
      <c r="I140" s="2"/>
      <c r="J140" s="19">
        <f t="shared" si="33"/>
        <v>6.7925947906990959E-4</v>
      </c>
      <c r="K140" s="2"/>
      <c r="L140" s="2">
        <f t="shared" si="34"/>
        <v>-358.99</v>
      </c>
      <c r="M140" s="2"/>
      <c r="N140" s="19">
        <f t="shared" si="35"/>
        <v>-1</v>
      </c>
      <c r="O140" s="11"/>
      <c r="P140" s="2"/>
      <c r="Q140" s="2"/>
      <c r="R140" s="19">
        <f t="shared" si="36"/>
        <v>0</v>
      </c>
      <c r="S140" s="2"/>
      <c r="T140" s="2">
        <v>5021.4799999999996</v>
      </c>
      <c r="U140" s="2"/>
      <c r="V140" s="19">
        <f t="shared" si="37"/>
        <v>7.0739357082577679E-4</v>
      </c>
      <c r="W140" s="2"/>
      <c r="X140" s="2">
        <f t="shared" si="38"/>
        <v>-5021.4799999999996</v>
      </c>
      <c r="Y140" s="2"/>
      <c r="Z140" s="19">
        <f t="shared" si="39"/>
        <v>-1</v>
      </c>
    </row>
    <row r="141" spans="1:26" s="24" customFormat="1" hidden="1" outlineLevel="1" x14ac:dyDescent="0.25">
      <c r="A141" s="44"/>
      <c r="B141" s="11" t="str">
        <f>CONCATENATE("          ", "5033", " - ", "PURCHASES @ COST-CANDY")</f>
        <v xml:space="preserve">          5033 - PURCHASES @ COST-CANDY</v>
      </c>
      <c r="C141" s="11"/>
      <c r="D141" s="2"/>
      <c r="E141" s="2"/>
      <c r="F141" s="19">
        <f t="shared" si="32"/>
        <v>0</v>
      </c>
      <c r="G141" s="2"/>
      <c r="H141" s="2">
        <v>260.19</v>
      </c>
      <c r="I141" s="2"/>
      <c r="J141" s="19">
        <f t="shared" si="33"/>
        <v>4.9231600841026155E-4</v>
      </c>
      <c r="K141" s="2"/>
      <c r="L141" s="2">
        <f t="shared" si="34"/>
        <v>-260.19</v>
      </c>
      <c r="M141" s="2"/>
      <c r="N141" s="19">
        <f t="shared" si="35"/>
        <v>-1</v>
      </c>
      <c r="O141" s="11"/>
      <c r="P141" s="2"/>
      <c r="Q141" s="2"/>
      <c r="R141" s="19">
        <f t="shared" si="36"/>
        <v>0</v>
      </c>
      <c r="S141" s="2"/>
      <c r="T141" s="2">
        <v>6197.93</v>
      </c>
      <c r="U141" s="2"/>
      <c r="V141" s="19">
        <f t="shared" si="37"/>
        <v>8.7312422521412163E-4</v>
      </c>
      <c r="W141" s="2"/>
      <c r="X141" s="2">
        <f t="shared" si="38"/>
        <v>-6197.93</v>
      </c>
      <c r="Y141" s="2"/>
      <c r="Z141" s="19">
        <f t="shared" si="39"/>
        <v>-1</v>
      </c>
    </row>
    <row r="142" spans="1:26" s="24" customFormat="1" hidden="1" outlineLevel="1" x14ac:dyDescent="0.25">
      <c r="A142" s="44"/>
      <c r="B142" s="11" t="str">
        <f>CONCATENATE("          ", "5034", " - ", "PURCHASES @ COST-SODA")</f>
        <v xml:space="preserve">          5034 - PURCHASES @ COST-SODA</v>
      </c>
      <c r="C142" s="11"/>
      <c r="D142" s="2"/>
      <c r="E142" s="2"/>
      <c r="F142" s="19">
        <f t="shared" si="32"/>
        <v>0</v>
      </c>
      <c r="G142" s="2"/>
      <c r="H142" s="2">
        <v>42.24</v>
      </c>
      <c r="I142" s="2"/>
      <c r="J142" s="19">
        <f t="shared" si="33"/>
        <v>7.9924010128173435E-5</v>
      </c>
      <c r="K142" s="2"/>
      <c r="L142" s="2">
        <f t="shared" si="34"/>
        <v>-42.24</v>
      </c>
      <c r="M142" s="2"/>
      <c r="N142" s="19">
        <f t="shared" si="35"/>
        <v>-1</v>
      </c>
      <c r="O142" s="11"/>
      <c r="P142" s="2"/>
      <c r="Q142" s="2"/>
      <c r="R142" s="19">
        <f t="shared" si="36"/>
        <v>0</v>
      </c>
      <c r="S142" s="2"/>
      <c r="T142" s="2">
        <v>2124.16</v>
      </c>
      <c r="U142" s="2"/>
      <c r="V142" s="19">
        <f t="shared" si="37"/>
        <v>2.9923789946495499E-4</v>
      </c>
      <c r="W142" s="2"/>
      <c r="X142" s="2">
        <f t="shared" si="38"/>
        <v>-2124.16</v>
      </c>
      <c r="Y142" s="2"/>
      <c r="Z142" s="19">
        <f t="shared" si="39"/>
        <v>-1</v>
      </c>
    </row>
    <row r="143" spans="1:26" s="24" customFormat="1" hidden="1" outlineLevel="1" x14ac:dyDescent="0.25">
      <c r="A143" s="44"/>
      <c r="B143" s="11" t="str">
        <f>CONCATENATE("          ", "5035", " - ", "PURCHASES @ COST-HEALTH &amp; BEAU")</f>
        <v xml:space="preserve">          5035 - PURCHASES @ COST-HEALTH &amp; BEAU</v>
      </c>
      <c r="C143" s="11"/>
      <c r="D143" s="2"/>
      <c r="E143" s="2"/>
      <c r="F143" s="19">
        <f t="shared" si="32"/>
        <v>0</v>
      </c>
      <c r="G143" s="2"/>
      <c r="H143" s="2">
        <v>23.17</v>
      </c>
      <c r="I143" s="2"/>
      <c r="J143" s="19">
        <f t="shared" si="33"/>
        <v>4.3840892866235286E-5</v>
      </c>
      <c r="K143" s="2"/>
      <c r="L143" s="2">
        <f t="shared" si="34"/>
        <v>-23.17</v>
      </c>
      <c r="M143" s="2"/>
      <c r="N143" s="19">
        <f t="shared" si="35"/>
        <v>-1</v>
      </c>
      <c r="O143" s="11"/>
      <c r="P143" s="2"/>
      <c r="Q143" s="2"/>
      <c r="R143" s="19">
        <f t="shared" si="36"/>
        <v>0</v>
      </c>
      <c r="S143" s="2"/>
      <c r="T143" s="2">
        <v>824.38</v>
      </c>
      <c r="U143" s="2"/>
      <c r="V143" s="19">
        <f t="shared" si="37"/>
        <v>1.1613331366795326E-4</v>
      </c>
      <c r="W143" s="2"/>
      <c r="X143" s="2">
        <f t="shared" si="38"/>
        <v>-824.38</v>
      </c>
      <c r="Y143" s="2"/>
      <c r="Z143" s="19">
        <f t="shared" si="39"/>
        <v>-1</v>
      </c>
    </row>
    <row r="144" spans="1:26" s="24" customFormat="1" hidden="1" outlineLevel="1" x14ac:dyDescent="0.25">
      <c r="A144" s="44"/>
      <c r="B144" s="11" t="str">
        <f>CONCATENATE("          ", "5037", " - ", "PURCHASES @ COST-WATER")</f>
        <v xml:space="preserve">          5037 - PURCHASES @ COST-WATER</v>
      </c>
      <c r="C144" s="11"/>
      <c r="D144" s="2"/>
      <c r="E144" s="2"/>
      <c r="F144" s="19">
        <f t="shared" si="32"/>
        <v>0</v>
      </c>
      <c r="G144" s="2"/>
      <c r="H144" s="2">
        <v>235.9</v>
      </c>
      <c r="I144" s="2"/>
      <c r="J144" s="19">
        <f t="shared" si="33"/>
        <v>4.4635591830577919E-4</v>
      </c>
      <c r="K144" s="2"/>
      <c r="L144" s="2">
        <f t="shared" si="34"/>
        <v>-235.9</v>
      </c>
      <c r="M144" s="2"/>
      <c r="N144" s="19">
        <f t="shared" si="35"/>
        <v>-1</v>
      </c>
      <c r="O144" s="11"/>
      <c r="P144" s="2"/>
      <c r="Q144" s="2"/>
      <c r="R144" s="19">
        <f t="shared" si="36"/>
        <v>0</v>
      </c>
      <c r="S144" s="2"/>
      <c r="T144" s="2">
        <v>3759.27</v>
      </c>
      <c r="U144" s="2"/>
      <c r="V144" s="19">
        <f t="shared" si="37"/>
        <v>5.2958160323215834E-4</v>
      </c>
      <c r="W144" s="2"/>
      <c r="X144" s="2">
        <f t="shared" si="38"/>
        <v>-3759.27</v>
      </c>
      <c r="Y144" s="2"/>
      <c r="Z144" s="19">
        <f t="shared" si="39"/>
        <v>-1</v>
      </c>
    </row>
    <row r="145" spans="1:26" s="24" customFormat="1" hidden="1" outlineLevel="1" x14ac:dyDescent="0.25">
      <c r="A145" s="44"/>
      <c r="B145" s="11" t="str">
        <f>CONCATENATE("          ", "5040", " - ", "PURCHASES @ COST-LOGO CLOTHING")</f>
        <v xml:space="preserve">          5040 - PURCHASES @ COST-LOGO CLOTHING</v>
      </c>
      <c r="C145" s="11"/>
      <c r="D145" s="2">
        <v>38175.120000000003</v>
      </c>
      <c r="E145" s="2"/>
      <c r="F145" s="19">
        <f t="shared" si="32"/>
        <v>0.12193666046833238</v>
      </c>
      <c r="G145" s="2"/>
      <c r="H145" s="2">
        <v>97946.53</v>
      </c>
      <c r="I145" s="2"/>
      <c r="J145" s="19">
        <f t="shared" si="33"/>
        <v>0.18532858559989213</v>
      </c>
      <c r="K145" s="2"/>
      <c r="L145" s="2">
        <f t="shared" si="34"/>
        <v>-59771.409999999996</v>
      </c>
      <c r="M145" s="2"/>
      <c r="N145" s="19">
        <f t="shared" si="35"/>
        <v>-0.61024530424916534</v>
      </c>
      <c r="O145" s="11"/>
      <c r="P145" s="2">
        <v>132470.39999999999</v>
      </c>
      <c r="Q145" s="2"/>
      <c r="R145" s="19">
        <f t="shared" si="36"/>
        <v>3.333461517840753E-2</v>
      </c>
      <c r="S145" s="2"/>
      <c r="T145" s="2">
        <v>716238.84000000008</v>
      </c>
      <c r="U145" s="2"/>
      <c r="V145" s="19">
        <f t="shared" si="37"/>
        <v>0.10089908763785027</v>
      </c>
      <c r="W145" s="2"/>
      <c r="X145" s="2">
        <f t="shared" si="38"/>
        <v>-583768.44000000006</v>
      </c>
      <c r="Y145" s="2"/>
      <c r="Z145" s="19">
        <f t="shared" si="39"/>
        <v>-0.81504717057790388</v>
      </c>
    </row>
    <row r="146" spans="1:26" s="24" customFormat="1" hidden="1" outlineLevel="1" x14ac:dyDescent="0.25">
      <c r="A146" s="44"/>
      <c r="B146" s="11" t="str">
        <f>CONCATENATE("          ", "5041", " - ", "PURCHASES @ COST-LOGO GIFTS")</f>
        <v xml:space="preserve">          5041 - PURCHASES @ COST-LOGO GIFTS</v>
      </c>
      <c r="C146" s="11"/>
      <c r="D146" s="2">
        <v>5559.99</v>
      </c>
      <c r="E146" s="2"/>
      <c r="F146" s="19">
        <f t="shared" si="32"/>
        <v>1.775938393480684E-2</v>
      </c>
      <c r="G146" s="2"/>
      <c r="H146" s="2">
        <v>20607.12</v>
      </c>
      <c r="I146" s="2"/>
      <c r="J146" s="19">
        <f t="shared" si="33"/>
        <v>3.8991564100200882E-2</v>
      </c>
      <c r="K146" s="2"/>
      <c r="L146" s="2">
        <f t="shared" si="34"/>
        <v>-15047.13</v>
      </c>
      <c r="M146" s="2"/>
      <c r="N146" s="19">
        <f t="shared" si="35"/>
        <v>-0.73019082724805795</v>
      </c>
      <c r="O146" s="11"/>
      <c r="P146" s="2">
        <v>32201.759999999998</v>
      </c>
      <c r="Q146" s="2"/>
      <c r="R146" s="19">
        <f t="shared" si="36"/>
        <v>8.1031934505175224E-3</v>
      </c>
      <c r="S146" s="2"/>
      <c r="T146" s="2">
        <v>109403.67</v>
      </c>
      <c r="U146" s="2"/>
      <c r="V146" s="19">
        <f t="shared" si="37"/>
        <v>1.5412080259753085E-2</v>
      </c>
      <c r="W146" s="2"/>
      <c r="X146" s="2">
        <f t="shared" si="38"/>
        <v>-77201.91</v>
      </c>
      <c r="Y146" s="2"/>
      <c r="Z146" s="19">
        <f t="shared" si="39"/>
        <v>-0.70566106237569548</v>
      </c>
    </row>
    <row r="147" spans="1:26" s="24" customFormat="1" hidden="1" outlineLevel="1" x14ac:dyDescent="0.25">
      <c r="A147" s="44"/>
      <c r="B147" s="11" t="str">
        <f>CONCATENATE("          ", "5042", " - ", "PURCHASES @ COST-EVERYDAY GIFT")</f>
        <v xml:space="preserve">          5042 - PURCHASES @ COST-EVERYDAY GIFT</v>
      </c>
      <c r="C147" s="11"/>
      <c r="D147" s="2">
        <v>148.6</v>
      </c>
      <c r="E147" s="2"/>
      <c r="F147" s="19">
        <f t="shared" si="32"/>
        <v>4.7464913654742116E-4</v>
      </c>
      <c r="G147" s="2"/>
      <c r="H147" s="2">
        <v>7822.79</v>
      </c>
      <c r="I147" s="2"/>
      <c r="J147" s="19">
        <f t="shared" si="33"/>
        <v>1.4801816931595026E-2</v>
      </c>
      <c r="K147" s="2"/>
      <c r="L147" s="2">
        <f t="shared" si="34"/>
        <v>-7674.19</v>
      </c>
      <c r="M147" s="2"/>
      <c r="N147" s="19">
        <f t="shared" si="35"/>
        <v>-0.9810042197221196</v>
      </c>
      <c r="O147" s="11"/>
      <c r="P147" s="2">
        <v>11061.28</v>
      </c>
      <c r="Q147" s="2"/>
      <c r="R147" s="19">
        <f t="shared" si="36"/>
        <v>2.7834407700181754E-3</v>
      </c>
      <c r="S147" s="2"/>
      <c r="T147" s="2">
        <v>88388.11</v>
      </c>
      <c r="U147" s="2"/>
      <c r="V147" s="19">
        <f t="shared" si="37"/>
        <v>1.2451544315907176E-2</v>
      </c>
      <c r="W147" s="2"/>
      <c r="X147" s="2">
        <f t="shared" si="38"/>
        <v>-77326.83</v>
      </c>
      <c r="Y147" s="2"/>
      <c r="Z147" s="19">
        <f t="shared" si="39"/>
        <v>-0.87485556598053749</v>
      </c>
    </row>
    <row r="148" spans="1:26" s="24" customFormat="1" hidden="1" outlineLevel="1" x14ac:dyDescent="0.25">
      <c r="A148" s="44"/>
      <c r="B148" s="11" t="str">
        <f>CONCATENATE("          ", "5043", " - ", "PURCHASES @ COST-CARDS")</f>
        <v xml:space="preserve">          5043 - PURCHASES @ COST-CARDS</v>
      </c>
      <c r="C148" s="11"/>
      <c r="D148" s="2">
        <v>2448</v>
      </c>
      <c r="E148" s="2"/>
      <c r="F148" s="19">
        <f t="shared" si="32"/>
        <v>7.8192536088027391E-3</v>
      </c>
      <c r="G148" s="2"/>
      <c r="H148" s="2">
        <v>3256.15</v>
      </c>
      <c r="I148" s="2"/>
      <c r="J148" s="19">
        <f t="shared" si="33"/>
        <v>6.1610929351053959E-3</v>
      </c>
      <c r="K148" s="2"/>
      <c r="L148" s="2">
        <f t="shared" si="34"/>
        <v>-808.15000000000009</v>
      </c>
      <c r="M148" s="2"/>
      <c r="N148" s="19">
        <f t="shared" si="35"/>
        <v>-0.24819188305207071</v>
      </c>
      <c r="O148" s="11"/>
      <c r="P148" s="2">
        <v>46621.23</v>
      </c>
      <c r="Q148" s="2"/>
      <c r="R148" s="19">
        <f t="shared" si="36"/>
        <v>1.1731683162382153E-2</v>
      </c>
      <c r="S148" s="2"/>
      <c r="T148" s="2">
        <v>6784.89</v>
      </c>
      <c r="U148" s="2"/>
      <c r="V148" s="19">
        <f t="shared" si="37"/>
        <v>9.558113474035754E-4</v>
      </c>
      <c r="W148" s="2"/>
      <c r="X148" s="2">
        <f t="shared" si="38"/>
        <v>39836.340000000004</v>
      </c>
      <c r="Y148" s="2"/>
      <c r="Z148" s="19">
        <f t="shared" si="39"/>
        <v>5.8713317386133017</v>
      </c>
    </row>
    <row r="149" spans="1:26" s="24" customFormat="1" hidden="1" outlineLevel="1" x14ac:dyDescent="0.25">
      <c r="A149" s="44"/>
      <c r="B149" s="11" t="str">
        <f>CONCATENATE("          ", "5044", " - ", "PURCHASES @ COST-ACCESSORIES")</f>
        <v xml:space="preserve">          5044 - PURCHASES @ COST-ACCESSORIES</v>
      </c>
      <c r="C149" s="11"/>
      <c r="D149" s="2"/>
      <c r="E149" s="2"/>
      <c r="F149" s="19">
        <f t="shared" si="32"/>
        <v>0</v>
      </c>
      <c r="G149" s="2"/>
      <c r="H149" s="2">
        <v>432</v>
      </c>
      <c r="I149" s="2"/>
      <c r="J149" s="19">
        <f t="shared" si="33"/>
        <v>8.1740464903813745E-4</v>
      </c>
      <c r="K149" s="2"/>
      <c r="L149" s="2">
        <f t="shared" si="34"/>
        <v>-432</v>
      </c>
      <c r="M149" s="2"/>
      <c r="N149" s="19">
        <f t="shared" si="35"/>
        <v>-1</v>
      </c>
      <c r="O149" s="11"/>
      <c r="P149" s="2">
        <v>282.33</v>
      </c>
      <c r="Q149" s="2"/>
      <c r="R149" s="19">
        <f t="shared" si="36"/>
        <v>7.1045017628993326E-5</v>
      </c>
      <c r="S149" s="2"/>
      <c r="T149" s="2">
        <v>17687.580000000002</v>
      </c>
      <c r="U149" s="2"/>
      <c r="V149" s="19">
        <f t="shared" si="37"/>
        <v>2.4917116817086988E-3</v>
      </c>
      <c r="W149" s="2"/>
      <c r="X149" s="2">
        <f t="shared" si="38"/>
        <v>-17405.25</v>
      </c>
      <c r="Y149" s="2"/>
      <c r="Z149" s="19">
        <f t="shared" si="39"/>
        <v>-0.9840379520544924</v>
      </c>
    </row>
    <row r="150" spans="1:26" s="24" customFormat="1" hidden="1" outlineLevel="1" x14ac:dyDescent="0.25">
      <c r="A150" s="44"/>
      <c r="B150" s="11" t="str">
        <f>CONCATENATE("          ", "5045", " - ", "PURCHASES @ COST-SPECIAL ORDER")</f>
        <v xml:space="preserve">          5045 - PURCHASES @ COST-SPECIAL ORDER</v>
      </c>
      <c r="C150" s="11"/>
      <c r="D150" s="2">
        <v>10676.48</v>
      </c>
      <c r="E150" s="2"/>
      <c r="F150" s="19">
        <f t="shared" si="32"/>
        <v>3.4102166980927398E-2</v>
      </c>
      <c r="G150" s="2"/>
      <c r="H150" s="2">
        <v>-1045.9100000000001</v>
      </c>
      <c r="I150" s="2"/>
      <c r="J150" s="19">
        <f t="shared" si="33"/>
        <v>-1.9790085566561998E-3</v>
      </c>
      <c r="K150" s="2"/>
      <c r="L150" s="2">
        <f t="shared" si="34"/>
        <v>11722.39</v>
      </c>
      <c r="M150" s="2"/>
      <c r="N150" s="19">
        <f t="shared" si="35"/>
        <v>-11.207838150510081</v>
      </c>
      <c r="O150" s="11"/>
      <c r="P150" s="2">
        <v>87609</v>
      </c>
      <c r="Q150" s="2"/>
      <c r="R150" s="19">
        <f t="shared" si="36"/>
        <v>2.2045772498347598E-2</v>
      </c>
      <c r="S150" s="2"/>
      <c r="T150" s="2">
        <v>41180.579999999994</v>
      </c>
      <c r="U150" s="2"/>
      <c r="V150" s="19">
        <f t="shared" si="37"/>
        <v>5.8012533227009902E-3</v>
      </c>
      <c r="W150" s="2"/>
      <c r="X150" s="2">
        <f t="shared" si="38"/>
        <v>46428.420000000006</v>
      </c>
      <c r="Y150" s="2"/>
      <c r="Z150" s="19">
        <f t="shared" si="39"/>
        <v>1.1274348248616219</v>
      </c>
    </row>
    <row r="151" spans="1:26" s="24" customFormat="1" hidden="1" outlineLevel="1" x14ac:dyDescent="0.25">
      <c r="A151" s="44"/>
      <c r="B151" s="11" t="str">
        <f>CONCATENATE("          ", "5081", " - ", "PURCHASES @ COST-ELECTRONICS")</f>
        <v xml:space="preserve">          5081 - PURCHASES @ COST-ELECTRONICS</v>
      </c>
      <c r="C151" s="11"/>
      <c r="D151" s="2">
        <v>945.44</v>
      </c>
      <c r="E151" s="2"/>
      <c r="F151" s="19">
        <f t="shared" si="32"/>
        <v>3.0198672924454501E-3</v>
      </c>
      <c r="G151" s="2"/>
      <c r="H151" s="2">
        <v>3128.44</v>
      </c>
      <c r="I151" s="2"/>
      <c r="J151" s="19">
        <f t="shared" si="33"/>
        <v>5.9194476857334965E-3</v>
      </c>
      <c r="K151" s="2"/>
      <c r="L151" s="2">
        <f t="shared" si="34"/>
        <v>-2183</v>
      </c>
      <c r="M151" s="2"/>
      <c r="N151" s="19">
        <f t="shared" si="35"/>
        <v>-0.69779187070872384</v>
      </c>
      <c r="O151" s="11"/>
      <c r="P151" s="2">
        <v>25260.510000000002</v>
      </c>
      <c r="Q151" s="2"/>
      <c r="R151" s="19">
        <f t="shared" si="36"/>
        <v>6.3565096811084992E-3</v>
      </c>
      <c r="S151" s="2"/>
      <c r="T151" s="2">
        <v>189180.98</v>
      </c>
      <c r="U151" s="2"/>
      <c r="V151" s="19">
        <f t="shared" si="37"/>
        <v>2.6650590856584094E-2</v>
      </c>
      <c r="W151" s="2"/>
      <c r="X151" s="2">
        <f t="shared" si="38"/>
        <v>-163920.47</v>
      </c>
      <c r="Y151" s="2"/>
      <c r="Z151" s="19">
        <f t="shared" si="39"/>
        <v>-0.8664743675606289</v>
      </c>
    </row>
    <row r="152" spans="1:26" s="24" customFormat="1" hidden="1" outlineLevel="1" x14ac:dyDescent="0.25">
      <c r="A152" s="44"/>
      <c r="B152" s="11" t="str">
        <f>CONCATENATE("          ", "5082", " - ", "PURCHASES @ COST-COMPUTER HARD")</f>
        <v xml:space="preserve">          5082 - PURCHASES @ COST-COMPUTER HARD</v>
      </c>
      <c r="C152" s="11"/>
      <c r="D152" s="2">
        <v>20916.710000000003</v>
      </c>
      <c r="E152" s="2"/>
      <c r="F152" s="19">
        <f t="shared" si="32"/>
        <v>6.6810890584877602E-2</v>
      </c>
      <c r="G152" s="2"/>
      <c r="H152" s="2">
        <v>49932.72</v>
      </c>
      <c r="I152" s="2"/>
      <c r="J152" s="19">
        <f t="shared" si="33"/>
        <v>9.447971635907311E-2</v>
      </c>
      <c r="K152" s="2"/>
      <c r="L152" s="2">
        <f t="shared" si="34"/>
        <v>-29016.01</v>
      </c>
      <c r="M152" s="2"/>
      <c r="N152" s="19">
        <f t="shared" si="35"/>
        <v>-0.58110213102751063</v>
      </c>
      <c r="O152" s="11"/>
      <c r="P152" s="2">
        <v>980936.82000000007</v>
      </c>
      <c r="Q152" s="2"/>
      <c r="R152" s="19">
        <f t="shared" si="36"/>
        <v>0.24684119176080707</v>
      </c>
      <c r="S152" s="2"/>
      <c r="T152" s="2">
        <v>1008527.58</v>
      </c>
      <c r="U152" s="2"/>
      <c r="V152" s="19">
        <f t="shared" si="37"/>
        <v>0.14207483174133509</v>
      </c>
      <c r="W152" s="2"/>
      <c r="X152" s="2">
        <f t="shared" si="38"/>
        <v>-27590.759999999893</v>
      </c>
      <c r="Y152" s="2"/>
      <c r="Z152" s="19">
        <f t="shared" si="39"/>
        <v>-2.7357467011462289E-2</v>
      </c>
    </row>
    <row r="153" spans="1:26" s="24" customFormat="1" hidden="1" outlineLevel="1" x14ac:dyDescent="0.25">
      <c r="A153" s="44"/>
      <c r="B153" s="11" t="str">
        <f>CONCATENATE("          ", "5083", " - ", "PURCHASES @ COST-COMPUTER EQUI")</f>
        <v xml:space="preserve">          5083 - PURCHASES @ COST-COMPUTER EQUI</v>
      </c>
      <c r="C153" s="11"/>
      <c r="D153" s="2">
        <v>5833.72</v>
      </c>
      <c r="E153" s="2"/>
      <c r="F153" s="19">
        <f t="shared" si="32"/>
        <v>1.8633715752755197E-2</v>
      </c>
      <c r="G153" s="2"/>
      <c r="H153" s="2">
        <v>5662.46</v>
      </c>
      <c r="I153" s="2"/>
      <c r="J153" s="19">
        <f t="shared" si="33"/>
        <v>1.0714169280075212E-2</v>
      </c>
      <c r="K153" s="2"/>
      <c r="L153" s="2">
        <f t="shared" si="34"/>
        <v>171.26000000000022</v>
      </c>
      <c r="M153" s="2"/>
      <c r="N153" s="19">
        <f t="shared" si="35"/>
        <v>3.0244805261317557E-2</v>
      </c>
      <c r="O153" s="11"/>
      <c r="P153" s="2">
        <v>81726.840000000011</v>
      </c>
      <c r="Q153" s="2"/>
      <c r="R153" s="19">
        <f t="shared" si="36"/>
        <v>2.056559624751857E-2</v>
      </c>
      <c r="S153" s="2"/>
      <c r="T153" s="2">
        <v>54830.780000000006</v>
      </c>
      <c r="U153" s="2"/>
      <c r="V153" s="19">
        <f t="shared" si="37"/>
        <v>7.7242050661085167E-3</v>
      </c>
      <c r="W153" s="2"/>
      <c r="X153" s="2">
        <f t="shared" si="38"/>
        <v>26896.060000000005</v>
      </c>
      <c r="Y153" s="2"/>
      <c r="Z153" s="19">
        <f t="shared" si="39"/>
        <v>0.49052849512627766</v>
      </c>
    </row>
    <row r="154" spans="1:26" s="24" customFormat="1" hidden="1" outlineLevel="1" x14ac:dyDescent="0.25">
      <c r="A154" s="44"/>
      <c r="B154" s="11" t="str">
        <f>CONCATENATE("          ", "5084", " - ", "PURCHASES @ COST-SOFTWARE LICE")</f>
        <v xml:space="preserve">          5084 - PURCHASES @ COST-SOFTWARE LICE</v>
      </c>
      <c r="C154" s="11"/>
      <c r="D154" s="2"/>
      <c r="E154" s="2"/>
      <c r="F154" s="19">
        <f t="shared" si="32"/>
        <v>0</v>
      </c>
      <c r="G154" s="2"/>
      <c r="H154" s="2"/>
      <c r="I154" s="2"/>
      <c r="J154" s="19">
        <f t="shared" si="33"/>
        <v>0</v>
      </c>
      <c r="K154" s="2"/>
      <c r="L154" s="2">
        <f t="shared" si="34"/>
        <v>0</v>
      </c>
      <c r="M154" s="2"/>
      <c r="N154" s="19">
        <f t="shared" si="35"/>
        <v>0</v>
      </c>
      <c r="O154" s="11"/>
      <c r="P154" s="2"/>
      <c r="Q154" s="2"/>
      <c r="R154" s="19">
        <f t="shared" si="36"/>
        <v>0</v>
      </c>
      <c r="S154" s="2"/>
      <c r="T154" s="2">
        <v>2728</v>
      </c>
      <c r="U154" s="2"/>
      <c r="V154" s="19">
        <f t="shared" si="37"/>
        <v>3.8430296669761095E-4</v>
      </c>
      <c r="W154" s="2"/>
      <c r="X154" s="2">
        <f t="shared" si="38"/>
        <v>-2728</v>
      </c>
      <c r="Y154" s="2"/>
      <c r="Z154" s="19">
        <f t="shared" si="39"/>
        <v>-1</v>
      </c>
    </row>
    <row r="155" spans="1:26" s="24" customFormat="1" hidden="1" outlineLevel="1" x14ac:dyDescent="0.25">
      <c r="A155" s="44"/>
      <c r="B155" s="11" t="str">
        <f>CONCATENATE("          ", "5085", " - ", "PURCHASES @ COST-SOFTWARE")</f>
        <v xml:space="preserve">          5085 - PURCHASES @ COST-SOFTWARE</v>
      </c>
      <c r="C155" s="11"/>
      <c r="D155" s="2">
        <v>496.16</v>
      </c>
      <c r="E155" s="2"/>
      <c r="F155" s="19">
        <f t="shared" si="32"/>
        <v>1.5848042771828298E-3</v>
      </c>
      <c r="G155" s="2"/>
      <c r="H155" s="2">
        <v>780.26</v>
      </c>
      <c r="I155" s="2"/>
      <c r="J155" s="19">
        <f t="shared" si="33"/>
        <v>1.476361461709484E-3</v>
      </c>
      <c r="K155" s="2"/>
      <c r="L155" s="2">
        <f t="shared" si="34"/>
        <v>-284.09999999999997</v>
      </c>
      <c r="M155" s="2"/>
      <c r="N155" s="19">
        <f t="shared" si="35"/>
        <v>-0.36410939943095888</v>
      </c>
      <c r="O155" s="11"/>
      <c r="P155" s="2">
        <v>24572.080000000002</v>
      </c>
      <c r="Q155" s="2"/>
      <c r="R155" s="19">
        <f t="shared" si="36"/>
        <v>6.1832743838098492E-3</v>
      </c>
      <c r="S155" s="2"/>
      <c r="T155" s="2">
        <v>7860.66</v>
      </c>
      <c r="U155" s="2"/>
      <c r="V155" s="19">
        <f t="shared" si="37"/>
        <v>1.1073588556456168E-3</v>
      </c>
      <c r="W155" s="2"/>
      <c r="X155" s="2">
        <f t="shared" si="38"/>
        <v>16711.420000000002</v>
      </c>
      <c r="Y155" s="2"/>
      <c r="Z155" s="19">
        <f t="shared" si="39"/>
        <v>2.1259563446326393</v>
      </c>
    </row>
    <row r="156" spans="1:26" s="24" customFormat="1" hidden="1" outlineLevel="1" x14ac:dyDescent="0.25">
      <c r="A156" s="44"/>
      <c r="B156" s="11" t="str">
        <f>CONCATENATE("          ", "5086", " - ", "PURCHASES @ COST-COMPUTER SUPP")</f>
        <v xml:space="preserve">          5086 - PURCHASES @ COST-COMPUTER SUPP</v>
      </c>
      <c r="C156" s="11"/>
      <c r="D156" s="2"/>
      <c r="E156" s="2"/>
      <c r="F156" s="19">
        <f t="shared" si="32"/>
        <v>0</v>
      </c>
      <c r="G156" s="2"/>
      <c r="H156" s="2">
        <v>1560.99</v>
      </c>
      <c r="I156" s="2"/>
      <c r="J156" s="19">
        <f t="shared" si="33"/>
        <v>2.9536122294028752E-3</v>
      </c>
      <c r="K156" s="2"/>
      <c r="L156" s="2">
        <f t="shared" si="34"/>
        <v>-1560.99</v>
      </c>
      <c r="M156" s="2"/>
      <c r="N156" s="19">
        <f t="shared" si="35"/>
        <v>-1</v>
      </c>
      <c r="O156" s="11"/>
      <c r="P156" s="2">
        <v>22718.609999999997</v>
      </c>
      <c r="Q156" s="2"/>
      <c r="R156" s="19">
        <f t="shared" si="36"/>
        <v>5.7168704989063292E-3</v>
      </c>
      <c r="S156" s="2"/>
      <c r="T156" s="2">
        <v>20983.64</v>
      </c>
      <c r="U156" s="2"/>
      <c r="V156" s="19">
        <f t="shared" si="37"/>
        <v>2.9560392610390972E-3</v>
      </c>
      <c r="W156" s="2"/>
      <c r="X156" s="2">
        <f t="shared" si="38"/>
        <v>1734.9699999999975</v>
      </c>
      <c r="Y156" s="2"/>
      <c r="Z156" s="19">
        <f t="shared" si="39"/>
        <v>8.2682032288010923E-2</v>
      </c>
    </row>
    <row r="157" spans="1:26" s="24" customFormat="1" hidden="1" outlineLevel="1" x14ac:dyDescent="0.25">
      <c r="A157" s="44"/>
      <c r="B157" s="11" t="str">
        <f>CONCATENATE("          ", "5088", " - ", "PURCHASES @ COST-MUSIC")</f>
        <v xml:space="preserve">          5088 - PURCHASES @ COST-MUSIC</v>
      </c>
      <c r="C157" s="11"/>
      <c r="D157" s="2"/>
      <c r="E157" s="2"/>
      <c r="F157" s="19">
        <f t="shared" si="32"/>
        <v>0</v>
      </c>
      <c r="G157" s="2"/>
      <c r="H157" s="2"/>
      <c r="I157" s="2"/>
      <c r="J157" s="19">
        <f t="shared" si="33"/>
        <v>0</v>
      </c>
      <c r="K157" s="2"/>
      <c r="L157" s="2">
        <f t="shared" si="34"/>
        <v>0</v>
      </c>
      <c r="M157" s="2"/>
      <c r="N157" s="19">
        <f t="shared" si="35"/>
        <v>0</v>
      </c>
      <c r="O157" s="11"/>
      <c r="P157" s="2"/>
      <c r="Q157" s="2"/>
      <c r="R157" s="19">
        <f t="shared" si="36"/>
        <v>0</v>
      </c>
      <c r="S157" s="2"/>
      <c r="T157" s="2">
        <v>88.75</v>
      </c>
      <c r="U157" s="2"/>
      <c r="V157" s="19">
        <f t="shared" si="37"/>
        <v>1.2502525034608861E-5</v>
      </c>
      <c r="W157" s="2"/>
      <c r="X157" s="2">
        <f t="shared" si="38"/>
        <v>-88.75</v>
      </c>
      <c r="Y157" s="2"/>
      <c r="Z157" s="19">
        <f t="shared" si="39"/>
        <v>-1</v>
      </c>
    </row>
    <row r="158" spans="1:26" s="24" customFormat="1" hidden="1" outlineLevel="1" x14ac:dyDescent="0.25">
      <c r="A158" s="44"/>
      <c r="B158" s="11" t="str">
        <f>CONCATENATE("          ", "5092", " - ", "PURCHASES @ COST-GRAD MERCH")</f>
        <v xml:space="preserve">          5092 - PURCHASES @ COST-GRAD MERCH</v>
      </c>
      <c r="C158" s="11"/>
      <c r="D158" s="2"/>
      <c r="E158" s="2"/>
      <c r="F158" s="19">
        <f t="shared" si="32"/>
        <v>0</v>
      </c>
      <c r="G158" s="2"/>
      <c r="H158" s="2"/>
      <c r="I158" s="2"/>
      <c r="J158" s="19">
        <f t="shared" si="33"/>
        <v>0</v>
      </c>
      <c r="K158" s="2"/>
      <c r="L158" s="2">
        <f t="shared" si="34"/>
        <v>0</v>
      </c>
      <c r="M158" s="2"/>
      <c r="N158" s="19">
        <f t="shared" si="35"/>
        <v>0</v>
      </c>
      <c r="O158" s="11"/>
      <c r="P158" s="2"/>
      <c r="Q158" s="2"/>
      <c r="R158" s="19">
        <f t="shared" si="36"/>
        <v>0</v>
      </c>
      <c r="S158" s="2"/>
      <c r="T158" s="2">
        <v>1924.14</v>
      </c>
      <c r="U158" s="2"/>
      <c r="V158" s="19">
        <f t="shared" si="37"/>
        <v>2.7106037769118079E-4</v>
      </c>
      <c r="W158" s="2"/>
      <c r="X158" s="2">
        <f t="shared" si="38"/>
        <v>-1924.14</v>
      </c>
      <c r="Y158" s="2"/>
      <c r="Z158" s="19">
        <f t="shared" si="39"/>
        <v>-1</v>
      </c>
    </row>
    <row r="159" spans="1:26" s="24" customFormat="1" hidden="1" outlineLevel="1" x14ac:dyDescent="0.25">
      <c r="A159" s="44"/>
      <c r="B159" s="11" t="str">
        <f>CONCATENATE("          ", "5095", " - ", "PURCHASES @ COST-CUSTOMER SERV")</f>
        <v xml:space="preserve">          5095 - PURCHASES @ COST-CUSTOMER SERV</v>
      </c>
      <c r="C159" s="11"/>
      <c r="D159" s="2"/>
      <c r="E159" s="2"/>
      <c r="F159" s="19">
        <f t="shared" si="32"/>
        <v>0</v>
      </c>
      <c r="G159" s="2"/>
      <c r="H159" s="2"/>
      <c r="I159" s="2"/>
      <c r="J159" s="19">
        <f t="shared" si="33"/>
        <v>0</v>
      </c>
      <c r="K159" s="2"/>
      <c r="L159" s="2">
        <f t="shared" si="34"/>
        <v>0</v>
      </c>
      <c r="M159" s="2"/>
      <c r="N159" s="19">
        <f t="shared" si="35"/>
        <v>0</v>
      </c>
      <c r="O159" s="11"/>
      <c r="P159" s="2"/>
      <c r="Q159" s="2"/>
      <c r="R159" s="19">
        <f t="shared" si="36"/>
        <v>0</v>
      </c>
      <c r="S159" s="2"/>
      <c r="T159" s="2">
        <v>0</v>
      </c>
      <c r="U159" s="2"/>
      <c r="V159" s="19">
        <f t="shared" si="37"/>
        <v>0</v>
      </c>
      <c r="W159" s="2"/>
      <c r="X159" s="2">
        <f t="shared" si="38"/>
        <v>0</v>
      </c>
      <c r="Y159" s="2"/>
      <c r="Z159" s="19">
        <f t="shared" si="39"/>
        <v>0</v>
      </c>
    </row>
    <row r="160" spans="1:26" s="24" customFormat="1" hidden="1" outlineLevel="1" x14ac:dyDescent="0.25">
      <c r="A160" s="44"/>
      <c r="B160" s="11" t="str">
        <f>CONCATENATE("          ", "5200", " - ", "PURCHASES OFFSET")</f>
        <v xml:space="preserve">          5200 - PURCHASES OFFSET</v>
      </c>
      <c r="C160" s="11"/>
      <c r="D160" s="2">
        <v>-200857.41</v>
      </c>
      <c r="E160" s="2"/>
      <c r="F160" s="19">
        <f t="shared" si="32"/>
        <v>-0.64156659640411418</v>
      </c>
      <c r="G160" s="2"/>
      <c r="H160" s="2">
        <v>-422519</v>
      </c>
      <c r="I160" s="2"/>
      <c r="J160" s="19">
        <f t="shared" si="33"/>
        <v>-0.79946526598829815</v>
      </c>
      <c r="K160" s="2"/>
      <c r="L160" s="2">
        <f t="shared" si="34"/>
        <v>221661.59</v>
      </c>
      <c r="M160" s="2"/>
      <c r="N160" s="19">
        <f t="shared" si="35"/>
        <v>-0.52461922422423601</v>
      </c>
      <c r="O160" s="11"/>
      <c r="P160" s="2">
        <v>-2876672.9699999997</v>
      </c>
      <c r="Q160" s="2"/>
      <c r="R160" s="19">
        <f t="shared" si="36"/>
        <v>-0.72388085526333934</v>
      </c>
      <c r="S160" s="2"/>
      <c r="T160" s="2">
        <v>-4268163</v>
      </c>
      <c r="U160" s="2"/>
      <c r="V160" s="19">
        <f t="shared" si="37"/>
        <v>-0.60127115221736627</v>
      </c>
      <c r="W160" s="2"/>
      <c r="X160" s="2">
        <f t="shared" si="38"/>
        <v>1391490.0300000003</v>
      </c>
      <c r="Y160" s="2"/>
      <c r="Z160" s="19">
        <f t="shared" si="39"/>
        <v>-0.32601614090183534</v>
      </c>
    </row>
    <row r="161" spans="1:26" s="24" customFormat="1" hidden="1" outlineLevel="1" x14ac:dyDescent="0.25">
      <c r="A161" s="44"/>
      <c r="B161" s="11" t="str">
        <f>CONCATENATE("          ", "5300", " - ", "COG$ OFFSET")</f>
        <v xml:space="preserve">          5300 - COG$ OFFSET</v>
      </c>
      <c r="C161" s="11"/>
      <c r="D161" s="2">
        <v>208821</v>
      </c>
      <c r="E161" s="2"/>
      <c r="F161" s="19">
        <f t="shared" si="32"/>
        <v>0.6670034141518778</v>
      </c>
      <c r="G161" s="2"/>
      <c r="H161" s="2">
        <v>240738.46999999997</v>
      </c>
      <c r="I161" s="2"/>
      <c r="J161" s="19">
        <f t="shared" si="33"/>
        <v>0.45551098282483365</v>
      </c>
      <c r="K161" s="2"/>
      <c r="L161" s="2">
        <f t="shared" si="34"/>
        <v>-31917.469999999972</v>
      </c>
      <c r="M161" s="2"/>
      <c r="N161" s="19">
        <f t="shared" si="35"/>
        <v>-0.13258151054960171</v>
      </c>
      <c r="O161" s="11"/>
      <c r="P161" s="2">
        <v>2603154</v>
      </c>
      <c r="Q161" s="2"/>
      <c r="R161" s="19">
        <f t="shared" si="36"/>
        <v>0.65505302950796762</v>
      </c>
      <c r="S161" s="2"/>
      <c r="T161" s="2">
        <v>3920135.4699999997</v>
      </c>
      <c r="U161" s="2"/>
      <c r="V161" s="19">
        <f t="shared" si="37"/>
        <v>0.5522432884815005</v>
      </c>
      <c r="W161" s="2"/>
      <c r="X161" s="2">
        <f t="shared" si="38"/>
        <v>-1316981.4699999997</v>
      </c>
      <c r="Y161" s="2"/>
      <c r="Z161" s="19">
        <f t="shared" si="39"/>
        <v>-0.33595305062250819</v>
      </c>
    </row>
    <row r="162" spans="1:26" s="24" customFormat="1" hidden="1" outlineLevel="1" x14ac:dyDescent="0.25">
      <c r="A162" s="44"/>
      <c r="B162" s="11" t="str">
        <f>CONCATENATE("          ", "5500", " - ", "FREIGHT-IN")</f>
        <v xml:space="preserve">          5500 - FREIGHT-IN</v>
      </c>
      <c r="C162" s="11"/>
      <c r="D162" s="2"/>
      <c r="E162" s="2"/>
      <c r="F162" s="19">
        <f t="shared" si="32"/>
        <v>0</v>
      </c>
      <c r="G162" s="2"/>
      <c r="H162" s="2">
        <v>80</v>
      </c>
      <c r="I162" s="2"/>
      <c r="J162" s="19">
        <f t="shared" si="33"/>
        <v>1.5137123130335879E-4</v>
      </c>
      <c r="K162" s="2"/>
      <c r="L162" s="2">
        <f t="shared" si="34"/>
        <v>-80</v>
      </c>
      <c r="M162" s="2"/>
      <c r="N162" s="19">
        <f t="shared" si="35"/>
        <v>-1</v>
      </c>
      <c r="O162" s="11"/>
      <c r="P162" s="2"/>
      <c r="Q162" s="2"/>
      <c r="R162" s="19">
        <f t="shared" si="36"/>
        <v>0</v>
      </c>
      <c r="S162" s="2"/>
      <c r="T162" s="2">
        <v>115.23</v>
      </c>
      <c r="U162" s="2"/>
      <c r="V162" s="19">
        <f t="shared" si="37"/>
        <v>1.6232855884371595E-5</v>
      </c>
      <c r="W162" s="2"/>
      <c r="X162" s="2">
        <f t="shared" si="38"/>
        <v>-115.23</v>
      </c>
      <c r="Y162" s="2"/>
      <c r="Z162" s="19">
        <f t="shared" si="39"/>
        <v>-1</v>
      </c>
    </row>
    <row r="163" spans="1:26" s="24" customFormat="1" hidden="1" outlineLevel="1" x14ac:dyDescent="0.25">
      <c r="A163" s="44"/>
      <c r="B163" s="11" t="str">
        <f>CONCATENATE("          ", "5501", " - ", "FREIGHT-IN-NEW TEXT")</f>
        <v xml:space="preserve">          5501 - FREIGHT-IN-NEW TEXT</v>
      </c>
      <c r="C163" s="11"/>
      <c r="D163" s="2">
        <v>2414.77</v>
      </c>
      <c r="E163" s="2"/>
      <c r="F163" s="19">
        <f t="shared" si="32"/>
        <v>7.7131123516865161E-3</v>
      </c>
      <c r="G163" s="2"/>
      <c r="H163" s="2">
        <v>4162.3900000000003</v>
      </c>
      <c r="I163" s="2"/>
      <c r="J163" s="19">
        <f t="shared" si="33"/>
        <v>7.8758262433098452E-3</v>
      </c>
      <c r="K163" s="2"/>
      <c r="L163" s="2">
        <f t="shared" si="34"/>
        <v>-1747.6200000000003</v>
      </c>
      <c r="M163" s="2"/>
      <c r="N163" s="19">
        <f t="shared" si="35"/>
        <v>-0.41985974404128401</v>
      </c>
      <c r="O163" s="11"/>
      <c r="P163" s="2">
        <v>37463.58</v>
      </c>
      <c r="Q163" s="2"/>
      <c r="R163" s="19">
        <f t="shared" si="36"/>
        <v>9.4272684502008357E-3</v>
      </c>
      <c r="S163" s="2"/>
      <c r="T163" s="2">
        <v>38669.939999999995</v>
      </c>
      <c r="U163" s="2"/>
      <c r="V163" s="19">
        <f t="shared" si="37"/>
        <v>5.4475706246402533E-3</v>
      </c>
      <c r="W163" s="2"/>
      <c r="X163" s="2">
        <f t="shared" si="38"/>
        <v>-1206.3599999999933</v>
      </c>
      <c r="Y163" s="2"/>
      <c r="Z163" s="19">
        <f t="shared" si="39"/>
        <v>-3.1196324587004619E-2</v>
      </c>
    </row>
    <row r="164" spans="1:26" s="24" customFormat="1" hidden="1" outlineLevel="1" x14ac:dyDescent="0.25">
      <c r="A164" s="44"/>
      <c r="B164" s="11" t="str">
        <f>CONCATENATE("          ", "5502", " - ", "FREIGHT-IN-USED TEXT")</f>
        <v xml:space="preserve">          5502 - FREIGHT-IN-USED TEXT</v>
      </c>
      <c r="C164" s="11"/>
      <c r="D164" s="2">
        <v>2389.48</v>
      </c>
      <c r="E164" s="2"/>
      <c r="F164" s="19">
        <f t="shared" si="32"/>
        <v>7.6323325625661641E-3</v>
      </c>
      <c r="G164" s="2"/>
      <c r="H164" s="2">
        <v>563.29999999999995</v>
      </c>
      <c r="I164" s="2"/>
      <c r="J164" s="19">
        <f t="shared" si="33"/>
        <v>1.0658426824147749E-3</v>
      </c>
      <c r="K164" s="2"/>
      <c r="L164" s="2">
        <f t="shared" si="34"/>
        <v>1826.18</v>
      </c>
      <c r="M164" s="2"/>
      <c r="N164" s="19">
        <f t="shared" si="35"/>
        <v>3.2419314752352215</v>
      </c>
      <c r="O164" s="11"/>
      <c r="P164" s="2">
        <v>13522.57</v>
      </c>
      <c r="Q164" s="2"/>
      <c r="R164" s="19">
        <f t="shared" si="36"/>
        <v>3.4027953955984001E-3</v>
      </c>
      <c r="S164" s="2"/>
      <c r="T164" s="2">
        <v>7653.42</v>
      </c>
      <c r="U164" s="2"/>
      <c r="V164" s="19">
        <f t="shared" si="37"/>
        <v>1.0781642270464918E-3</v>
      </c>
      <c r="W164" s="2"/>
      <c r="X164" s="2">
        <f t="shared" si="38"/>
        <v>5869.15</v>
      </c>
      <c r="Y164" s="2"/>
      <c r="Z164" s="19">
        <f t="shared" si="39"/>
        <v>0.76686631597377375</v>
      </c>
    </row>
    <row r="165" spans="1:26" s="24" customFormat="1" hidden="1" outlineLevel="1" x14ac:dyDescent="0.25">
      <c r="A165" s="44"/>
      <c r="B165" s="11" t="str">
        <f>CONCATENATE("          ", "5504", " - ", "FREIGHT-IN-DIGITAL TEXT")</f>
        <v xml:space="preserve">          5504 - FREIGHT-IN-DIGITAL TEXT</v>
      </c>
      <c r="C165" s="11"/>
      <c r="D165" s="2"/>
      <c r="E165" s="2"/>
      <c r="F165" s="19">
        <f t="shared" si="32"/>
        <v>0</v>
      </c>
      <c r="G165" s="2"/>
      <c r="H165" s="2"/>
      <c r="I165" s="2"/>
      <c r="J165" s="19">
        <f t="shared" si="33"/>
        <v>0</v>
      </c>
      <c r="K165" s="2"/>
      <c r="L165" s="2">
        <f t="shared" si="34"/>
        <v>0</v>
      </c>
      <c r="M165" s="2"/>
      <c r="N165" s="19">
        <f t="shared" si="35"/>
        <v>0</v>
      </c>
      <c r="O165" s="11"/>
      <c r="P165" s="2">
        <v>21.98</v>
      </c>
      <c r="Q165" s="2"/>
      <c r="R165" s="19">
        <f t="shared" si="36"/>
        <v>5.5310079959100111E-6</v>
      </c>
      <c r="S165" s="2"/>
      <c r="T165" s="2">
        <v>105.97</v>
      </c>
      <c r="U165" s="2"/>
      <c r="V165" s="19">
        <f t="shared" si="37"/>
        <v>1.4928367075126771E-5</v>
      </c>
      <c r="W165" s="2"/>
      <c r="X165" s="2">
        <f t="shared" si="38"/>
        <v>-83.99</v>
      </c>
      <c r="Y165" s="2"/>
      <c r="Z165" s="19">
        <f t="shared" si="39"/>
        <v>-0.79258280645465695</v>
      </c>
    </row>
    <row r="166" spans="1:26" s="24" customFormat="1" hidden="1" outlineLevel="1" x14ac:dyDescent="0.25">
      <c r="A166" s="44"/>
      <c r="B166" s="11" t="str">
        <f>CONCATENATE("          ", "5513", " - ", "FREIGHT-IN-TRADE BOOKS")</f>
        <v xml:space="preserve">          5513 - FREIGHT-IN-TRADE BOOKS</v>
      </c>
      <c r="C166" s="11"/>
      <c r="D166" s="2"/>
      <c r="E166" s="2"/>
      <c r="F166" s="19">
        <f t="shared" si="32"/>
        <v>0</v>
      </c>
      <c r="G166" s="2"/>
      <c r="H166" s="2">
        <v>9.08</v>
      </c>
      <c r="I166" s="2"/>
      <c r="J166" s="19">
        <f t="shared" si="33"/>
        <v>1.7180634752931221E-5</v>
      </c>
      <c r="K166" s="2"/>
      <c r="L166" s="2">
        <f t="shared" si="34"/>
        <v>-9.08</v>
      </c>
      <c r="M166" s="2"/>
      <c r="N166" s="19">
        <f t="shared" si="35"/>
        <v>-1</v>
      </c>
      <c r="O166" s="11"/>
      <c r="P166" s="2">
        <v>26.46</v>
      </c>
      <c r="Q166" s="2"/>
      <c r="R166" s="19">
        <f t="shared" si="36"/>
        <v>6.6583472052674662E-6</v>
      </c>
      <c r="S166" s="2"/>
      <c r="T166" s="2">
        <v>21.41</v>
      </c>
      <c r="U166" s="2"/>
      <c r="V166" s="19">
        <f t="shared" si="37"/>
        <v>3.0161020956729654E-6</v>
      </c>
      <c r="W166" s="2"/>
      <c r="X166" s="2">
        <f t="shared" si="38"/>
        <v>5.0500000000000007</v>
      </c>
      <c r="Y166" s="2"/>
      <c r="Z166" s="19">
        <f t="shared" si="39"/>
        <v>0.23587108827650632</v>
      </c>
    </row>
    <row r="167" spans="1:26" s="24" customFormat="1" hidden="1" outlineLevel="1" x14ac:dyDescent="0.25">
      <c r="A167" s="44"/>
      <c r="B167" s="11" t="str">
        <f>CONCATENATE("          ", "5518", " - ", "FREIGHT-IN-STUDY GUIDES")</f>
        <v xml:space="preserve">          5518 - FREIGHT-IN-STUDY GUIDES</v>
      </c>
      <c r="C167" s="11"/>
      <c r="D167" s="2"/>
      <c r="E167" s="2"/>
      <c r="F167" s="19">
        <f t="shared" si="32"/>
        <v>0</v>
      </c>
      <c r="G167" s="2"/>
      <c r="H167" s="2">
        <v>8.8699999999999992</v>
      </c>
      <c r="I167" s="2"/>
      <c r="J167" s="19">
        <f t="shared" si="33"/>
        <v>1.6783285270759904E-5</v>
      </c>
      <c r="K167" s="2"/>
      <c r="L167" s="2">
        <f t="shared" si="34"/>
        <v>-8.8699999999999992</v>
      </c>
      <c r="M167" s="2"/>
      <c r="N167" s="19">
        <f t="shared" si="35"/>
        <v>-1</v>
      </c>
      <c r="O167" s="11"/>
      <c r="P167" s="2"/>
      <c r="Q167" s="2"/>
      <c r="R167" s="19">
        <f t="shared" si="36"/>
        <v>0</v>
      </c>
      <c r="S167" s="2"/>
      <c r="T167" s="2">
        <v>21.13</v>
      </c>
      <c r="U167" s="2"/>
      <c r="V167" s="19">
        <f t="shared" si="37"/>
        <v>2.976657509648284E-6</v>
      </c>
      <c r="W167" s="2"/>
      <c r="X167" s="2">
        <f t="shared" si="38"/>
        <v>-21.13</v>
      </c>
      <c r="Y167" s="2"/>
      <c r="Z167" s="19">
        <f t="shared" si="39"/>
        <v>-1</v>
      </c>
    </row>
    <row r="168" spans="1:26" s="24" customFormat="1" hidden="1" outlineLevel="1" x14ac:dyDescent="0.25">
      <c r="A168" s="44"/>
      <c r="B168" s="11" t="str">
        <f>CONCATENATE("          ", "5525", " - ", "FREIGHT-IN-TEST FORMS")</f>
        <v xml:space="preserve">          5525 - FREIGHT-IN-TEST FORMS</v>
      </c>
      <c r="C168" s="11"/>
      <c r="D168" s="2"/>
      <c r="E168" s="2"/>
      <c r="F168" s="19">
        <f t="shared" si="32"/>
        <v>0</v>
      </c>
      <c r="G168" s="2"/>
      <c r="H168" s="2">
        <v>247.49</v>
      </c>
      <c r="I168" s="2"/>
      <c r="J168" s="19">
        <f t="shared" si="33"/>
        <v>4.6828582544085329E-4</v>
      </c>
      <c r="K168" s="2"/>
      <c r="L168" s="2">
        <f t="shared" si="34"/>
        <v>-247.49</v>
      </c>
      <c r="M168" s="2"/>
      <c r="N168" s="19">
        <f t="shared" si="35"/>
        <v>-1</v>
      </c>
      <c r="O168" s="11"/>
      <c r="P168" s="2">
        <v>48.14</v>
      </c>
      <c r="Q168" s="2"/>
      <c r="R168" s="19">
        <f t="shared" si="36"/>
        <v>1.2113863736265147E-5</v>
      </c>
      <c r="S168" s="2"/>
      <c r="T168" s="2">
        <v>622.41</v>
      </c>
      <c r="U168" s="2"/>
      <c r="V168" s="19">
        <f t="shared" si="37"/>
        <v>8.7681088527221418E-5</v>
      </c>
      <c r="W168" s="2"/>
      <c r="X168" s="2">
        <f t="shared" si="38"/>
        <v>-574.27</v>
      </c>
      <c r="Y168" s="2"/>
      <c r="Z168" s="19">
        <f t="shared" si="39"/>
        <v>-0.92265548432705136</v>
      </c>
    </row>
    <row r="169" spans="1:26" s="24" customFormat="1" hidden="1" outlineLevel="1" x14ac:dyDescent="0.25">
      <c r="A169" s="44"/>
      <c r="B169" s="11" t="str">
        <f>CONCATENATE("          ", "5526", " - ", "FREIGHT-IN-WRITING INSTRUMENTS")</f>
        <v xml:space="preserve">          5526 - FREIGHT-IN-WRITING INSTRUMENTS</v>
      </c>
      <c r="C169" s="11"/>
      <c r="D169" s="2"/>
      <c r="E169" s="2"/>
      <c r="F169" s="19">
        <f t="shared" si="32"/>
        <v>0</v>
      </c>
      <c r="G169" s="2"/>
      <c r="H169" s="2">
        <v>42.86</v>
      </c>
      <c r="I169" s="2"/>
      <c r="J169" s="19">
        <f t="shared" si="33"/>
        <v>8.1097137170774467E-5</v>
      </c>
      <c r="K169" s="2"/>
      <c r="L169" s="2">
        <f t="shared" si="34"/>
        <v>-42.86</v>
      </c>
      <c r="M169" s="2"/>
      <c r="N169" s="19">
        <f t="shared" si="35"/>
        <v>-1</v>
      </c>
      <c r="O169" s="11"/>
      <c r="P169" s="2"/>
      <c r="Q169" s="2"/>
      <c r="R169" s="19">
        <f t="shared" si="36"/>
        <v>0</v>
      </c>
      <c r="S169" s="2"/>
      <c r="T169" s="2">
        <v>260.35000000000002</v>
      </c>
      <c r="U169" s="2"/>
      <c r="V169" s="19">
        <f t="shared" si="37"/>
        <v>3.667642132687794E-5</v>
      </c>
      <c r="W169" s="2"/>
      <c r="X169" s="2">
        <f t="shared" si="38"/>
        <v>-260.35000000000002</v>
      </c>
      <c r="Y169" s="2"/>
      <c r="Z169" s="19">
        <f t="shared" si="39"/>
        <v>-1</v>
      </c>
    </row>
    <row r="170" spans="1:26" s="24" customFormat="1" hidden="1" outlineLevel="1" x14ac:dyDescent="0.25">
      <c r="A170" s="44"/>
      <c r="B170" s="11" t="str">
        <f>CONCATENATE("          ", "5527", " - ", "FREIGHT-IN-SCHOOL SUPPLIES")</f>
        <v xml:space="preserve">          5527 - FREIGHT-IN-SCHOOL SUPPLIES</v>
      </c>
      <c r="C170" s="11"/>
      <c r="D170" s="2">
        <v>121.5</v>
      </c>
      <c r="E170" s="2"/>
      <c r="F170" s="19">
        <f t="shared" si="32"/>
        <v>3.8808795484866537E-4</v>
      </c>
      <c r="G170" s="2"/>
      <c r="H170" s="2">
        <v>25.34</v>
      </c>
      <c r="I170" s="2"/>
      <c r="J170" s="19">
        <f t="shared" si="33"/>
        <v>4.7946837515338892E-5</v>
      </c>
      <c r="K170" s="2"/>
      <c r="L170" s="2">
        <f t="shared" si="34"/>
        <v>96.16</v>
      </c>
      <c r="M170" s="2"/>
      <c r="N170" s="19">
        <f t="shared" si="35"/>
        <v>3.7947908445146012</v>
      </c>
      <c r="O170" s="11"/>
      <c r="P170" s="2">
        <v>177.5</v>
      </c>
      <c r="Q170" s="2"/>
      <c r="R170" s="19">
        <f t="shared" si="36"/>
        <v>4.4665783406461643E-5</v>
      </c>
      <c r="S170" s="2"/>
      <c r="T170" s="2">
        <v>897.92</v>
      </c>
      <c r="U170" s="2"/>
      <c r="V170" s="19">
        <f t="shared" si="37"/>
        <v>1.2649315244029282E-4</v>
      </c>
      <c r="W170" s="2"/>
      <c r="X170" s="2">
        <f t="shared" si="38"/>
        <v>-720.42</v>
      </c>
      <c r="Y170" s="2"/>
      <c r="Z170" s="19">
        <f t="shared" si="39"/>
        <v>-0.80232091945830364</v>
      </c>
    </row>
    <row r="171" spans="1:26" s="24" customFormat="1" hidden="1" outlineLevel="1" x14ac:dyDescent="0.25">
      <c r="A171" s="44"/>
      <c r="B171" s="11" t="str">
        <f>CONCATENATE("          ", "5528", " - ", "FREIGHT-IN-ART/TECH")</f>
        <v xml:space="preserve">          5528 - FREIGHT-IN-ART/TECH</v>
      </c>
      <c r="C171" s="11"/>
      <c r="D171" s="2">
        <v>4.29</v>
      </c>
      <c r="E171" s="2"/>
      <c r="F171" s="19">
        <f t="shared" si="32"/>
        <v>1.3702858652681272E-5</v>
      </c>
      <c r="G171" s="2"/>
      <c r="H171" s="2">
        <v>187.14</v>
      </c>
      <c r="I171" s="2"/>
      <c r="J171" s="19">
        <f t="shared" si="33"/>
        <v>3.5409515282638199E-4</v>
      </c>
      <c r="K171" s="2"/>
      <c r="L171" s="2">
        <f t="shared" si="34"/>
        <v>-182.85</v>
      </c>
      <c r="M171" s="2"/>
      <c r="N171" s="19">
        <f t="shared" si="35"/>
        <v>-0.97707598589291444</v>
      </c>
      <c r="O171" s="11"/>
      <c r="P171" s="2">
        <v>290.20999999999998</v>
      </c>
      <c r="Q171" s="2"/>
      <c r="R171" s="19">
        <f t="shared" si="36"/>
        <v>7.3027926774023847E-5</v>
      </c>
      <c r="S171" s="2"/>
      <c r="T171" s="2">
        <v>1110.6400000000001</v>
      </c>
      <c r="U171" s="2"/>
      <c r="V171" s="19">
        <f t="shared" si="37"/>
        <v>1.5645976793732941E-4</v>
      </c>
      <c r="W171" s="2"/>
      <c r="X171" s="2">
        <f t="shared" si="38"/>
        <v>-820.43000000000006</v>
      </c>
      <c r="Y171" s="2"/>
      <c r="Z171" s="19">
        <f t="shared" si="39"/>
        <v>-0.7387002088885688</v>
      </c>
    </row>
    <row r="172" spans="1:26" s="24" customFormat="1" hidden="1" outlineLevel="1" x14ac:dyDescent="0.25">
      <c r="A172" s="44"/>
      <c r="B172" s="11" t="str">
        <f>CONCATENATE("          ", "5540", " - ", "FREIGHT-IN-LOGO CLOTHING")</f>
        <v xml:space="preserve">          5540 - FREIGHT-IN-LOGO CLOTHING</v>
      </c>
      <c r="C172" s="11"/>
      <c r="D172" s="2">
        <v>907.48</v>
      </c>
      <c r="E172" s="2"/>
      <c r="F172" s="19">
        <f t="shared" si="32"/>
        <v>2.8986177552762704E-3</v>
      </c>
      <c r="G172" s="2"/>
      <c r="H172" s="2">
        <v>4036.06</v>
      </c>
      <c r="I172" s="2"/>
      <c r="J172" s="19">
        <f t="shared" si="33"/>
        <v>7.6367921476779279E-3</v>
      </c>
      <c r="K172" s="2"/>
      <c r="L172" s="2">
        <f t="shared" si="34"/>
        <v>-3128.58</v>
      </c>
      <c r="M172" s="2"/>
      <c r="N172" s="19">
        <f t="shared" si="35"/>
        <v>-0.77515696000555001</v>
      </c>
      <c r="O172" s="11"/>
      <c r="P172" s="2">
        <v>5442.96</v>
      </c>
      <c r="Q172" s="2"/>
      <c r="R172" s="19">
        <f t="shared" si="36"/>
        <v>1.3696567461973775E-3</v>
      </c>
      <c r="S172" s="2"/>
      <c r="T172" s="2">
        <v>24277.390000000003</v>
      </c>
      <c r="U172" s="2"/>
      <c r="V172" s="19">
        <f t="shared" si="37"/>
        <v>3.4200414225347927E-3</v>
      </c>
      <c r="W172" s="2"/>
      <c r="X172" s="2">
        <f t="shared" si="38"/>
        <v>-18834.430000000004</v>
      </c>
      <c r="Y172" s="2"/>
      <c r="Z172" s="19">
        <f t="shared" si="39"/>
        <v>-0.77580127023539192</v>
      </c>
    </row>
    <row r="173" spans="1:26" s="24" customFormat="1" hidden="1" outlineLevel="1" x14ac:dyDescent="0.25">
      <c r="A173" s="44"/>
      <c r="B173" s="11" t="str">
        <f>CONCATENATE("          ", "5541", " - ", "FREIGHT-IN-LOGO GIFTS")</f>
        <v xml:space="preserve">          5541 - FREIGHT-IN-LOGO GIFTS</v>
      </c>
      <c r="C173" s="11"/>
      <c r="D173" s="2">
        <v>84.07</v>
      </c>
      <c r="E173" s="2"/>
      <c r="F173" s="19">
        <f t="shared" si="32"/>
        <v>2.6853131163890779E-4</v>
      </c>
      <c r="G173" s="2"/>
      <c r="H173" s="2">
        <v>709.94</v>
      </c>
      <c r="I173" s="2"/>
      <c r="J173" s="19">
        <f t="shared" si="33"/>
        <v>1.3433061493938318E-3</v>
      </c>
      <c r="K173" s="2"/>
      <c r="L173" s="2">
        <f t="shared" si="34"/>
        <v>-625.87000000000012</v>
      </c>
      <c r="M173" s="2"/>
      <c r="N173" s="19">
        <f t="shared" si="35"/>
        <v>-0.88158154210214956</v>
      </c>
      <c r="O173" s="11"/>
      <c r="P173" s="2">
        <v>1519.94</v>
      </c>
      <c r="Q173" s="2"/>
      <c r="R173" s="19">
        <f t="shared" si="36"/>
        <v>3.8247499059615388E-4</v>
      </c>
      <c r="S173" s="2"/>
      <c r="T173" s="2">
        <v>3562.77</v>
      </c>
      <c r="U173" s="2"/>
      <c r="V173" s="19">
        <f t="shared" si="37"/>
        <v>5.0189995625412296E-4</v>
      </c>
      <c r="W173" s="2"/>
      <c r="X173" s="2">
        <f t="shared" si="38"/>
        <v>-2042.83</v>
      </c>
      <c r="Y173" s="2"/>
      <c r="Z173" s="19">
        <f t="shared" si="39"/>
        <v>-0.57338250855373762</v>
      </c>
    </row>
    <row r="174" spans="1:26" s="24" customFormat="1" hidden="1" outlineLevel="1" x14ac:dyDescent="0.25">
      <c r="A174" s="44"/>
      <c r="B174" s="11" t="str">
        <f>CONCATENATE("          ", "5542", " - ", "FREIGHT-IN-EVERYDAY GIFTS")</f>
        <v xml:space="preserve">          5542 - FREIGHT-IN-EVERYDAY GIFTS</v>
      </c>
      <c r="C174" s="11"/>
      <c r="D174" s="2"/>
      <c r="E174" s="2"/>
      <c r="F174" s="19">
        <f t="shared" si="32"/>
        <v>0</v>
      </c>
      <c r="G174" s="2"/>
      <c r="H174" s="2">
        <v>194.82</v>
      </c>
      <c r="I174" s="2"/>
      <c r="J174" s="19">
        <f t="shared" si="33"/>
        <v>3.6862679103150445E-4</v>
      </c>
      <c r="K174" s="2"/>
      <c r="L174" s="2">
        <f t="shared" si="34"/>
        <v>-194.82</v>
      </c>
      <c r="M174" s="2"/>
      <c r="N174" s="19">
        <f t="shared" si="35"/>
        <v>-1</v>
      </c>
      <c r="O174" s="11"/>
      <c r="P174" s="2">
        <v>196.55</v>
      </c>
      <c r="Q174" s="2"/>
      <c r="R174" s="19">
        <f t="shared" si="36"/>
        <v>4.9459491428394575E-5</v>
      </c>
      <c r="S174" s="2"/>
      <c r="T174" s="2">
        <v>1708.33</v>
      </c>
      <c r="U174" s="2"/>
      <c r="V174" s="19">
        <f t="shared" si="37"/>
        <v>2.406584630126575E-4</v>
      </c>
      <c r="W174" s="2"/>
      <c r="X174" s="2">
        <f t="shared" si="38"/>
        <v>-1511.78</v>
      </c>
      <c r="Y174" s="2"/>
      <c r="Z174" s="19">
        <f t="shared" si="39"/>
        <v>-0.88494611696803316</v>
      </c>
    </row>
    <row r="175" spans="1:26" s="24" customFormat="1" hidden="1" outlineLevel="1" x14ac:dyDescent="0.25">
      <c r="A175" s="44"/>
      <c r="B175" s="11" t="str">
        <f>CONCATENATE("          ", "5543", " - ", "FREIGHT-IN-CARDS")</f>
        <v xml:space="preserve">          5543 - FREIGHT-IN-CARDS</v>
      </c>
      <c r="C175" s="11"/>
      <c r="D175" s="2">
        <v>605.41</v>
      </c>
      <c r="E175" s="2"/>
      <c r="F175" s="19">
        <f t="shared" si="32"/>
        <v>1.9337640225920204E-3</v>
      </c>
      <c r="G175" s="2"/>
      <c r="H175" s="2">
        <v>77.760000000000005</v>
      </c>
      <c r="I175" s="2"/>
      <c r="J175" s="19">
        <f t="shared" si="33"/>
        <v>1.4713283682686473E-4</v>
      </c>
      <c r="K175" s="2"/>
      <c r="L175" s="2">
        <f t="shared" si="34"/>
        <v>527.65</v>
      </c>
      <c r="M175" s="2"/>
      <c r="N175" s="19">
        <f t="shared" si="35"/>
        <v>6.7856224279835384</v>
      </c>
      <c r="O175" s="11"/>
      <c r="P175" s="2">
        <v>7117.72</v>
      </c>
      <c r="Q175" s="2"/>
      <c r="R175" s="19">
        <f t="shared" si="36"/>
        <v>1.7910903654526208E-3</v>
      </c>
      <c r="S175" s="2"/>
      <c r="T175" s="2">
        <v>121.35</v>
      </c>
      <c r="U175" s="2"/>
      <c r="V175" s="19">
        <f t="shared" si="37"/>
        <v>1.7095001836053917E-5</v>
      </c>
      <c r="W175" s="2"/>
      <c r="X175" s="2">
        <f t="shared" si="38"/>
        <v>6996.37</v>
      </c>
      <c r="Y175" s="2"/>
      <c r="Z175" s="19">
        <f t="shared" si="39"/>
        <v>57.654470539761022</v>
      </c>
    </row>
    <row r="176" spans="1:26" s="24" customFormat="1" hidden="1" outlineLevel="1" x14ac:dyDescent="0.25">
      <c r="A176" s="44"/>
      <c r="B176" s="11" t="str">
        <f>CONCATENATE("          ", "5544", " - ", "FREIGHT-IN-ACCESSORIES")</f>
        <v xml:space="preserve">          5544 - FREIGHT-IN-ACCESSORIES</v>
      </c>
      <c r="C176" s="11"/>
      <c r="D176" s="2"/>
      <c r="E176" s="2"/>
      <c r="F176" s="19">
        <f t="shared" si="32"/>
        <v>0</v>
      </c>
      <c r="G176" s="2"/>
      <c r="H176" s="2">
        <v>28.4</v>
      </c>
      <c r="I176" s="2"/>
      <c r="J176" s="19">
        <f t="shared" si="33"/>
        <v>5.3736787112692361E-5</v>
      </c>
      <c r="K176" s="2"/>
      <c r="L176" s="2">
        <f t="shared" si="34"/>
        <v>-28.4</v>
      </c>
      <c r="M176" s="2"/>
      <c r="N176" s="19">
        <f t="shared" si="35"/>
        <v>-1</v>
      </c>
      <c r="O176" s="11"/>
      <c r="P176" s="2"/>
      <c r="Q176" s="2"/>
      <c r="R176" s="19">
        <f t="shared" si="36"/>
        <v>0</v>
      </c>
      <c r="S176" s="2"/>
      <c r="T176" s="2">
        <v>442.31</v>
      </c>
      <c r="U176" s="2"/>
      <c r="V176" s="19">
        <f t="shared" si="37"/>
        <v>6.230976730206023E-5</v>
      </c>
      <c r="W176" s="2"/>
      <c r="X176" s="2">
        <f t="shared" si="38"/>
        <v>-442.31</v>
      </c>
      <c r="Y176" s="2"/>
      <c r="Z176" s="19">
        <f t="shared" si="39"/>
        <v>-1</v>
      </c>
    </row>
    <row r="177" spans="1:26" s="24" customFormat="1" hidden="1" outlineLevel="1" x14ac:dyDescent="0.25">
      <c r="A177" s="44"/>
      <c r="B177" s="11" t="str">
        <f>CONCATENATE("          ", "5545", " - ", "FREIGHT-IN-SPECIAL ORDERS")</f>
        <v xml:space="preserve">          5545 - FREIGHT-IN-SPECIAL ORDERS</v>
      </c>
      <c r="C177" s="11"/>
      <c r="D177" s="2">
        <v>225.93</v>
      </c>
      <c r="E177" s="2"/>
      <c r="F177" s="19">
        <f t="shared" si="32"/>
        <v>7.216519476457528E-4</v>
      </c>
      <c r="G177" s="2"/>
      <c r="H177" s="2">
        <v>322.61</v>
      </c>
      <c r="I177" s="2"/>
      <c r="J177" s="19">
        <f t="shared" si="33"/>
        <v>6.1042341163470724E-4</v>
      </c>
      <c r="K177" s="2"/>
      <c r="L177" s="2">
        <f t="shared" si="34"/>
        <v>-96.68</v>
      </c>
      <c r="M177" s="2"/>
      <c r="N177" s="19">
        <f t="shared" si="35"/>
        <v>-0.29968072905365611</v>
      </c>
      <c r="O177" s="11"/>
      <c r="P177" s="2">
        <v>1113.79</v>
      </c>
      <c r="Q177" s="2"/>
      <c r="R177" s="19">
        <f t="shared" si="36"/>
        <v>2.8027212901567838E-4</v>
      </c>
      <c r="S177" s="2"/>
      <c r="T177" s="2">
        <v>827.67</v>
      </c>
      <c r="U177" s="2"/>
      <c r="V177" s="19">
        <f t="shared" si="37"/>
        <v>1.1659678755374327E-4</v>
      </c>
      <c r="W177" s="2"/>
      <c r="X177" s="2">
        <f t="shared" si="38"/>
        <v>286.12</v>
      </c>
      <c r="Y177" s="2"/>
      <c r="Z177" s="19">
        <f t="shared" si="39"/>
        <v>0.34569333188348017</v>
      </c>
    </row>
    <row r="178" spans="1:26" s="24" customFormat="1" hidden="1" outlineLevel="1" x14ac:dyDescent="0.25">
      <c r="A178" s="44"/>
      <c r="B178" s="11" t="str">
        <f>CONCATENATE("          ", "5581", " - ", "FREIGHT-IN-ELECTRONICS")</f>
        <v xml:space="preserve">          5581 - FREIGHT-IN-ELECTRONICS</v>
      </c>
      <c r="C178" s="11"/>
      <c r="D178" s="2">
        <v>31</v>
      </c>
      <c r="E178" s="2"/>
      <c r="F178" s="19">
        <f t="shared" si="32"/>
        <v>9.9018325928466067E-5</v>
      </c>
      <c r="G178" s="2"/>
      <c r="H178" s="2"/>
      <c r="I178" s="2"/>
      <c r="J178" s="19">
        <f t="shared" si="33"/>
        <v>0</v>
      </c>
      <c r="K178" s="2"/>
      <c r="L178" s="2">
        <f t="shared" si="34"/>
        <v>31</v>
      </c>
      <c r="M178" s="2"/>
      <c r="N178" s="19">
        <f t="shared" si="35"/>
        <v>0</v>
      </c>
      <c r="O178" s="11"/>
      <c r="P178" s="2">
        <v>31</v>
      </c>
      <c r="Q178" s="2"/>
      <c r="R178" s="19">
        <f t="shared" si="36"/>
        <v>7.8007847076073866E-6</v>
      </c>
      <c r="S178" s="2"/>
      <c r="T178" s="2">
        <v>105.75</v>
      </c>
      <c r="U178" s="2"/>
      <c r="V178" s="19">
        <f t="shared" si="37"/>
        <v>1.4897374900393093E-5</v>
      </c>
      <c r="W178" s="2"/>
      <c r="X178" s="2">
        <f t="shared" si="38"/>
        <v>-74.75</v>
      </c>
      <c r="Y178" s="2"/>
      <c r="Z178" s="19">
        <f t="shared" si="39"/>
        <v>-0.70685579196217496</v>
      </c>
    </row>
    <row r="179" spans="1:26" s="24" customFormat="1" hidden="1" outlineLevel="1" x14ac:dyDescent="0.25">
      <c r="A179" s="44"/>
      <c r="B179" s="11" t="str">
        <f>CONCATENATE("          ", "5582", " - ", "FREIGHT-IN-COMPUTER HARDWARE")</f>
        <v xml:space="preserve">          5582 - FREIGHT-IN-COMPUTER HARDWARE</v>
      </c>
      <c r="C179" s="11"/>
      <c r="D179" s="2"/>
      <c r="E179" s="2"/>
      <c r="F179" s="19">
        <f t="shared" si="32"/>
        <v>0</v>
      </c>
      <c r="G179" s="2"/>
      <c r="H179" s="2"/>
      <c r="I179" s="2"/>
      <c r="J179" s="19">
        <f t="shared" si="33"/>
        <v>0</v>
      </c>
      <c r="K179" s="2"/>
      <c r="L179" s="2">
        <f t="shared" si="34"/>
        <v>0</v>
      </c>
      <c r="M179" s="2"/>
      <c r="N179" s="19">
        <f t="shared" si="35"/>
        <v>0</v>
      </c>
      <c r="O179" s="11"/>
      <c r="P179" s="2">
        <v>94</v>
      </c>
      <c r="Q179" s="2"/>
      <c r="R179" s="19">
        <f t="shared" si="36"/>
        <v>2.3653992339196589E-5</v>
      </c>
      <c r="S179" s="2"/>
      <c r="T179" s="2">
        <v>4.84</v>
      </c>
      <c r="U179" s="2"/>
      <c r="V179" s="19">
        <f t="shared" si="37"/>
        <v>6.8182784414092264E-7</v>
      </c>
      <c r="W179" s="2"/>
      <c r="X179" s="2">
        <f t="shared" si="38"/>
        <v>89.16</v>
      </c>
      <c r="Y179" s="2"/>
      <c r="Z179" s="19">
        <f t="shared" si="39"/>
        <v>18.421487603305785</v>
      </c>
    </row>
    <row r="180" spans="1:26" s="24" customFormat="1" hidden="1" outlineLevel="1" x14ac:dyDescent="0.25">
      <c r="A180" s="44"/>
      <c r="B180" s="11" t="str">
        <f>CONCATENATE("          ", "5583", " - ", "FREIGHT-IN-COMPUTER EQUIPMENT")</f>
        <v xml:space="preserve">          5583 - FREIGHT-IN-COMPUTER EQUIPMENT</v>
      </c>
      <c r="C180" s="11"/>
      <c r="D180" s="2">
        <v>7.23</v>
      </c>
      <c r="E180" s="2"/>
      <c r="F180" s="19">
        <f t="shared" si="32"/>
        <v>2.3093628918155151E-5</v>
      </c>
      <c r="G180" s="2"/>
      <c r="H180" s="2">
        <v>8.1199999999999992</v>
      </c>
      <c r="I180" s="2"/>
      <c r="J180" s="19">
        <f t="shared" si="33"/>
        <v>1.5364179977290914E-5</v>
      </c>
      <c r="K180" s="2"/>
      <c r="L180" s="2">
        <f t="shared" si="34"/>
        <v>-0.88999999999999879</v>
      </c>
      <c r="M180" s="2"/>
      <c r="N180" s="19">
        <f t="shared" si="35"/>
        <v>-0.10960591133004913</v>
      </c>
      <c r="O180" s="11"/>
      <c r="P180" s="2">
        <v>232.4</v>
      </c>
      <c r="Q180" s="2"/>
      <c r="R180" s="19">
        <f t="shared" si="36"/>
        <v>5.8480721485417955E-5</v>
      </c>
      <c r="S180" s="2"/>
      <c r="T180" s="2">
        <v>49.12</v>
      </c>
      <c r="U180" s="2"/>
      <c r="V180" s="19">
        <f t="shared" si="37"/>
        <v>6.9197073769012639E-6</v>
      </c>
      <c r="W180" s="2"/>
      <c r="X180" s="2">
        <f t="shared" si="38"/>
        <v>183.28</v>
      </c>
      <c r="Y180" s="2"/>
      <c r="Z180" s="19">
        <f t="shared" si="39"/>
        <v>3.731270358306189</v>
      </c>
    </row>
    <row r="181" spans="1:26" s="24" customFormat="1" hidden="1" outlineLevel="1" x14ac:dyDescent="0.25">
      <c r="A181" s="44"/>
      <c r="B181" s="11" t="str">
        <f>CONCATENATE("          ", "5586", " - ", "FREIGHT-IN-COMPUTER SUPPLIES")</f>
        <v xml:space="preserve">          5586 - FREIGHT-IN-COMPUTER SUPPLIES</v>
      </c>
      <c r="C181" s="11"/>
      <c r="D181" s="2"/>
      <c r="E181" s="2"/>
      <c r="F181" s="19">
        <f t="shared" si="32"/>
        <v>0</v>
      </c>
      <c r="G181" s="2"/>
      <c r="H181" s="2"/>
      <c r="I181" s="2"/>
      <c r="J181" s="19">
        <f t="shared" si="33"/>
        <v>0</v>
      </c>
      <c r="K181" s="2"/>
      <c r="L181" s="2">
        <f t="shared" si="34"/>
        <v>0</v>
      </c>
      <c r="M181" s="2"/>
      <c r="N181" s="19">
        <f t="shared" si="35"/>
        <v>0</v>
      </c>
      <c r="O181" s="11"/>
      <c r="P181" s="2">
        <v>24.12</v>
      </c>
      <c r="Q181" s="2"/>
      <c r="R181" s="19">
        <f t="shared" si="36"/>
        <v>6.0695137789512958E-6</v>
      </c>
      <c r="S181" s="2"/>
      <c r="T181" s="2">
        <v>162.51</v>
      </c>
      <c r="U181" s="2"/>
      <c r="V181" s="19">
        <f t="shared" si="37"/>
        <v>2.2893355981682092E-5</v>
      </c>
      <c r="W181" s="2"/>
      <c r="X181" s="2">
        <f t="shared" si="38"/>
        <v>-138.38999999999999</v>
      </c>
      <c r="Y181" s="2"/>
      <c r="Z181" s="19">
        <f t="shared" si="39"/>
        <v>-0.85157836440834411</v>
      </c>
    </row>
    <row r="182" spans="1:26" s="24" customFormat="1" hidden="1" outlineLevel="1" x14ac:dyDescent="0.25">
      <c r="A182" s="44"/>
      <c r="B182" s="11" t="str">
        <f>CONCATENATE("          ", "5592", " - ", "FREIGHT-IN-GRAD MERCH")</f>
        <v xml:space="preserve">          5592 - FREIGHT-IN-GRAD MERCH</v>
      </c>
      <c r="C182" s="11"/>
      <c r="D182" s="2"/>
      <c r="E182" s="2"/>
      <c r="F182" s="19">
        <f t="shared" si="32"/>
        <v>0</v>
      </c>
      <c r="G182" s="2"/>
      <c r="H182" s="2"/>
      <c r="I182" s="2"/>
      <c r="J182" s="19">
        <f t="shared" si="33"/>
        <v>0</v>
      </c>
      <c r="K182" s="2"/>
      <c r="L182" s="2">
        <f t="shared" si="34"/>
        <v>0</v>
      </c>
      <c r="M182" s="2"/>
      <c r="N182" s="19">
        <f t="shared" si="35"/>
        <v>0</v>
      </c>
      <c r="O182" s="11"/>
      <c r="P182" s="2"/>
      <c r="Q182" s="2"/>
      <c r="R182" s="19">
        <f t="shared" si="36"/>
        <v>0</v>
      </c>
      <c r="S182" s="2"/>
      <c r="T182" s="2">
        <v>105.78</v>
      </c>
      <c r="U182" s="2"/>
      <c r="V182" s="19">
        <f t="shared" si="37"/>
        <v>1.4901601106038595E-5</v>
      </c>
      <c r="W182" s="2"/>
      <c r="X182" s="2">
        <f t="shared" si="38"/>
        <v>-105.78</v>
      </c>
      <c r="Y182" s="2"/>
      <c r="Z182" s="19">
        <f t="shared" si="39"/>
        <v>-1</v>
      </c>
    </row>
    <row r="183" spans="1:26" x14ac:dyDescent="0.25">
      <c r="A183" s="9"/>
      <c r="B183" s="10"/>
      <c r="C183" s="10"/>
      <c r="D183" s="3"/>
      <c r="E183" s="3"/>
      <c r="F183" s="8"/>
      <c r="G183" s="3"/>
      <c r="H183" s="3"/>
      <c r="I183" s="3"/>
      <c r="J183" s="8"/>
      <c r="K183" s="3"/>
      <c r="L183" s="3"/>
      <c r="M183" s="3"/>
      <c r="N183" s="8"/>
      <c r="O183" s="10"/>
      <c r="P183" s="3"/>
      <c r="Q183" s="3"/>
      <c r="R183" s="8"/>
      <c r="S183" s="3"/>
      <c r="T183" s="3"/>
      <c r="U183" s="3"/>
      <c r="V183" s="8"/>
      <c r="W183" s="3"/>
      <c r="X183" s="3"/>
      <c r="Y183" s="3"/>
      <c r="Z183" s="8"/>
    </row>
    <row r="184" spans="1:26" s="23" customFormat="1" x14ac:dyDescent="0.25">
      <c r="A184" s="10"/>
      <c r="B184" s="28" t="s">
        <v>6</v>
      </c>
      <c r="C184" s="28"/>
      <c r="D184" s="20">
        <f>D12-D125</f>
        <v>105895.96000000008</v>
      </c>
      <c r="E184" s="14"/>
      <c r="F184" s="21">
        <f>IF(D$12=0,0,D184/D$12)</f>
        <v>0.33824647360605847</v>
      </c>
      <c r="G184" s="14"/>
      <c r="H184" s="20">
        <f>H12-H125</f>
        <v>263793.15999999968</v>
      </c>
      <c r="I184" s="14"/>
      <c r="J184" s="21">
        <f>IF(H$12=0,0,H184/H$12)</f>
        <v>0.49913369298254856</v>
      </c>
      <c r="K184" s="15"/>
      <c r="L184" s="20">
        <f>+D184-H184</f>
        <v>-157897.1999999996</v>
      </c>
      <c r="M184" s="15"/>
      <c r="N184" s="21">
        <f>IF(H184=0,0,L184/H184)</f>
        <v>-0.59856442069991422</v>
      </c>
      <c r="O184" s="29"/>
      <c r="P184" s="20">
        <f>P12-P125</f>
        <v>1023368.9100000015</v>
      </c>
      <c r="Q184" s="14"/>
      <c r="R184" s="21">
        <f>IF(P$12=0,0,P184/P$12)</f>
        <v>0.25751872720544683</v>
      </c>
      <c r="S184" s="14"/>
      <c r="T184" s="20">
        <f>T12-T125</f>
        <v>2471092.2599999998</v>
      </c>
      <c r="U184" s="14"/>
      <c r="V184" s="21">
        <f>IF(T$12=0,0,T184/T$12)</f>
        <v>0.34811146865890913</v>
      </c>
      <c r="W184" s="15"/>
      <c r="X184" s="20">
        <f>+P184-T184</f>
        <v>-1447723.3499999982</v>
      </c>
      <c r="Y184" s="15"/>
      <c r="Z184" s="21">
        <f>IF(T184=0,0,X184/T184)</f>
        <v>-0.58586373865296248</v>
      </c>
    </row>
    <row r="185" spans="1:26" x14ac:dyDescent="0.25">
      <c r="A185" s="9"/>
      <c r="B185" s="10"/>
      <c r="C185" s="9"/>
      <c r="D185" s="1"/>
      <c r="E185" s="1"/>
      <c r="F185" s="5"/>
      <c r="G185" s="1"/>
      <c r="H185" s="1"/>
      <c r="I185" s="1"/>
      <c r="J185" s="5"/>
      <c r="K185" s="1"/>
      <c r="L185" s="1"/>
      <c r="M185" s="1"/>
      <c r="N185" s="5"/>
      <c r="O185" s="37"/>
      <c r="P185" s="1"/>
      <c r="Q185" s="1"/>
      <c r="R185" s="5"/>
      <c r="S185" s="1"/>
      <c r="T185" s="1"/>
      <c r="U185" s="1"/>
      <c r="V185" s="5"/>
      <c r="W185" s="1"/>
      <c r="X185" s="1"/>
      <c r="Y185" s="1"/>
      <c r="Z185" s="5"/>
    </row>
    <row r="186" spans="1:26" s="23" customFormat="1" x14ac:dyDescent="0.25">
      <c r="A186" s="10"/>
      <c r="B186" s="29" t="s">
        <v>9</v>
      </c>
      <c r="C186" s="10"/>
      <c r="D186" s="22">
        <f>SUM(OSRRefD22x_0)</f>
        <v>262468.05000000005</v>
      </c>
      <c r="E186" s="22"/>
      <c r="F186" s="36">
        <f t="shared" ref="F186:F197" si="40">IF(D$12=0,0,D186/D$12)</f>
        <v>0.83835957808738493</v>
      </c>
      <c r="G186" s="22"/>
      <c r="H186" s="22">
        <f>SUM(OSRRefH22x_0)</f>
        <v>357391</v>
      </c>
      <c r="I186" s="22"/>
      <c r="J186" s="36">
        <f t="shared" ref="J186:J197" si="41">IF(H$12=0,0,H186/H$12)</f>
        <v>0.67623394658423375</v>
      </c>
      <c r="K186" s="4"/>
      <c r="L186" s="22">
        <f t="shared" ref="L186:L197" si="42">+D186-H186</f>
        <v>-94922.949999999953</v>
      </c>
      <c r="M186" s="4"/>
      <c r="N186" s="36">
        <f t="shared" ref="N186:N197" si="43">IF(H186=0,0,L186/H186)</f>
        <v>-0.26559972131363113</v>
      </c>
      <c r="O186" s="10"/>
      <c r="P186" s="22">
        <f>SUM(OSRRefP22x_0)</f>
        <v>1687651.5999999987</v>
      </c>
      <c r="Q186" s="22"/>
      <c r="R186" s="36">
        <f t="shared" ref="R186:R197" si="44">IF(P$12=0,0,P186/P$12)</f>
        <v>0.4246776384854557</v>
      </c>
      <c r="S186" s="22"/>
      <c r="T186" s="22">
        <f>SUM(OSRRefT22x_0)</f>
        <v>2368520.3199999998</v>
      </c>
      <c r="U186" s="22"/>
      <c r="V186" s="36">
        <f t="shared" ref="V186:V197" si="45">IF(T$12=0,0,T186/T$12)</f>
        <v>0.33366179826230746</v>
      </c>
      <c r="W186" s="4"/>
      <c r="X186" s="22">
        <f t="shared" ref="X186:X197" si="46">+P186-T186</f>
        <v>-680868.72000000114</v>
      </c>
      <c r="Y186" s="4"/>
      <c r="Z186" s="36">
        <f t="shared" ref="Z186:Z197" si="47">IF(T186=0,0,X186/T186)</f>
        <v>-0.2874658554755406</v>
      </c>
    </row>
    <row r="187" spans="1:26" s="25" customFormat="1" outlineLevel="1" collapsed="1" x14ac:dyDescent="0.25">
      <c r="A187" s="26"/>
      <c r="B187" s="13" t="str">
        <f>CONCATENATE("     ","*Benefits                                         ")</f>
        <v xml:space="preserve">     *Benefits                                         </v>
      </c>
      <c r="C187" s="13"/>
      <c r="D187" s="1">
        <f>SUM(OSRRefD22_0x_0)</f>
        <v>46307.37000000001</v>
      </c>
      <c r="E187" s="1"/>
      <c r="F187" s="5">
        <f t="shared" si="40"/>
        <v>0.14791220179193781</v>
      </c>
      <c r="G187" s="1"/>
      <c r="H187" s="1">
        <f>SUM(OSRRefH22_0x_0)</f>
        <v>44608.34</v>
      </c>
      <c r="I187" s="1"/>
      <c r="J187" s="5">
        <f t="shared" si="41"/>
        <v>8.4405241902485884E-2</v>
      </c>
      <c r="K187" s="1"/>
      <c r="L187" s="1">
        <f t="shared" si="42"/>
        <v>1699.0300000000134</v>
      </c>
      <c r="M187" s="1"/>
      <c r="N187" s="5">
        <f t="shared" si="43"/>
        <v>3.8087720816331959E-2</v>
      </c>
      <c r="O187" s="13"/>
      <c r="P187" s="1">
        <f>SUM(OSRRefP22_0x_0)</f>
        <v>285683.48</v>
      </c>
      <c r="Q187" s="1"/>
      <c r="R187" s="5">
        <f t="shared" si="44"/>
        <v>7.1888881354840659E-2</v>
      </c>
      <c r="S187" s="1"/>
      <c r="T187" s="1">
        <f>SUM(OSRRefT22_0x_0)</f>
        <v>319967.57999999996</v>
      </c>
      <c r="U187" s="1"/>
      <c r="V187" s="5">
        <f t="shared" si="45"/>
        <v>4.5074959765782678E-2</v>
      </c>
      <c r="W187" s="1"/>
      <c r="X187" s="1">
        <f t="shared" si="46"/>
        <v>-34284.099999999977</v>
      </c>
      <c r="Y187" s="1"/>
      <c r="Z187" s="5">
        <f t="shared" si="47"/>
        <v>-0.10714866799942663</v>
      </c>
    </row>
    <row r="188" spans="1:26" s="24" customFormat="1" hidden="1" outlineLevel="2" x14ac:dyDescent="0.25">
      <c r="A188" s="27"/>
      <c r="B188" s="11" t="str">
        <f>CONCATENATE("          ", "6111", " - ", "F.I.C.A.")</f>
        <v xml:space="preserve">          6111 - F.I.C.A.</v>
      </c>
      <c r="C188" s="11"/>
      <c r="D188" s="7">
        <v>7760.36</v>
      </c>
      <c r="E188" s="2"/>
      <c r="F188" s="6">
        <f t="shared" si="40"/>
        <v>2.4787672767813899E-2</v>
      </c>
      <c r="G188" s="2"/>
      <c r="H188" s="7">
        <v>6771.27</v>
      </c>
      <c r="I188" s="2"/>
      <c r="J188" s="6">
        <f t="shared" si="41"/>
        <v>1.2812193467343679E-2</v>
      </c>
      <c r="K188" s="2"/>
      <c r="L188" s="7">
        <f t="shared" si="42"/>
        <v>989.08999999999924</v>
      </c>
      <c r="M188" s="2"/>
      <c r="N188" s="6">
        <f t="shared" si="43"/>
        <v>0.14607156412312597</v>
      </c>
      <c r="O188" s="11"/>
      <c r="P188" s="7">
        <v>58907.6</v>
      </c>
      <c r="Q188" s="2"/>
      <c r="R188" s="6">
        <f t="shared" si="44"/>
        <v>1.4823403394898479E-2</v>
      </c>
      <c r="S188" s="2"/>
      <c r="T188" s="7">
        <v>64787.939999999995</v>
      </c>
      <c r="U188" s="2"/>
      <c r="V188" s="6">
        <f t="shared" si="45"/>
        <v>9.1269052596139339E-3</v>
      </c>
      <c r="W188" s="2"/>
      <c r="X188" s="7">
        <f t="shared" si="46"/>
        <v>-5880.3399999999965</v>
      </c>
      <c r="Y188" s="2"/>
      <c r="Z188" s="6">
        <f t="shared" si="47"/>
        <v>-9.0762879634697397E-2</v>
      </c>
    </row>
    <row r="189" spans="1:26" s="24" customFormat="1" hidden="1" outlineLevel="2" x14ac:dyDescent="0.25">
      <c r="A189" s="27"/>
      <c r="B189" s="11" t="str">
        <f>CONCATENATE("          ", "6112", " - ", "COMPENSATION INSURANCE")</f>
        <v xml:space="preserve">          6112 - COMPENSATION INSURANCE</v>
      </c>
      <c r="C189" s="11"/>
      <c r="D189" s="7">
        <v>3205.55</v>
      </c>
      <c r="E189" s="2"/>
      <c r="F189" s="6">
        <f t="shared" si="40"/>
        <v>1.0238974021935304E-2</v>
      </c>
      <c r="G189" s="2"/>
      <c r="H189" s="7">
        <v>3300.44</v>
      </c>
      <c r="I189" s="2"/>
      <c r="J189" s="6">
        <f t="shared" si="41"/>
        <v>6.244895833035718E-3</v>
      </c>
      <c r="K189" s="2"/>
      <c r="L189" s="7">
        <f t="shared" si="42"/>
        <v>-94.889999999999873</v>
      </c>
      <c r="M189" s="2"/>
      <c r="N189" s="6">
        <f t="shared" si="43"/>
        <v>-2.8750712026275247E-2</v>
      </c>
      <c r="O189" s="11"/>
      <c r="P189" s="7">
        <v>16667.939999999999</v>
      </c>
      <c r="Q189" s="2"/>
      <c r="R189" s="6">
        <f t="shared" si="44"/>
        <v>4.194290692236047E-3</v>
      </c>
      <c r="S189" s="2"/>
      <c r="T189" s="7">
        <v>14410.41</v>
      </c>
      <c r="U189" s="2"/>
      <c r="V189" s="6">
        <f t="shared" si="45"/>
        <v>2.0300452031997507E-3</v>
      </c>
      <c r="W189" s="2"/>
      <c r="X189" s="7">
        <f t="shared" si="46"/>
        <v>2257.5299999999988</v>
      </c>
      <c r="Y189" s="2"/>
      <c r="Z189" s="6">
        <f t="shared" si="47"/>
        <v>0.15665966478399981</v>
      </c>
    </row>
    <row r="190" spans="1:26" s="24" customFormat="1" hidden="1" outlineLevel="2" x14ac:dyDescent="0.25">
      <c r="A190" s="27"/>
      <c r="B190" s="11" t="str">
        <f>CONCATENATE("          ", "6113", " - ", "GROUP INSURANCE")</f>
        <v xml:space="preserve">          6113 - GROUP INSURANCE</v>
      </c>
      <c r="C190" s="11"/>
      <c r="D190" s="7">
        <v>16046.6</v>
      </c>
      <c r="E190" s="2"/>
      <c r="F190" s="6">
        <f t="shared" si="40"/>
        <v>5.1255079640120112E-2</v>
      </c>
      <c r="G190" s="2"/>
      <c r="H190" s="7">
        <v>17955.25</v>
      </c>
      <c r="I190" s="2"/>
      <c r="J190" s="6">
        <f t="shared" si="41"/>
        <v>3.3973853760745409E-2</v>
      </c>
      <c r="K190" s="2"/>
      <c r="L190" s="7">
        <f t="shared" si="42"/>
        <v>-1908.6499999999996</v>
      </c>
      <c r="M190" s="2"/>
      <c r="N190" s="6">
        <f t="shared" si="43"/>
        <v>-0.10630038568106819</v>
      </c>
      <c r="O190" s="11"/>
      <c r="P190" s="7">
        <v>94612.479999999996</v>
      </c>
      <c r="Q190" s="2"/>
      <c r="R190" s="6">
        <f t="shared" si="44"/>
        <v>2.3808115713961599E-2</v>
      </c>
      <c r="S190" s="2"/>
      <c r="T190" s="7">
        <v>117354.75</v>
      </c>
      <c r="U190" s="2"/>
      <c r="V190" s="6">
        <f t="shared" si="45"/>
        <v>1.6532176899214244E-2</v>
      </c>
      <c r="W190" s="2"/>
      <c r="X190" s="7">
        <f t="shared" si="46"/>
        <v>-22742.270000000004</v>
      </c>
      <c r="Y190" s="2"/>
      <c r="Z190" s="6">
        <f t="shared" si="47"/>
        <v>-0.19379079244768538</v>
      </c>
    </row>
    <row r="191" spans="1:26" s="24" customFormat="1" hidden="1" outlineLevel="2" x14ac:dyDescent="0.25">
      <c r="A191" s="27"/>
      <c r="B191" s="11" t="str">
        <f>CONCATENATE("          ", "6114", " - ", "STATE UNEMPLOYMENT INSURANCE")</f>
        <v xml:space="preserve">          6114 - STATE UNEMPLOYMENT INSURANCE</v>
      </c>
      <c r="C191" s="11"/>
      <c r="D191" s="7"/>
      <c r="E191" s="2"/>
      <c r="F191" s="6">
        <f t="shared" si="40"/>
        <v>0</v>
      </c>
      <c r="G191" s="2"/>
      <c r="H191" s="7">
        <v>593.22</v>
      </c>
      <c r="I191" s="2"/>
      <c r="J191" s="6">
        <f t="shared" si="41"/>
        <v>1.1224555229222312E-3</v>
      </c>
      <c r="K191" s="2"/>
      <c r="L191" s="7">
        <f t="shared" si="42"/>
        <v>-593.22</v>
      </c>
      <c r="M191" s="2"/>
      <c r="N191" s="6">
        <f t="shared" si="43"/>
        <v>-1</v>
      </c>
      <c r="O191" s="11"/>
      <c r="P191" s="7">
        <v>2064.96</v>
      </c>
      <c r="Q191" s="2"/>
      <c r="R191" s="6">
        <f t="shared" si="44"/>
        <v>5.1962285128454673E-4</v>
      </c>
      <c r="S191" s="2"/>
      <c r="T191" s="7">
        <v>3117.07</v>
      </c>
      <c r="U191" s="2"/>
      <c r="V191" s="6">
        <f t="shared" si="45"/>
        <v>4.3911262771412105E-4</v>
      </c>
      <c r="W191" s="2"/>
      <c r="X191" s="7">
        <f t="shared" si="46"/>
        <v>-1052.1100000000001</v>
      </c>
      <c r="Y191" s="2"/>
      <c r="Z191" s="6">
        <f t="shared" si="47"/>
        <v>-0.33753172049392544</v>
      </c>
    </row>
    <row r="192" spans="1:26" s="24" customFormat="1" hidden="1" outlineLevel="2" x14ac:dyDescent="0.25">
      <c r="A192" s="27"/>
      <c r="B192" s="11" t="str">
        <f>CONCATENATE("          ", "6115", " - ", "P.E.R.S.")</f>
        <v xml:space="preserve">          6115 - P.E.R.S.</v>
      </c>
      <c r="C192" s="11"/>
      <c r="D192" s="7">
        <v>6633.21</v>
      </c>
      <c r="E192" s="2"/>
      <c r="F192" s="6">
        <f t="shared" si="40"/>
        <v>2.1187398378450333E-2</v>
      </c>
      <c r="G192" s="2"/>
      <c r="H192" s="7">
        <v>6207.89</v>
      </c>
      <c r="I192" s="2"/>
      <c r="J192" s="6">
        <f t="shared" si="41"/>
        <v>1.1746199413697599E-2</v>
      </c>
      <c r="K192" s="2"/>
      <c r="L192" s="7">
        <f t="shared" si="42"/>
        <v>425.31999999999971</v>
      </c>
      <c r="M192" s="2"/>
      <c r="N192" s="6">
        <f t="shared" si="43"/>
        <v>6.851281192160294E-2</v>
      </c>
      <c r="O192" s="11"/>
      <c r="P192" s="7">
        <v>41164.780000000006</v>
      </c>
      <c r="Q192" s="2"/>
      <c r="R192" s="6">
        <f t="shared" si="44"/>
        <v>1.0358631816645885E-2</v>
      </c>
      <c r="S192" s="2"/>
      <c r="T192" s="7">
        <v>43052.959999999999</v>
      </c>
      <c r="U192" s="2"/>
      <c r="V192" s="6">
        <f t="shared" si="45"/>
        <v>6.0650220869184661E-3</v>
      </c>
      <c r="W192" s="2"/>
      <c r="X192" s="7">
        <f t="shared" si="46"/>
        <v>-1888.179999999993</v>
      </c>
      <c r="Y192" s="2"/>
      <c r="Z192" s="6">
        <f t="shared" si="47"/>
        <v>-4.3857147104403346E-2</v>
      </c>
    </row>
    <row r="193" spans="1:26" s="24" customFormat="1" hidden="1" outlineLevel="2" x14ac:dyDescent="0.25">
      <c r="A193" s="27"/>
      <c r="B193" s="11" t="str">
        <f>CONCATENATE("          ", "6116", " - ", "EDUCATIONAL BENEFITS")</f>
        <v xml:space="preserve">          6116 - EDUCATIONAL BENEFITS</v>
      </c>
      <c r="C193" s="11"/>
      <c r="D193" s="7"/>
      <c r="E193" s="2"/>
      <c r="F193" s="6">
        <f t="shared" si="40"/>
        <v>0</v>
      </c>
      <c r="G193" s="2"/>
      <c r="H193" s="7"/>
      <c r="I193" s="2"/>
      <c r="J193" s="6">
        <f t="shared" si="41"/>
        <v>0</v>
      </c>
      <c r="K193" s="2"/>
      <c r="L193" s="7">
        <f t="shared" si="42"/>
        <v>0</v>
      </c>
      <c r="M193" s="2"/>
      <c r="N193" s="6">
        <f t="shared" si="43"/>
        <v>0</v>
      </c>
      <c r="O193" s="11"/>
      <c r="P193" s="7">
        <v>0</v>
      </c>
      <c r="Q193" s="2"/>
      <c r="R193" s="6">
        <f t="shared" si="44"/>
        <v>0</v>
      </c>
      <c r="S193" s="2"/>
      <c r="T193" s="7"/>
      <c r="U193" s="2"/>
      <c r="V193" s="6">
        <f t="shared" si="45"/>
        <v>0</v>
      </c>
      <c r="W193" s="2"/>
      <c r="X193" s="7">
        <f t="shared" si="46"/>
        <v>0</v>
      </c>
      <c r="Y193" s="2"/>
      <c r="Z193" s="6">
        <f t="shared" si="47"/>
        <v>0</v>
      </c>
    </row>
    <row r="194" spans="1:26" s="24" customFormat="1" hidden="1" outlineLevel="2" x14ac:dyDescent="0.25">
      <c r="A194" s="27"/>
      <c r="B194" s="11" t="str">
        <f>CONCATENATE("          ", "6117", " - ", "RETIREMENT STAFF HOURLY")</f>
        <v xml:space="preserve">          6117 - RETIREMENT STAFF HOURLY</v>
      </c>
      <c r="C194" s="11"/>
      <c r="D194" s="7">
        <v>611.42999999999995</v>
      </c>
      <c r="E194" s="2"/>
      <c r="F194" s="6">
        <f t="shared" si="40"/>
        <v>1.9529927426594194E-3</v>
      </c>
      <c r="G194" s="2"/>
      <c r="H194" s="7">
        <v>252.09</v>
      </c>
      <c r="I194" s="2"/>
      <c r="J194" s="6">
        <f t="shared" si="41"/>
        <v>4.7698967124079644E-4</v>
      </c>
      <c r="K194" s="2"/>
      <c r="L194" s="7">
        <f t="shared" si="42"/>
        <v>359.33999999999992</v>
      </c>
      <c r="M194" s="2"/>
      <c r="N194" s="6">
        <f t="shared" si="43"/>
        <v>1.4254432940616444</v>
      </c>
      <c r="O194" s="11"/>
      <c r="P194" s="7">
        <v>2839.16</v>
      </c>
      <c r="Q194" s="2"/>
      <c r="R194" s="6">
        <f t="shared" si="44"/>
        <v>7.1444115840163178E-4</v>
      </c>
      <c r="S194" s="2"/>
      <c r="T194" s="7">
        <v>1770.97</v>
      </c>
      <c r="U194" s="2"/>
      <c r="V194" s="6">
        <f t="shared" si="45"/>
        <v>2.4948278040046483E-4</v>
      </c>
      <c r="W194" s="2"/>
      <c r="X194" s="7">
        <f t="shared" si="46"/>
        <v>1068.1899999999998</v>
      </c>
      <c r="Y194" s="2"/>
      <c r="Z194" s="6">
        <f t="shared" si="47"/>
        <v>0.60316662619920147</v>
      </c>
    </row>
    <row r="195" spans="1:26" s="24" customFormat="1" hidden="1" outlineLevel="2" x14ac:dyDescent="0.25">
      <c r="A195" s="27"/>
      <c r="B195" s="11" t="str">
        <f>CONCATENATE("          ", "6118", " - ", "VACATION")</f>
        <v xml:space="preserve">          6118 - VACATION</v>
      </c>
      <c r="C195" s="11"/>
      <c r="D195" s="7">
        <v>6117.98</v>
      </c>
      <c r="E195" s="2"/>
      <c r="F195" s="6">
        <f t="shared" si="40"/>
        <v>1.9541681860123766E-2</v>
      </c>
      <c r="G195" s="2"/>
      <c r="H195" s="7">
        <v>4257.45</v>
      </c>
      <c r="I195" s="2"/>
      <c r="J195" s="6">
        <f t="shared" si="41"/>
        <v>8.0556931089060604E-3</v>
      </c>
      <c r="K195" s="2"/>
      <c r="L195" s="7">
        <f t="shared" si="42"/>
        <v>1860.5299999999997</v>
      </c>
      <c r="M195" s="2"/>
      <c r="N195" s="6">
        <f t="shared" si="43"/>
        <v>0.4370057193860174</v>
      </c>
      <c r="O195" s="11"/>
      <c r="P195" s="7">
        <v>33975.79</v>
      </c>
      <c r="Q195" s="2"/>
      <c r="R195" s="6">
        <f t="shared" si="44"/>
        <v>8.5496071955122564E-3</v>
      </c>
      <c r="S195" s="2"/>
      <c r="T195" s="7">
        <v>35172.39</v>
      </c>
      <c r="U195" s="2"/>
      <c r="V195" s="6">
        <f t="shared" si="45"/>
        <v>4.9548584394594518E-3</v>
      </c>
      <c r="W195" s="2"/>
      <c r="X195" s="7">
        <f t="shared" si="46"/>
        <v>-1196.5999999999985</v>
      </c>
      <c r="Y195" s="2"/>
      <c r="Z195" s="6">
        <f t="shared" si="47"/>
        <v>-3.4021003406365005E-2</v>
      </c>
    </row>
    <row r="196" spans="1:26" s="24" customFormat="1" hidden="1" outlineLevel="2" x14ac:dyDescent="0.25">
      <c r="A196" s="27"/>
      <c r="B196" s="11" t="str">
        <f>CONCATENATE("          ", "6119", " - ", "SICK LEAVE")</f>
        <v xml:space="preserve">          6119 - SICK LEAVE</v>
      </c>
      <c r="C196" s="11"/>
      <c r="D196" s="7">
        <v>4299.62</v>
      </c>
      <c r="E196" s="2"/>
      <c r="F196" s="6">
        <f t="shared" si="40"/>
        <v>1.3733586275114557E-2</v>
      </c>
      <c r="G196" s="2"/>
      <c r="H196" s="7">
        <v>3308.61</v>
      </c>
      <c r="I196" s="2"/>
      <c r="J196" s="6">
        <f t="shared" si="41"/>
        <v>6.260354620032574E-3</v>
      </c>
      <c r="K196" s="2"/>
      <c r="L196" s="7">
        <f t="shared" si="42"/>
        <v>991.00999999999976</v>
      </c>
      <c r="M196" s="2"/>
      <c r="N196" s="6">
        <f t="shared" si="43"/>
        <v>0.29952457376360458</v>
      </c>
      <c r="O196" s="11"/>
      <c r="P196" s="7">
        <v>25065.4</v>
      </c>
      <c r="Q196" s="2"/>
      <c r="R196" s="6">
        <f t="shared" si="44"/>
        <v>6.3074125487116838E-3</v>
      </c>
      <c r="S196" s="2"/>
      <c r="T196" s="7">
        <v>27817.37</v>
      </c>
      <c r="U196" s="2"/>
      <c r="V196" s="6">
        <f t="shared" si="45"/>
        <v>3.9187308712335485E-3</v>
      </c>
      <c r="W196" s="2"/>
      <c r="X196" s="7">
        <f t="shared" si="46"/>
        <v>-2751.9699999999975</v>
      </c>
      <c r="Y196" s="2"/>
      <c r="Z196" s="6">
        <f t="shared" si="47"/>
        <v>-9.8929913216094748E-2</v>
      </c>
    </row>
    <row r="197" spans="1:26" s="24" customFormat="1" hidden="1" outlineLevel="2" x14ac:dyDescent="0.25">
      <c r="A197" s="27"/>
      <c r="B197" s="11" t="str">
        <f>CONCATENATE("          ", "6156", " - ", "EMPLOYEE MEALS")</f>
        <v xml:space="preserve">          6156 - EMPLOYEE MEALS</v>
      </c>
      <c r="C197" s="11"/>
      <c r="D197" s="7">
        <v>1632.62</v>
      </c>
      <c r="E197" s="2"/>
      <c r="F197" s="6">
        <f t="shared" si="40"/>
        <v>5.2148161057203948E-3</v>
      </c>
      <c r="G197" s="2"/>
      <c r="H197" s="7">
        <v>1962.12</v>
      </c>
      <c r="I197" s="2"/>
      <c r="J197" s="6">
        <f t="shared" si="41"/>
        <v>3.7126065045618288E-3</v>
      </c>
      <c r="K197" s="2"/>
      <c r="L197" s="7">
        <f t="shared" si="42"/>
        <v>-329.5</v>
      </c>
      <c r="M197" s="2"/>
      <c r="N197" s="6">
        <f t="shared" si="43"/>
        <v>-0.16793060567141663</v>
      </c>
      <c r="O197" s="11"/>
      <c r="P197" s="7">
        <v>10385.370000000001</v>
      </c>
      <c r="Q197" s="2"/>
      <c r="R197" s="6">
        <f t="shared" si="44"/>
        <v>2.6133559831885331E-3</v>
      </c>
      <c r="S197" s="2"/>
      <c r="T197" s="7">
        <v>12483.72</v>
      </c>
      <c r="U197" s="2"/>
      <c r="V197" s="6">
        <f t="shared" si="45"/>
        <v>1.7586255980287021E-3</v>
      </c>
      <c r="W197" s="2"/>
      <c r="X197" s="7">
        <f t="shared" si="46"/>
        <v>-2098.3499999999985</v>
      </c>
      <c r="Y197" s="2"/>
      <c r="Z197" s="6">
        <f t="shared" si="47"/>
        <v>-0.16808691639991916</v>
      </c>
    </row>
    <row r="198" spans="1:26" s="25" customFormat="1" outlineLevel="1" collapsed="1" x14ac:dyDescent="0.25">
      <c r="A198" s="26"/>
      <c r="B198" s="13" t="str">
        <f>CONCATENATE("     ","*Payroll                                          ")</f>
        <v xml:space="preserve">     *Payroll                                          </v>
      </c>
      <c r="C198" s="13"/>
      <c r="D198" s="1">
        <f>SUM(OSRRefD22_1x_0)</f>
        <v>127761.00000000003</v>
      </c>
      <c r="E198" s="1"/>
      <c r="F198" s="5">
        <f t="shared" ref="F198:F205" si="48">IF(D$12=0,0,D198/D$12)</f>
        <v>0.40808646254666953</v>
      </c>
      <c r="G198" s="1"/>
      <c r="H198" s="1">
        <f>SUM(OSRRefH22_1x_0)</f>
        <v>152402.65</v>
      </c>
      <c r="I198" s="1"/>
      <c r="J198" s="5">
        <f t="shared" ref="J198:J205" si="49">IF(H$12=0,0,H198/H$12)</f>
        <v>0.28836720980493541</v>
      </c>
      <c r="K198" s="1"/>
      <c r="L198" s="1">
        <f t="shared" ref="L198:L205" si="50">+D198-H198</f>
        <v>-24641.649999999965</v>
      </c>
      <c r="M198" s="1"/>
      <c r="N198" s="5">
        <f t="shared" ref="N198:N205" si="51">IF(H198=0,0,L198/H198)</f>
        <v>-0.16168780529734861</v>
      </c>
      <c r="O198" s="13"/>
      <c r="P198" s="1">
        <f>SUM(OSRRefP22_1x_0)</f>
        <v>777650.6399999999</v>
      </c>
      <c r="Q198" s="1"/>
      <c r="R198" s="5">
        <f t="shared" ref="R198:R205" si="52">IF(P$12=0,0,P198/P$12)</f>
        <v>0.19568662001203535</v>
      </c>
      <c r="S198" s="1"/>
      <c r="T198" s="1">
        <f>SUM(OSRRefT22_1x_0)</f>
        <v>1092059.6500000001</v>
      </c>
      <c r="U198" s="1"/>
      <c r="V198" s="5">
        <f t="shared" ref="V198:V205" si="53">IF(T$12=0,0,T198/T$12)</f>
        <v>0.15384228860181623</v>
      </c>
      <c r="W198" s="1"/>
      <c r="X198" s="1">
        <f t="shared" ref="X198:X205" si="54">+P198-T198</f>
        <v>-314409.01000000024</v>
      </c>
      <c r="Y198" s="1"/>
      <c r="Z198" s="5">
        <f t="shared" ref="Z198:Z205" si="55">IF(T198=0,0,X198/T198)</f>
        <v>-0.28790461217022367</v>
      </c>
    </row>
    <row r="199" spans="1:26" s="24" customFormat="1" hidden="1" outlineLevel="2" x14ac:dyDescent="0.25">
      <c r="A199" s="27"/>
      <c r="B199" s="11" t="str">
        <f>CONCATENATE("          ", "6001", " - ", "ADMINISTRATIVE SALARIES")</f>
        <v xml:space="preserve">          6001 - ADMINISTRATIVE SALARIES</v>
      </c>
      <c r="C199" s="11"/>
      <c r="D199" s="7">
        <v>3745.16</v>
      </c>
      <c r="E199" s="2"/>
      <c r="F199" s="6">
        <f t="shared" si="48"/>
        <v>1.1962563662395289E-2</v>
      </c>
      <c r="G199" s="2"/>
      <c r="H199" s="7">
        <v>10181.280000000001</v>
      </c>
      <c r="I199" s="2"/>
      <c r="J199" s="6">
        <f t="shared" si="49"/>
        <v>1.9264411123053261E-2</v>
      </c>
      <c r="K199" s="2"/>
      <c r="L199" s="7">
        <f t="shared" si="50"/>
        <v>-6436.1200000000008</v>
      </c>
      <c r="M199" s="2"/>
      <c r="N199" s="6">
        <f t="shared" si="51"/>
        <v>-0.63215234233809503</v>
      </c>
      <c r="O199" s="11"/>
      <c r="P199" s="7">
        <v>24883.11</v>
      </c>
      <c r="Q199" s="2"/>
      <c r="R199" s="6">
        <f t="shared" si="52"/>
        <v>6.2615414182487878E-3</v>
      </c>
      <c r="S199" s="2"/>
      <c r="T199" s="7">
        <v>66982.11</v>
      </c>
      <c r="U199" s="2"/>
      <c r="V199" s="6">
        <f t="shared" si="53"/>
        <v>9.4360057143202756E-3</v>
      </c>
      <c r="W199" s="2"/>
      <c r="X199" s="7">
        <f t="shared" si="54"/>
        <v>-42099</v>
      </c>
      <c r="Y199" s="2"/>
      <c r="Z199" s="6">
        <f t="shared" si="55"/>
        <v>-0.62851110542800159</v>
      </c>
    </row>
    <row r="200" spans="1:26" s="24" customFormat="1" hidden="1" outlineLevel="2" x14ac:dyDescent="0.25">
      <c r="A200" s="27"/>
      <c r="B200" s="11" t="str">
        <f>CONCATENATE("          ", "6002", " - ", "STAFF SALARIES")</f>
        <v xml:space="preserve">          6002 - STAFF SALARIES</v>
      </c>
      <c r="C200" s="11"/>
      <c r="D200" s="7">
        <v>62494.210000000006</v>
      </c>
      <c r="E200" s="2"/>
      <c r="F200" s="6">
        <f t="shared" si="48"/>
        <v>0.19961522756200012</v>
      </c>
      <c r="G200" s="2"/>
      <c r="H200" s="7">
        <v>55590.5</v>
      </c>
      <c r="I200" s="2"/>
      <c r="J200" s="6">
        <f t="shared" si="49"/>
        <v>0.10518503042211708</v>
      </c>
      <c r="K200" s="2"/>
      <c r="L200" s="7">
        <f t="shared" si="50"/>
        <v>6903.7100000000064</v>
      </c>
      <c r="M200" s="2"/>
      <c r="N200" s="6">
        <f t="shared" si="51"/>
        <v>0.12418866532950786</v>
      </c>
      <c r="O200" s="11"/>
      <c r="P200" s="7">
        <v>348749.54000000004</v>
      </c>
      <c r="Q200" s="2"/>
      <c r="R200" s="6">
        <f t="shared" si="52"/>
        <v>8.775871220700357E-2</v>
      </c>
      <c r="S200" s="2"/>
      <c r="T200" s="7">
        <v>368261.46</v>
      </c>
      <c r="U200" s="2"/>
      <c r="V200" s="6">
        <f t="shared" si="53"/>
        <v>5.187828870908856E-2</v>
      </c>
      <c r="W200" s="2"/>
      <c r="X200" s="7">
        <f t="shared" si="54"/>
        <v>-19511.919999999984</v>
      </c>
      <c r="Y200" s="2"/>
      <c r="Z200" s="6">
        <f t="shared" si="55"/>
        <v>-5.2983877270241592E-2</v>
      </c>
    </row>
    <row r="201" spans="1:26" s="24" customFormat="1" hidden="1" outlineLevel="2" x14ac:dyDescent="0.25">
      <c r="A201" s="27"/>
      <c r="B201" s="11" t="str">
        <f>CONCATENATE("          ", "6004", " - ", "STAFF HOURLY")</f>
        <v xml:space="preserve">          6004 - STAFF HOURLY</v>
      </c>
      <c r="C201" s="11"/>
      <c r="D201" s="7">
        <v>19040.769999999997</v>
      </c>
      <c r="E201" s="2"/>
      <c r="F201" s="6">
        <f t="shared" si="48"/>
        <v>6.081887644480511E-2</v>
      </c>
      <c r="G201" s="2"/>
      <c r="H201" s="7">
        <v>3238.83</v>
      </c>
      <c r="I201" s="2"/>
      <c r="J201" s="6">
        <f t="shared" si="49"/>
        <v>6.1283210635282191E-3</v>
      </c>
      <c r="K201" s="2"/>
      <c r="L201" s="7">
        <f t="shared" si="50"/>
        <v>15801.939999999997</v>
      </c>
      <c r="M201" s="2"/>
      <c r="N201" s="6">
        <f t="shared" si="51"/>
        <v>4.8789038016814708</v>
      </c>
      <c r="O201" s="11"/>
      <c r="P201" s="7">
        <v>112373.06999999999</v>
      </c>
      <c r="Q201" s="2"/>
      <c r="R201" s="6">
        <f t="shared" si="52"/>
        <v>2.8277358903319168E-2</v>
      </c>
      <c r="S201" s="2"/>
      <c r="T201" s="7">
        <v>15944.24</v>
      </c>
      <c r="U201" s="2"/>
      <c r="V201" s="6">
        <f t="shared" si="53"/>
        <v>2.2461212367077404E-3</v>
      </c>
      <c r="W201" s="2"/>
      <c r="X201" s="7">
        <f t="shared" si="54"/>
        <v>96428.829999999987</v>
      </c>
      <c r="Y201" s="2"/>
      <c r="Z201" s="6">
        <f t="shared" si="55"/>
        <v>6.047878732382352</v>
      </c>
    </row>
    <row r="202" spans="1:26" s="24" customFormat="1" hidden="1" outlineLevel="2" x14ac:dyDescent="0.25">
      <c r="A202" s="27"/>
      <c r="B202" s="11" t="str">
        <f>CONCATENATE("          ", "6005", " - ", "TEMPORARY WAGES-HOURLY")</f>
        <v xml:space="preserve">          6005 - TEMPORARY WAGES-HOURLY</v>
      </c>
      <c r="C202" s="11"/>
      <c r="D202" s="7">
        <v>9577.32</v>
      </c>
      <c r="E202" s="2"/>
      <c r="F202" s="6">
        <f t="shared" si="48"/>
        <v>3.0591296557458597E-2</v>
      </c>
      <c r="G202" s="2"/>
      <c r="H202" s="7">
        <v>19664.38</v>
      </c>
      <c r="I202" s="2"/>
      <c r="J202" s="6">
        <f t="shared" si="49"/>
        <v>3.7207767667714282E-2</v>
      </c>
      <c r="K202" s="2"/>
      <c r="L202" s="7">
        <f t="shared" si="50"/>
        <v>-10087.060000000001</v>
      </c>
      <c r="M202" s="2"/>
      <c r="N202" s="6">
        <f t="shared" si="51"/>
        <v>-0.51296099851609867</v>
      </c>
      <c r="O202" s="11"/>
      <c r="P202" s="7">
        <v>97643.45</v>
      </c>
      <c r="Q202" s="2"/>
      <c r="R202" s="6">
        <f t="shared" si="52"/>
        <v>2.4570823598646013E-2</v>
      </c>
      <c r="S202" s="2"/>
      <c r="T202" s="7">
        <v>127864.01000000001</v>
      </c>
      <c r="U202" s="2"/>
      <c r="V202" s="6">
        <f t="shared" si="53"/>
        <v>1.8012653363949045E-2</v>
      </c>
      <c r="W202" s="2"/>
      <c r="X202" s="7">
        <f t="shared" si="54"/>
        <v>-30220.560000000012</v>
      </c>
      <c r="Y202" s="2"/>
      <c r="Z202" s="6">
        <f t="shared" si="55"/>
        <v>-0.23634922758953056</v>
      </c>
    </row>
    <row r="203" spans="1:26" s="24" customFormat="1" hidden="1" outlineLevel="2" x14ac:dyDescent="0.25">
      <c r="A203" s="27"/>
      <c r="B203" s="11" t="str">
        <f>CONCATENATE("          ", "6006", " - ", "TEMPORARY PART TIME")</f>
        <v xml:space="preserve">          6006 - TEMPORARY PART TIME</v>
      </c>
      <c r="C203" s="11"/>
      <c r="D203" s="7">
        <v>1432.35</v>
      </c>
      <c r="E203" s="2"/>
      <c r="F203" s="6">
        <f t="shared" si="48"/>
        <v>4.5751257788270439E-3</v>
      </c>
      <c r="G203" s="2"/>
      <c r="H203" s="7">
        <v>1313</v>
      </c>
      <c r="I203" s="2"/>
      <c r="J203" s="6">
        <f t="shared" si="49"/>
        <v>2.4843803337663761E-3</v>
      </c>
      <c r="K203" s="2"/>
      <c r="L203" s="7">
        <f t="shared" si="50"/>
        <v>119.34999999999991</v>
      </c>
      <c r="M203" s="2"/>
      <c r="N203" s="6">
        <f t="shared" si="51"/>
        <v>9.0898705255140835E-2</v>
      </c>
      <c r="O203" s="11"/>
      <c r="P203" s="7">
        <v>9987.9599999999991</v>
      </c>
      <c r="Q203" s="2"/>
      <c r="R203" s="6">
        <f t="shared" si="52"/>
        <v>2.5133524396191696E-3</v>
      </c>
      <c r="S203" s="2"/>
      <c r="T203" s="7">
        <v>28749.91</v>
      </c>
      <c r="U203" s="2"/>
      <c r="V203" s="6">
        <f t="shared" si="53"/>
        <v>4.0501010649887509E-3</v>
      </c>
      <c r="W203" s="2"/>
      <c r="X203" s="7">
        <f t="shared" si="54"/>
        <v>-18761.95</v>
      </c>
      <c r="Y203" s="2"/>
      <c r="Z203" s="6">
        <f t="shared" si="55"/>
        <v>-0.65259160811286021</v>
      </c>
    </row>
    <row r="204" spans="1:26" s="24" customFormat="1" hidden="1" outlineLevel="2" x14ac:dyDescent="0.25">
      <c r="A204" s="27"/>
      <c r="B204" s="11" t="str">
        <f>CONCATENATE("          ", "6007", " - ", "STUDENT HOURLY")</f>
        <v xml:space="preserve">          6007 - STUDENT HOURLY</v>
      </c>
      <c r="C204" s="11"/>
      <c r="D204" s="7">
        <v>30388.030000000002</v>
      </c>
      <c r="E204" s="2"/>
      <c r="F204" s="6">
        <f t="shared" si="48"/>
        <v>9.7063608350451774E-2</v>
      </c>
      <c r="G204" s="2"/>
      <c r="H204" s="7">
        <v>61254.409999999996</v>
      </c>
      <c r="I204" s="2"/>
      <c r="J204" s="6">
        <f t="shared" si="49"/>
        <v>0.11590194330575966</v>
      </c>
      <c r="K204" s="2"/>
      <c r="L204" s="7">
        <f t="shared" si="50"/>
        <v>-30866.379999999994</v>
      </c>
      <c r="M204" s="2"/>
      <c r="N204" s="6">
        <f t="shared" si="51"/>
        <v>-0.50390461682677212</v>
      </c>
      <c r="O204" s="11"/>
      <c r="P204" s="7">
        <v>179083.06</v>
      </c>
      <c r="Q204" s="2"/>
      <c r="R204" s="6">
        <f t="shared" si="52"/>
        <v>4.5064141801275354E-2</v>
      </c>
      <c r="S204" s="2"/>
      <c r="T204" s="7">
        <v>477814.67</v>
      </c>
      <c r="U204" s="2"/>
      <c r="V204" s="6">
        <f t="shared" si="53"/>
        <v>6.731143519524925E-2</v>
      </c>
      <c r="W204" s="2"/>
      <c r="X204" s="7">
        <f t="shared" si="54"/>
        <v>-298731.61</v>
      </c>
      <c r="Y204" s="2"/>
      <c r="Z204" s="6">
        <f t="shared" si="55"/>
        <v>-0.62520393105552829</v>
      </c>
    </row>
    <row r="205" spans="1:26" s="24" customFormat="1" hidden="1" outlineLevel="2" x14ac:dyDescent="0.25">
      <c r="A205" s="27"/>
      <c r="B205" s="11" t="str">
        <f>CONCATENATE("          ", "6008", " - ", "STUDENT HOURLY-FICA EXEMPT")</f>
        <v xml:space="preserve">          6008 - STUDENT HOURLY-FICA EXEMPT</v>
      </c>
      <c r="C205" s="11"/>
      <c r="D205" s="7">
        <v>1083.1600000000001</v>
      </c>
      <c r="E205" s="2"/>
      <c r="F205" s="6">
        <f t="shared" si="48"/>
        <v>3.4597641907315262E-3</v>
      </c>
      <c r="G205" s="2"/>
      <c r="H205" s="7">
        <v>1160.25</v>
      </c>
      <c r="I205" s="2"/>
      <c r="J205" s="6">
        <f t="shared" si="49"/>
        <v>2.1953558889965252E-3</v>
      </c>
      <c r="K205" s="2"/>
      <c r="L205" s="7">
        <f t="shared" si="50"/>
        <v>-77.089999999999918</v>
      </c>
      <c r="M205" s="2"/>
      <c r="N205" s="6">
        <f t="shared" si="51"/>
        <v>-6.6442577030812258E-2</v>
      </c>
      <c r="O205" s="11"/>
      <c r="P205" s="7">
        <v>4930.45</v>
      </c>
      <c r="Q205" s="2"/>
      <c r="R205" s="6">
        <f t="shared" si="52"/>
        <v>1.2406896439233173E-3</v>
      </c>
      <c r="S205" s="2"/>
      <c r="T205" s="7">
        <v>6443.25</v>
      </c>
      <c r="U205" s="2"/>
      <c r="V205" s="6">
        <f t="shared" si="53"/>
        <v>9.0768331751260329E-4</v>
      </c>
      <c r="W205" s="2"/>
      <c r="X205" s="7">
        <f t="shared" si="54"/>
        <v>-1512.8000000000002</v>
      </c>
      <c r="Y205" s="2"/>
      <c r="Z205" s="6">
        <f t="shared" si="55"/>
        <v>-0.23478834439141741</v>
      </c>
    </row>
    <row r="206" spans="1:26" s="25" customFormat="1" outlineLevel="1" collapsed="1" x14ac:dyDescent="0.25">
      <c r="A206" s="26"/>
      <c r="B206" s="13" t="str">
        <f>CONCATENATE("     ","Advertising/Promo                                 ")</f>
        <v xml:space="preserve">     Advertising/Promo                                 </v>
      </c>
      <c r="C206" s="13"/>
      <c r="D206" s="1">
        <f>SUM(OSRRefD22_2x_0)</f>
        <v>343.98</v>
      </c>
      <c r="E206" s="1"/>
      <c r="F206" s="5">
        <f t="shared" ref="F206:F210" si="56">IF(D$12=0,0,D206/D$12)</f>
        <v>1.0987201210604439E-3</v>
      </c>
      <c r="G206" s="1"/>
      <c r="H206" s="1">
        <f>SUM(OSRRefH22_2x_0)</f>
        <v>4759.8500000000004</v>
      </c>
      <c r="I206" s="1"/>
      <c r="J206" s="5">
        <f t="shared" ref="J206:J210" si="57">IF(H$12=0,0,H206/H$12)</f>
        <v>9.0063044414911541E-3</v>
      </c>
      <c r="K206" s="1"/>
      <c r="L206" s="1">
        <f t="shared" ref="L206:L210" si="58">+D206-H206</f>
        <v>-4415.8700000000008</v>
      </c>
      <c r="M206" s="1"/>
      <c r="N206" s="5">
        <f t="shared" ref="N206:N210" si="59">IF(H206=0,0,L206/H206)</f>
        <v>-0.92773301679674791</v>
      </c>
      <c r="O206" s="13"/>
      <c r="P206" s="1">
        <f>SUM(OSRRefP22_2x_0)</f>
        <v>14951.390000000001</v>
      </c>
      <c r="Q206" s="1"/>
      <c r="R206" s="5">
        <f t="shared" ref="R206:R210" si="60">IF(P$12=0,0,P206/P$12)</f>
        <v>3.7623411119185163E-3</v>
      </c>
      <c r="S206" s="1"/>
      <c r="T206" s="1">
        <f>SUM(OSRRefT22_2x_0)</f>
        <v>38809.910000000003</v>
      </c>
      <c r="U206" s="1"/>
      <c r="V206" s="5">
        <f t="shared" ref="V206:V210" si="61">IF(T$12=0,0,T206/T$12)</f>
        <v>5.4672886914469499E-3</v>
      </c>
      <c r="W206" s="1"/>
      <c r="X206" s="1">
        <f t="shared" ref="X206:X210" si="62">+P206-T206</f>
        <v>-23858.520000000004</v>
      </c>
      <c r="Y206" s="1"/>
      <c r="Z206" s="5">
        <f t="shared" ref="Z206:Z210" si="63">IF(T206=0,0,X206/T206)</f>
        <v>-0.61475329368194886</v>
      </c>
    </row>
    <row r="207" spans="1:26" s="24" customFormat="1" hidden="1" outlineLevel="2" x14ac:dyDescent="0.25">
      <c r="A207" s="27"/>
      <c r="B207" s="11" t="str">
        <f>CONCATENATE("          ", "6362", " - ", "ADVERTISING EXPENSE")</f>
        <v xml:space="preserve">          6362 - ADVERTISING EXPENSE</v>
      </c>
      <c r="C207" s="11"/>
      <c r="D207" s="7">
        <v>343.98</v>
      </c>
      <c r="E207" s="2"/>
      <c r="F207" s="6">
        <f t="shared" si="56"/>
        <v>1.0987201210604439E-3</v>
      </c>
      <c r="G207" s="2"/>
      <c r="H207" s="7">
        <v>4759.8500000000004</v>
      </c>
      <c r="I207" s="2"/>
      <c r="J207" s="6">
        <f t="shared" si="57"/>
        <v>9.0063044414911541E-3</v>
      </c>
      <c r="K207" s="2"/>
      <c r="L207" s="7">
        <f t="shared" si="58"/>
        <v>-4415.8700000000008</v>
      </c>
      <c r="M207" s="2"/>
      <c r="N207" s="6">
        <f t="shared" si="59"/>
        <v>-0.92773301679674791</v>
      </c>
      <c r="O207" s="11"/>
      <c r="P207" s="7">
        <v>14951.390000000001</v>
      </c>
      <c r="Q207" s="2"/>
      <c r="R207" s="6">
        <f t="shared" si="60"/>
        <v>3.7623411119185163E-3</v>
      </c>
      <c r="S207" s="2"/>
      <c r="T207" s="7">
        <v>38809.910000000003</v>
      </c>
      <c r="U207" s="2"/>
      <c r="V207" s="6">
        <f t="shared" si="61"/>
        <v>5.4672886914469499E-3</v>
      </c>
      <c r="W207" s="2"/>
      <c r="X207" s="7">
        <f t="shared" si="62"/>
        <v>-23858.520000000004</v>
      </c>
      <c r="Y207" s="2"/>
      <c r="Z207" s="6">
        <f t="shared" si="63"/>
        <v>-0.61475329368194886</v>
      </c>
    </row>
    <row r="208" spans="1:26" s="25" customFormat="1" outlineLevel="1" collapsed="1" x14ac:dyDescent="0.25">
      <c r="A208" s="26"/>
      <c r="B208" s="13" t="str">
        <f>CONCATENATE("     ","Bad Debts/Over/Short                              ")</f>
        <v xml:space="preserve">     Bad Debts/Over/Short                              </v>
      </c>
      <c r="C208" s="13"/>
      <c r="D208" s="1">
        <f>SUM(OSRRefD22_3x_0)</f>
        <v>-5.34</v>
      </c>
      <c r="E208" s="1"/>
      <c r="F208" s="5">
        <f t="shared" si="56"/>
        <v>-1.70567051760648E-5</v>
      </c>
      <c r="G208" s="1"/>
      <c r="H208" s="1">
        <f>SUM(OSRRefH22_3x_0)</f>
        <v>77.56</v>
      </c>
      <c r="I208" s="1"/>
      <c r="J208" s="5">
        <f t="shared" si="57"/>
        <v>1.4675440874860633E-4</v>
      </c>
      <c r="K208" s="1"/>
      <c r="L208" s="1">
        <f t="shared" si="58"/>
        <v>-82.9</v>
      </c>
      <c r="M208" s="1"/>
      <c r="N208" s="5">
        <f t="shared" si="59"/>
        <v>-1.0688499226405364</v>
      </c>
      <c r="O208" s="13"/>
      <c r="P208" s="1">
        <f>SUM(OSRRefP22_3x_0)</f>
        <v>45.96</v>
      </c>
      <c r="Q208" s="1"/>
      <c r="R208" s="5">
        <f t="shared" si="60"/>
        <v>1.1565292424568886E-5</v>
      </c>
      <c r="S208" s="1"/>
      <c r="T208" s="1">
        <f>SUM(OSRRefT22_3x_0)</f>
        <v>150.01999999999998</v>
      </c>
      <c r="U208" s="1"/>
      <c r="V208" s="5">
        <f t="shared" si="61"/>
        <v>2.1133845697938266E-5</v>
      </c>
      <c r="W208" s="1"/>
      <c r="X208" s="1">
        <f t="shared" si="62"/>
        <v>-104.05999999999997</v>
      </c>
      <c r="Y208" s="1"/>
      <c r="Z208" s="5">
        <f t="shared" si="63"/>
        <v>-0.69364084788694835</v>
      </c>
    </row>
    <row r="209" spans="1:26" s="24" customFormat="1" hidden="1" outlineLevel="2" x14ac:dyDescent="0.25">
      <c r="A209" s="27"/>
      <c r="B209" s="11" t="str">
        <f>CONCATENATE("          ", "6272", " - ", "CASH (OVER/SHORT)")</f>
        <v xml:space="preserve">          6272 - CASH (OVER/SHORT)</v>
      </c>
      <c r="C209" s="11"/>
      <c r="D209" s="7">
        <v>-5.34</v>
      </c>
      <c r="E209" s="2"/>
      <c r="F209" s="6">
        <f t="shared" si="56"/>
        <v>-1.70567051760648E-5</v>
      </c>
      <c r="G209" s="2"/>
      <c r="H209" s="7">
        <v>77.56</v>
      </c>
      <c r="I209" s="2"/>
      <c r="J209" s="6">
        <f t="shared" si="57"/>
        <v>1.4675440874860633E-4</v>
      </c>
      <c r="K209" s="2"/>
      <c r="L209" s="7">
        <f t="shared" si="58"/>
        <v>-82.9</v>
      </c>
      <c r="M209" s="2"/>
      <c r="N209" s="6">
        <f t="shared" si="59"/>
        <v>-1.0688499226405364</v>
      </c>
      <c r="O209" s="11"/>
      <c r="P209" s="7">
        <v>45.96</v>
      </c>
      <c r="Q209" s="2"/>
      <c r="R209" s="6">
        <f t="shared" si="60"/>
        <v>1.1565292424568886E-5</v>
      </c>
      <c r="S209" s="2"/>
      <c r="T209" s="7">
        <v>105.22</v>
      </c>
      <c r="U209" s="2"/>
      <c r="V209" s="6">
        <f t="shared" si="61"/>
        <v>1.4822711933989231E-5</v>
      </c>
      <c r="W209" s="2"/>
      <c r="X209" s="7">
        <f t="shared" si="62"/>
        <v>-59.26</v>
      </c>
      <c r="Y209" s="2"/>
      <c r="Z209" s="6">
        <f t="shared" si="63"/>
        <v>-0.56320091237407333</v>
      </c>
    </row>
    <row r="210" spans="1:26" s="24" customFormat="1" hidden="1" outlineLevel="2" x14ac:dyDescent="0.25">
      <c r="A210" s="27"/>
      <c r="B210" s="11" t="str">
        <f>CONCATENATE("          ", "6342", " - ", "BAD DEBT")</f>
        <v xml:space="preserve">          6342 - BAD DEBT</v>
      </c>
      <c r="C210" s="11"/>
      <c r="D210" s="7"/>
      <c r="E210" s="2"/>
      <c r="F210" s="6">
        <f t="shared" si="56"/>
        <v>0</v>
      </c>
      <c r="G210" s="2"/>
      <c r="H210" s="7"/>
      <c r="I210" s="2"/>
      <c r="J210" s="6">
        <f t="shared" si="57"/>
        <v>0</v>
      </c>
      <c r="K210" s="2"/>
      <c r="L210" s="7">
        <f t="shared" si="58"/>
        <v>0</v>
      </c>
      <c r="M210" s="2"/>
      <c r="N210" s="6">
        <f t="shared" si="59"/>
        <v>0</v>
      </c>
      <c r="O210" s="11"/>
      <c r="P210" s="7"/>
      <c r="Q210" s="2"/>
      <c r="R210" s="6">
        <f t="shared" si="60"/>
        <v>0</v>
      </c>
      <c r="S210" s="2"/>
      <c r="T210" s="7">
        <v>44.8</v>
      </c>
      <c r="U210" s="2"/>
      <c r="V210" s="6">
        <f t="shared" si="61"/>
        <v>6.3111337639490354E-6</v>
      </c>
      <c r="W210" s="2"/>
      <c r="X210" s="7">
        <f t="shared" si="62"/>
        <v>-44.8</v>
      </c>
      <c r="Y210" s="2"/>
      <c r="Z210" s="6">
        <f t="shared" si="63"/>
        <v>-1</v>
      </c>
    </row>
    <row r="211" spans="1:26" s="25" customFormat="1" outlineLevel="1" collapsed="1" x14ac:dyDescent="0.25">
      <c r="A211" s="26"/>
      <c r="B211" s="13" t="str">
        <f>CONCATENATE("     ","Bank/card Fees                                    ")</f>
        <v xml:space="preserve">     Bank/card Fees                                    </v>
      </c>
      <c r="C211" s="13"/>
      <c r="D211" s="1">
        <f>SUM(OSRRefD22_4x_0)</f>
        <v>5214.3999999999996</v>
      </c>
      <c r="E211" s="1"/>
      <c r="F211" s="5">
        <f t="shared" ref="F211:F215" si="64">IF(D$12=0,0,D211/D$12)</f>
        <v>1.6655521249077206E-2</v>
      </c>
      <c r="G211" s="1"/>
      <c r="H211" s="1">
        <f>SUM(OSRRefH22_4x_0)</f>
        <v>9604.4500000000007</v>
      </c>
      <c r="I211" s="1"/>
      <c r="J211" s="5">
        <f t="shared" ref="J211:J215" si="65">IF(H$12=0,0,H211/H$12)</f>
        <v>1.8172967781144304E-2</v>
      </c>
      <c r="K211" s="1"/>
      <c r="L211" s="1">
        <f t="shared" ref="L211:L215" si="66">+D211-H211</f>
        <v>-4390.0500000000011</v>
      </c>
      <c r="M211" s="1"/>
      <c r="N211" s="5">
        <f t="shared" ref="N211:N215" si="67">IF(H211=0,0,L211/H211)</f>
        <v>-0.45708499705865518</v>
      </c>
      <c r="O211" s="13"/>
      <c r="P211" s="1">
        <f>SUM(OSRRefP22_4x_0)</f>
        <v>46796.780000000006</v>
      </c>
      <c r="Q211" s="1"/>
      <c r="R211" s="5">
        <f t="shared" ref="R211:R215" si="68">IF(P$12=0,0,P211/P$12)</f>
        <v>1.1775858251266685E-2</v>
      </c>
      <c r="S211" s="1"/>
      <c r="T211" s="1">
        <f>SUM(OSRRefT22_4x_0)</f>
        <v>91668.18</v>
      </c>
      <c r="U211" s="1"/>
      <c r="V211" s="5">
        <f t="shared" ref="V211:V215" si="69">IF(T$12=0,0,T211/T$12)</f>
        <v>1.2913619327628519E-2</v>
      </c>
      <c r="W211" s="1"/>
      <c r="X211" s="1">
        <f t="shared" ref="X211:X215" si="70">+P211-T211</f>
        <v>-44871.399999999987</v>
      </c>
      <c r="Y211" s="1"/>
      <c r="Z211" s="5">
        <f t="shared" ref="Z211:Z215" si="71">IF(T211=0,0,X211/T211)</f>
        <v>-0.48949810064953825</v>
      </c>
    </row>
    <row r="212" spans="1:26" s="24" customFormat="1" hidden="1" outlineLevel="2" x14ac:dyDescent="0.25">
      <c r="A212" s="27"/>
      <c r="B212" s="11" t="str">
        <f>CONCATENATE("          ", "6381", " - ", "BANK/CREDIT CARD FEES")</f>
        <v xml:space="preserve">          6381 - BANK/CREDIT CARD FEES</v>
      </c>
      <c r="C212" s="11"/>
      <c r="D212" s="7">
        <v>5214.3999999999996</v>
      </c>
      <c r="E212" s="2"/>
      <c r="F212" s="6">
        <f t="shared" si="64"/>
        <v>1.6655521249077206E-2</v>
      </c>
      <c r="G212" s="2"/>
      <c r="H212" s="7">
        <v>9604.4500000000007</v>
      </c>
      <c r="I212" s="2"/>
      <c r="J212" s="6">
        <f t="shared" si="65"/>
        <v>1.8172967781144304E-2</v>
      </c>
      <c r="K212" s="2"/>
      <c r="L212" s="7">
        <f t="shared" si="66"/>
        <v>-4390.0500000000011</v>
      </c>
      <c r="M212" s="2"/>
      <c r="N212" s="6">
        <f t="shared" si="67"/>
        <v>-0.45708499705865518</v>
      </c>
      <c r="O212" s="11"/>
      <c r="P212" s="7">
        <v>46796.780000000006</v>
      </c>
      <c r="Q212" s="2"/>
      <c r="R212" s="6">
        <f t="shared" si="68"/>
        <v>1.1775858251266685E-2</v>
      </c>
      <c r="S212" s="2"/>
      <c r="T212" s="7">
        <v>91668.18</v>
      </c>
      <c r="U212" s="2"/>
      <c r="V212" s="6">
        <f t="shared" si="69"/>
        <v>1.2913619327628519E-2</v>
      </c>
      <c r="W212" s="2"/>
      <c r="X212" s="7">
        <f t="shared" si="70"/>
        <v>-44871.399999999987</v>
      </c>
      <c r="Y212" s="2"/>
      <c r="Z212" s="6">
        <f t="shared" si="71"/>
        <v>-0.48949810064953825</v>
      </c>
    </row>
    <row r="213" spans="1:26" s="25" customFormat="1" outlineLevel="1" collapsed="1" x14ac:dyDescent="0.25">
      <c r="A213" s="26"/>
      <c r="B213" s="13" t="str">
        <f>CONCATENATE("     ","Depreciation                                      ")</f>
        <v xml:space="preserve">     Depreciation                                      </v>
      </c>
      <c r="C213" s="13"/>
      <c r="D213" s="1">
        <f>SUM(OSRRefD22_5x_0)</f>
        <v>31016.29</v>
      </c>
      <c r="E213" s="1"/>
      <c r="F213" s="5">
        <f t="shared" si="64"/>
        <v>9.9070358461671698E-2</v>
      </c>
      <c r="G213" s="1"/>
      <c r="H213" s="1">
        <f>SUM(OSRRefH22_5x_0)</f>
        <v>30057.75</v>
      </c>
      <c r="I213" s="1"/>
      <c r="J213" s="5">
        <f t="shared" si="65"/>
        <v>5.6873482846356654E-2</v>
      </c>
      <c r="K213" s="1"/>
      <c r="L213" s="1">
        <f t="shared" si="66"/>
        <v>958.54000000000087</v>
      </c>
      <c r="M213" s="1"/>
      <c r="N213" s="5">
        <f t="shared" si="67"/>
        <v>3.1889945188844838E-2</v>
      </c>
      <c r="O213" s="13"/>
      <c r="P213" s="1">
        <f>SUM(OSRRefP22_5x_0)</f>
        <v>186393.22999999998</v>
      </c>
      <c r="Q213" s="1"/>
      <c r="R213" s="5">
        <f t="shared" si="68"/>
        <v>4.6903659941469229E-2</v>
      </c>
      <c r="S213" s="1"/>
      <c r="T213" s="1">
        <f>SUM(OSRRefT22_5x_0)</f>
        <v>179497.1</v>
      </c>
      <c r="U213" s="1"/>
      <c r="V213" s="5">
        <f t="shared" si="69"/>
        <v>2.5286388579038761E-2</v>
      </c>
      <c r="W213" s="1"/>
      <c r="X213" s="1">
        <f t="shared" si="70"/>
        <v>6896.1299999999756</v>
      </c>
      <c r="Y213" s="1"/>
      <c r="Z213" s="5">
        <f t="shared" si="71"/>
        <v>3.8419172231751793E-2</v>
      </c>
    </row>
    <row r="214" spans="1:26" s="24" customFormat="1" hidden="1" outlineLevel="2" x14ac:dyDescent="0.25">
      <c r="A214" s="27"/>
      <c r="B214" s="11" t="str">
        <f>CONCATENATE("          ", "6321", " - ", "BUILDING DEPRECIATION")</f>
        <v xml:space="preserve">          6321 - BUILDING DEPRECIATION</v>
      </c>
      <c r="C214" s="11"/>
      <c r="D214" s="7">
        <v>16396.52</v>
      </c>
      <c r="E214" s="2"/>
      <c r="F214" s="6">
        <f t="shared" si="64"/>
        <v>5.2372772950084273E-2</v>
      </c>
      <c r="G214" s="2"/>
      <c r="H214" s="7">
        <v>16396.52</v>
      </c>
      <c r="I214" s="2"/>
      <c r="J214" s="6">
        <f t="shared" si="65"/>
        <v>3.1024517768626855E-2</v>
      </c>
      <c r="K214" s="2"/>
      <c r="L214" s="7">
        <f t="shared" si="66"/>
        <v>0</v>
      </c>
      <c r="M214" s="2"/>
      <c r="N214" s="6">
        <f t="shared" si="67"/>
        <v>0</v>
      </c>
      <c r="O214" s="11"/>
      <c r="P214" s="7">
        <v>98379.12</v>
      </c>
      <c r="Q214" s="2"/>
      <c r="R214" s="6">
        <f t="shared" si="68"/>
        <v>2.4755946285286191E-2</v>
      </c>
      <c r="S214" s="2"/>
      <c r="T214" s="7">
        <v>98379.12</v>
      </c>
      <c r="U214" s="2"/>
      <c r="V214" s="6">
        <f t="shared" si="69"/>
        <v>1.3859013078115934E-2</v>
      </c>
      <c r="W214" s="2"/>
      <c r="X214" s="7">
        <f t="shared" si="70"/>
        <v>0</v>
      </c>
      <c r="Y214" s="2"/>
      <c r="Z214" s="6">
        <f t="shared" si="71"/>
        <v>0</v>
      </c>
    </row>
    <row r="215" spans="1:26" s="24" customFormat="1" hidden="1" outlineLevel="2" x14ac:dyDescent="0.25">
      <c r="A215" s="27"/>
      <c r="B215" s="11" t="str">
        <f>CONCATENATE("          ", "6322", " - ", "EQUIPMENT DEPRECIATION EXPENSE")</f>
        <v xml:space="preserve">          6322 - EQUIPMENT DEPRECIATION EXPENSE</v>
      </c>
      <c r="C215" s="11"/>
      <c r="D215" s="7">
        <v>14619.77</v>
      </c>
      <c r="E215" s="2"/>
      <c r="F215" s="6">
        <f t="shared" si="64"/>
        <v>4.6697585511587432E-2</v>
      </c>
      <c r="G215" s="2"/>
      <c r="H215" s="7">
        <v>13661.23</v>
      </c>
      <c r="I215" s="2"/>
      <c r="J215" s="6">
        <f t="shared" si="65"/>
        <v>2.58489650777298E-2</v>
      </c>
      <c r="K215" s="2"/>
      <c r="L215" s="7">
        <f t="shared" si="66"/>
        <v>958.54000000000087</v>
      </c>
      <c r="M215" s="2"/>
      <c r="N215" s="6">
        <f t="shared" si="67"/>
        <v>7.0164985144090308E-2</v>
      </c>
      <c r="O215" s="11"/>
      <c r="P215" s="7">
        <v>88014.11</v>
      </c>
      <c r="Q215" s="2"/>
      <c r="R215" s="6">
        <f t="shared" si="68"/>
        <v>2.2147713656183041E-2</v>
      </c>
      <c r="S215" s="2"/>
      <c r="T215" s="7">
        <v>81117.98000000001</v>
      </c>
      <c r="U215" s="2"/>
      <c r="V215" s="6">
        <f t="shared" si="69"/>
        <v>1.1427375500922828E-2</v>
      </c>
      <c r="W215" s="2"/>
      <c r="X215" s="7">
        <f t="shared" si="70"/>
        <v>6896.1299999999901</v>
      </c>
      <c r="Y215" s="2"/>
      <c r="Z215" s="6">
        <f t="shared" si="71"/>
        <v>8.5013581452595216E-2</v>
      </c>
    </row>
    <row r="216" spans="1:26" s="25" customFormat="1" outlineLevel="1" collapsed="1" x14ac:dyDescent="0.25">
      <c r="A216" s="26"/>
      <c r="B216" s="13" t="str">
        <f>CONCATENATE("     ","Discounts and Markdowns                           ")</f>
        <v xml:space="preserve">     Discounts and Markdowns                           </v>
      </c>
      <c r="C216" s="13"/>
      <c r="D216" s="1">
        <f>SUM(OSRRefD22_6x_0)</f>
        <v>0</v>
      </c>
      <c r="E216" s="1"/>
      <c r="F216" s="5">
        <f t="shared" ref="F216:F218" si="72">IF(D$12=0,0,D216/D$12)</f>
        <v>0</v>
      </c>
      <c r="G216" s="1"/>
      <c r="H216" s="1">
        <f>SUM(OSRRefH22_6x_0)</f>
        <v>41752.9</v>
      </c>
      <c r="I216" s="1"/>
      <c r="J216" s="5">
        <f t="shared" ref="J216:J218" si="73">IF(H$12=0,0,H216/H$12)</f>
        <v>7.9002348543575115E-2</v>
      </c>
      <c r="K216" s="1"/>
      <c r="L216" s="1">
        <f t="shared" ref="L216:L218" si="74">+D216-H216</f>
        <v>-41752.9</v>
      </c>
      <c r="M216" s="1"/>
      <c r="N216" s="5">
        <f t="shared" ref="N216:N218" si="75">IF(H216=0,0,L216/H216)</f>
        <v>-1</v>
      </c>
      <c r="O216" s="13"/>
      <c r="P216" s="1">
        <f>SUM(OSRRefP22_6x_0)</f>
        <v>0</v>
      </c>
      <c r="Q216" s="1"/>
      <c r="R216" s="5">
        <f t="shared" ref="R216:R218" si="76">IF(P$12=0,0,P216/P$12)</f>
        <v>0</v>
      </c>
      <c r="S216" s="1"/>
      <c r="T216" s="1">
        <f>SUM(OSRRefT22_6x_0)</f>
        <v>236975.00000000003</v>
      </c>
      <c r="U216" s="1"/>
      <c r="V216" s="5">
        <f t="shared" ref="V216:V218" si="77">IF(T$12=0,0,T216/T$12)</f>
        <v>3.338350276142462E-2</v>
      </c>
      <c r="W216" s="1"/>
      <c r="X216" s="1">
        <f t="shared" ref="X216:X218" si="78">+P216-T216</f>
        <v>-236975.00000000003</v>
      </c>
      <c r="Y216" s="1"/>
      <c r="Z216" s="5">
        <f t="shared" ref="Z216:Z218" si="79">IF(T216=0,0,X216/T216)</f>
        <v>-1</v>
      </c>
    </row>
    <row r="217" spans="1:26" s="24" customFormat="1" hidden="1" outlineLevel="2" x14ac:dyDescent="0.25">
      <c r="A217" s="27"/>
      <c r="B217" s="11" t="str">
        <f>CONCATENATE("          ", "6382", " - ", "DISCOUNTS/MARK DOWNS")</f>
        <v xml:space="preserve">          6382 - DISCOUNTS/MARK DOWNS</v>
      </c>
      <c r="C217" s="11"/>
      <c r="D217" s="7"/>
      <c r="E217" s="2"/>
      <c r="F217" s="6">
        <f t="shared" si="72"/>
        <v>0</v>
      </c>
      <c r="G217" s="2"/>
      <c r="H217" s="7">
        <v>41874.15</v>
      </c>
      <c r="I217" s="2"/>
      <c r="J217" s="6">
        <f t="shared" si="73"/>
        <v>7.9231770566019266E-2</v>
      </c>
      <c r="K217" s="2"/>
      <c r="L217" s="7">
        <f t="shared" si="74"/>
        <v>-41874.15</v>
      </c>
      <c r="M217" s="2"/>
      <c r="N217" s="6">
        <f t="shared" si="75"/>
        <v>-1</v>
      </c>
      <c r="O217" s="11"/>
      <c r="P217" s="7">
        <v>0</v>
      </c>
      <c r="Q217" s="2"/>
      <c r="R217" s="6">
        <f t="shared" si="76"/>
        <v>0</v>
      </c>
      <c r="S217" s="2"/>
      <c r="T217" s="7">
        <v>239461.50000000003</v>
      </c>
      <c r="U217" s="2"/>
      <c r="V217" s="6">
        <f t="shared" si="77"/>
        <v>3.373378477267594E-2</v>
      </c>
      <c r="W217" s="2"/>
      <c r="X217" s="7">
        <f t="shared" si="78"/>
        <v>-239461.50000000003</v>
      </c>
      <c r="Y217" s="2"/>
      <c r="Z217" s="6">
        <f t="shared" si="79"/>
        <v>-1</v>
      </c>
    </row>
    <row r="218" spans="1:26" s="24" customFormat="1" hidden="1" outlineLevel="2" x14ac:dyDescent="0.25">
      <c r="A218" s="27"/>
      <c r="B218" s="11" t="str">
        <f>CONCATENATE("          ", "9175", " - ", "EARNED DISCOUNTS")</f>
        <v xml:space="preserve">          9175 - EARNED DISCOUNTS</v>
      </c>
      <c r="C218" s="11"/>
      <c r="D218" s="7"/>
      <c r="E218" s="2"/>
      <c r="F218" s="6">
        <f t="shared" si="72"/>
        <v>0</v>
      </c>
      <c r="G218" s="2"/>
      <c r="H218" s="7">
        <v>-121.25</v>
      </c>
      <c r="I218" s="2"/>
      <c r="J218" s="6">
        <f t="shared" si="73"/>
        <v>-2.2942202244415316E-4</v>
      </c>
      <c r="K218" s="2"/>
      <c r="L218" s="7">
        <f t="shared" si="74"/>
        <v>121.25</v>
      </c>
      <c r="M218" s="2"/>
      <c r="N218" s="6">
        <f t="shared" si="75"/>
        <v>-1</v>
      </c>
      <c r="O218" s="11"/>
      <c r="P218" s="7">
        <v>0</v>
      </c>
      <c r="Q218" s="2"/>
      <c r="R218" s="6">
        <f t="shared" si="76"/>
        <v>0</v>
      </c>
      <c r="S218" s="2"/>
      <c r="T218" s="7">
        <v>-2486.5</v>
      </c>
      <c r="U218" s="2"/>
      <c r="V218" s="6">
        <f t="shared" si="77"/>
        <v>-3.5028201125132316E-4</v>
      </c>
      <c r="W218" s="2"/>
      <c r="X218" s="7">
        <f t="shared" si="78"/>
        <v>2486.5</v>
      </c>
      <c r="Y218" s="2"/>
      <c r="Z218" s="6">
        <f t="shared" si="79"/>
        <v>-1</v>
      </c>
    </row>
    <row r="219" spans="1:26" s="25" customFormat="1" outlineLevel="1" collapsed="1" x14ac:dyDescent="0.25">
      <c r="A219" s="26"/>
      <c r="B219" s="13" t="str">
        <f>CONCATENATE("     ","Donations                                         ")</f>
        <v xml:space="preserve">     Donations                                         </v>
      </c>
      <c r="C219" s="13"/>
      <c r="D219" s="1">
        <f>SUM(OSRRefD22_7x_0)</f>
        <v>0</v>
      </c>
      <c r="E219" s="1"/>
      <c r="F219" s="5">
        <f t="shared" ref="F219:F227" si="80">IF(D$12=0,0,D219/D$12)</f>
        <v>0</v>
      </c>
      <c r="G219" s="1"/>
      <c r="H219" s="1">
        <f>SUM(OSRRefH22_7x_0)</f>
        <v>150.84</v>
      </c>
      <c r="I219" s="1"/>
      <c r="J219" s="5">
        <f t="shared" ref="J219:J227" si="81">IF(H$12=0,0,H219/H$12)</f>
        <v>2.8541045662248298E-4</v>
      </c>
      <c r="K219" s="1"/>
      <c r="L219" s="1">
        <f t="shared" ref="L219:L227" si="82">+D219-H219</f>
        <v>-150.84</v>
      </c>
      <c r="M219" s="1"/>
      <c r="N219" s="5">
        <f t="shared" ref="N219:N227" si="83">IF(H219=0,0,L219/H219)</f>
        <v>-1</v>
      </c>
      <c r="O219" s="13"/>
      <c r="P219" s="1">
        <f>SUM(OSRRefP22_7x_0)</f>
        <v>0</v>
      </c>
      <c r="Q219" s="1"/>
      <c r="R219" s="5">
        <f t="shared" ref="R219:R227" si="84">IF(P$12=0,0,P219/P$12)</f>
        <v>0</v>
      </c>
      <c r="S219" s="1"/>
      <c r="T219" s="1">
        <f>SUM(OSRRefT22_7x_0)</f>
        <v>9798.2199999999993</v>
      </c>
      <c r="U219" s="1"/>
      <c r="V219" s="5">
        <f t="shared" ref="V219:V227" si="85">IF(T$12=0,0,T219/T$12)</f>
        <v>1.3803097559955517E-3</v>
      </c>
      <c r="W219" s="1"/>
      <c r="X219" s="1">
        <f t="shared" ref="X219:X227" si="86">+P219-T219</f>
        <v>-9798.2199999999993</v>
      </c>
      <c r="Y219" s="1"/>
      <c r="Z219" s="5">
        <f t="shared" ref="Z219:Z227" si="87">IF(T219=0,0,X219/T219)</f>
        <v>-1</v>
      </c>
    </row>
    <row r="220" spans="1:26" s="24" customFormat="1" hidden="1" outlineLevel="2" x14ac:dyDescent="0.25">
      <c r="A220" s="27"/>
      <c r="B220" s="11" t="str">
        <f>CONCATENATE("          ", "6399", " - ", "DONATION-ON CAMPUS")</f>
        <v xml:space="preserve">          6399 - DONATION-ON CAMPUS</v>
      </c>
      <c r="C220" s="11"/>
      <c r="D220" s="7"/>
      <c r="E220" s="2"/>
      <c r="F220" s="6">
        <f t="shared" si="80"/>
        <v>0</v>
      </c>
      <c r="G220" s="2"/>
      <c r="H220" s="7">
        <v>150.84</v>
      </c>
      <c r="I220" s="2"/>
      <c r="J220" s="6">
        <f t="shared" si="81"/>
        <v>2.8541045662248298E-4</v>
      </c>
      <c r="K220" s="2"/>
      <c r="L220" s="7">
        <f t="shared" si="82"/>
        <v>-150.84</v>
      </c>
      <c r="M220" s="2"/>
      <c r="N220" s="6">
        <f t="shared" si="83"/>
        <v>-1</v>
      </c>
      <c r="O220" s="11"/>
      <c r="P220" s="7"/>
      <c r="Q220" s="2"/>
      <c r="R220" s="6">
        <f t="shared" si="84"/>
        <v>0</v>
      </c>
      <c r="S220" s="2"/>
      <c r="T220" s="7">
        <v>9798.2199999999993</v>
      </c>
      <c r="U220" s="2"/>
      <c r="V220" s="6">
        <f t="shared" si="85"/>
        <v>1.3803097559955517E-3</v>
      </c>
      <c r="W220" s="2"/>
      <c r="X220" s="7">
        <f t="shared" si="86"/>
        <v>-9798.2199999999993</v>
      </c>
      <c r="Y220" s="2"/>
      <c r="Z220" s="6">
        <f t="shared" si="87"/>
        <v>-1</v>
      </c>
    </row>
    <row r="221" spans="1:26" s="25" customFormat="1" outlineLevel="1" collapsed="1" x14ac:dyDescent="0.25">
      <c r="A221" s="26"/>
      <c r="B221" s="13" t="str">
        <f>CONCATENATE("     ","Employees' Appreciation                           ")</f>
        <v xml:space="preserve">     Employees' Appreciation                           </v>
      </c>
      <c r="C221" s="13"/>
      <c r="D221" s="1">
        <f>SUM(OSRRefD22_8x_0)</f>
        <v>0</v>
      </c>
      <c r="E221" s="1"/>
      <c r="F221" s="5">
        <f t="shared" si="80"/>
        <v>0</v>
      </c>
      <c r="G221" s="1"/>
      <c r="H221" s="1">
        <f>SUM(OSRRefH22_8x_0)</f>
        <v>152.4</v>
      </c>
      <c r="I221" s="1"/>
      <c r="J221" s="5">
        <f t="shared" si="81"/>
        <v>2.8836219563289846E-4</v>
      </c>
      <c r="K221" s="1"/>
      <c r="L221" s="1">
        <f t="shared" si="82"/>
        <v>-152.4</v>
      </c>
      <c r="M221" s="1"/>
      <c r="N221" s="5">
        <f t="shared" si="83"/>
        <v>-1</v>
      </c>
      <c r="O221" s="13"/>
      <c r="P221" s="1">
        <f>SUM(OSRRefP22_8x_0)</f>
        <v>107.7</v>
      </c>
      <c r="Q221" s="1"/>
      <c r="R221" s="5">
        <f t="shared" si="84"/>
        <v>2.7101435903526308E-5</v>
      </c>
      <c r="S221" s="1"/>
      <c r="T221" s="1">
        <f>SUM(OSRRefT22_8x_0)</f>
        <v>1194.04</v>
      </c>
      <c r="U221" s="1"/>
      <c r="V221" s="5">
        <f t="shared" si="85"/>
        <v>1.6820861963182381E-4</v>
      </c>
      <c r="W221" s="1"/>
      <c r="X221" s="1">
        <f t="shared" si="86"/>
        <v>-1086.3399999999999</v>
      </c>
      <c r="Y221" s="1"/>
      <c r="Z221" s="5">
        <f t="shared" si="87"/>
        <v>-0.90980201668285821</v>
      </c>
    </row>
    <row r="222" spans="1:26" s="24" customFormat="1" hidden="1" outlineLevel="2" x14ac:dyDescent="0.25">
      <c r="A222" s="27"/>
      <c r="B222" s="11" t="str">
        <f>CONCATENATE("          ", "6277", " - ", "EMPLOYEE APPRECIATION")</f>
        <v xml:space="preserve">          6277 - EMPLOYEE APPRECIATION</v>
      </c>
      <c r="C222" s="11"/>
      <c r="D222" s="7"/>
      <c r="E222" s="2"/>
      <c r="F222" s="6">
        <f t="shared" si="80"/>
        <v>0</v>
      </c>
      <c r="G222" s="2"/>
      <c r="H222" s="7">
        <v>152.4</v>
      </c>
      <c r="I222" s="2"/>
      <c r="J222" s="6">
        <f t="shared" si="81"/>
        <v>2.8836219563289846E-4</v>
      </c>
      <c r="K222" s="2"/>
      <c r="L222" s="7">
        <f t="shared" si="82"/>
        <v>-152.4</v>
      </c>
      <c r="M222" s="2"/>
      <c r="N222" s="6">
        <f t="shared" si="83"/>
        <v>-1</v>
      </c>
      <c r="O222" s="11"/>
      <c r="P222" s="7">
        <v>107.7</v>
      </c>
      <c r="Q222" s="2"/>
      <c r="R222" s="6">
        <f t="shared" si="84"/>
        <v>2.7101435903526308E-5</v>
      </c>
      <c r="S222" s="2"/>
      <c r="T222" s="7">
        <v>1194.04</v>
      </c>
      <c r="U222" s="2"/>
      <c r="V222" s="6">
        <f t="shared" si="85"/>
        <v>1.6820861963182381E-4</v>
      </c>
      <c r="W222" s="2"/>
      <c r="X222" s="7">
        <f t="shared" si="86"/>
        <v>-1086.3399999999999</v>
      </c>
      <c r="Y222" s="2"/>
      <c r="Z222" s="6">
        <f t="shared" si="87"/>
        <v>-0.90980201668285821</v>
      </c>
    </row>
    <row r="223" spans="1:26" s="25" customFormat="1" outlineLevel="1" collapsed="1" x14ac:dyDescent="0.25">
      <c r="A223" s="26"/>
      <c r="B223" s="13" t="str">
        <f>CONCATENATE("     ","Equipment Rental                                  ")</f>
        <v xml:space="preserve">     Equipment Rental                                  </v>
      </c>
      <c r="C223" s="13"/>
      <c r="D223" s="1">
        <f>SUM(OSRRefD22_9x_0)</f>
        <v>1296.9000000000001</v>
      </c>
      <c r="E223" s="1"/>
      <c r="F223" s="5">
        <f t="shared" si="80"/>
        <v>4.1424795773105693E-3</v>
      </c>
      <c r="G223" s="1"/>
      <c r="H223" s="1">
        <f>SUM(OSRRefH22_9x_0)</f>
        <v>0</v>
      </c>
      <c r="I223" s="1"/>
      <c r="J223" s="5">
        <f t="shared" si="81"/>
        <v>0</v>
      </c>
      <c r="K223" s="1"/>
      <c r="L223" s="1">
        <f t="shared" si="82"/>
        <v>1296.9000000000001</v>
      </c>
      <c r="M223" s="1"/>
      <c r="N223" s="5">
        <f t="shared" si="83"/>
        <v>0</v>
      </c>
      <c r="O223" s="13"/>
      <c r="P223" s="1">
        <f>SUM(OSRRefP22_9x_0)</f>
        <v>8976.74</v>
      </c>
      <c r="Q223" s="1"/>
      <c r="R223" s="5">
        <f t="shared" si="84"/>
        <v>2.2588908424570169E-3</v>
      </c>
      <c r="S223" s="1"/>
      <c r="T223" s="1">
        <f>SUM(OSRRefT22_9x_0)</f>
        <v>11090.14</v>
      </c>
      <c r="U223" s="1"/>
      <c r="V223" s="5">
        <f t="shared" si="85"/>
        <v>1.5623070759134322E-3</v>
      </c>
      <c r="W223" s="1"/>
      <c r="X223" s="1">
        <f t="shared" si="86"/>
        <v>-2113.3999999999996</v>
      </c>
      <c r="Y223" s="1"/>
      <c r="Z223" s="5">
        <f t="shared" si="87"/>
        <v>-0.19056567365245161</v>
      </c>
    </row>
    <row r="224" spans="1:26" s="24" customFormat="1" hidden="1" outlineLevel="2" x14ac:dyDescent="0.25">
      <c r="A224" s="27"/>
      <c r="B224" s="11" t="str">
        <f>CONCATENATE("          ", "6351", " - ", "EQUIPMENT RENTAL")</f>
        <v xml:space="preserve">          6351 - EQUIPMENT RENTAL</v>
      </c>
      <c r="C224" s="11"/>
      <c r="D224" s="7">
        <v>1296.9000000000001</v>
      </c>
      <c r="E224" s="2"/>
      <c r="F224" s="6">
        <f t="shared" si="80"/>
        <v>4.1424795773105693E-3</v>
      </c>
      <c r="G224" s="2"/>
      <c r="H224" s="7"/>
      <c r="I224" s="2"/>
      <c r="J224" s="6">
        <f t="shared" si="81"/>
        <v>0</v>
      </c>
      <c r="K224" s="2"/>
      <c r="L224" s="7">
        <f t="shared" si="82"/>
        <v>1296.9000000000001</v>
      </c>
      <c r="M224" s="2"/>
      <c r="N224" s="6">
        <f t="shared" si="83"/>
        <v>0</v>
      </c>
      <c r="O224" s="11"/>
      <c r="P224" s="7">
        <v>8976.74</v>
      </c>
      <c r="Q224" s="2"/>
      <c r="R224" s="6">
        <f t="shared" si="84"/>
        <v>2.2588908424570169E-3</v>
      </c>
      <c r="S224" s="2"/>
      <c r="T224" s="7">
        <v>11090.14</v>
      </c>
      <c r="U224" s="2"/>
      <c r="V224" s="6">
        <f t="shared" si="85"/>
        <v>1.5623070759134322E-3</v>
      </c>
      <c r="W224" s="2"/>
      <c r="X224" s="7">
        <f t="shared" si="86"/>
        <v>-2113.3999999999996</v>
      </c>
      <c r="Y224" s="2"/>
      <c r="Z224" s="6">
        <f t="shared" si="87"/>
        <v>-0.19056567365245161</v>
      </c>
    </row>
    <row r="225" spans="1:26" s="25" customFormat="1" outlineLevel="1" collapsed="1" x14ac:dyDescent="0.25">
      <c r="A225" s="26"/>
      <c r="B225" s="13" t="str">
        <f>CONCATENATE("     ","Freight out/Postage                               ")</f>
        <v xml:space="preserve">     Freight out/Postage                               </v>
      </c>
      <c r="C225" s="13"/>
      <c r="D225" s="1">
        <f>SUM(OSRRefD22_10x_0)</f>
        <v>4349.5</v>
      </c>
      <c r="E225" s="1"/>
      <c r="F225" s="5">
        <f t="shared" si="80"/>
        <v>1.3892909955673004E-2</v>
      </c>
      <c r="G225" s="1"/>
      <c r="H225" s="1">
        <f>SUM(OSRRefH22_10x_0)</f>
        <v>1883.96</v>
      </c>
      <c r="I225" s="1"/>
      <c r="J225" s="5">
        <f t="shared" si="81"/>
        <v>3.5647168115784476E-3</v>
      </c>
      <c r="K225" s="1"/>
      <c r="L225" s="1">
        <f t="shared" si="82"/>
        <v>2465.54</v>
      </c>
      <c r="M225" s="1"/>
      <c r="N225" s="5">
        <f t="shared" si="83"/>
        <v>1.3087008216734961</v>
      </c>
      <c r="O225" s="13"/>
      <c r="P225" s="1">
        <f>SUM(OSRRefP22_10x_0)</f>
        <v>-14177.690000000017</v>
      </c>
      <c r="Q225" s="1"/>
      <c r="R225" s="5">
        <f t="shared" si="84"/>
        <v>-3.5676486239096224E-3</v>
      </c>
      <c r="S225" s="1"/>
      <c r="T225" s="1">
        <f>SUM(OSRRefT22_10x_0)</f>
        <v>6599.8899999999958</v>
      </c>
      <c r="U225" s="1"/>
      <c r="V225" s="5">
        <f t="shared" si="85"/>
        <v>9.2974974592298159E-4</v>
      </c>
      <c r="W225" s="1"/>
      <c r="X225" s="1">
        <f t="shared" si="86"/>
        <v>-20777.580000000013</v>
      </c>
      <c r="Y225" s="1"/>
      <c r="Z225" s="5">
        <f t="shared" si="87"/>
        <v>-3.1481706513290413</v>
      </c>
    </row>
    <row r="226" spans="1:26" s="24" customFormat="1" hidden="1" outlineLevel="2" x14ac:dyDescent="0.25">
      <c r="A226" s="27"/>
      <c r="B226" s="11" t="str">
        <f>CONCATENATE("          ", "6305", " - ", "FREIGHT OUT")</f>
        <v xml:space="preserve">          6305 - FREIGHT OUT</v>
      </c>
      <c r="C226" s="11"/>
      <c r="D226" s="7">
        <v>13756.07</v>
      </c>
      <c r="E226" s="2"/>
      <c r="F226" s="6">
        <f t="shared" si="80"/>
        <v>4.3938807185638522E-2</v>
      </c>
      <c r="G226" s="2"/>
      <c r="H226" s="7">
        <v>5990.2</v>
      </c>
      <c r="I226" s="2"/>
      <c r="J226" s="6">
        <f t="shared" si="81"/>
        <v>1.1334299371917246E-2</v>
      </c>
      <c r="K226" s="2"/>
      <c r="L226" s="7">
        <f t="shared" si="82"/>
        <v>7765.87</v>
      </c>
      <c r="M226" s="2"/>
      <c r="N226" s="6">
        <f t="shared" si="83"/>
        <v>1.2964291676404796</v>
      </c>
      <c r="O226" s="11"/>
      <c r="P226" s="7">
        <v>117632.08</v>
      </c>
      <c r="Q226" s="2"/>
      <c r="R226" s="6">
        <f t="shared" si="84"/>
        <v>2.9600726799614473E-2</v>
      </c>
      <c r="S226" s="2"/>
      <c r="T226" s="7">
        <v>34753.729999999996</v>
      </c>
      <c r="U226" s="2"/>
      <c r="V226" s="6">
        <f t="shared" si="85"/>
        <v>4.8958803309412614E-3</v>
      </c>
      <c r="W226" s="2"/>
      <c r="X226" s="7">
        <f t="shared" si="86"/>
        <v>82878.350000000006</v>
      </c>
      <c r="Y226" s="2"/>
      <c r="Z226" s="6">
        <f t="shared" si="87"/>
        <v>2.3847325164809652</v>
      </c>
    </row>
    <row r="227" spans="1:26" s="24" customFormat="1" hidden="1" outlineLevel="2" x14ac:dyDescent="0.25">
      <c r="A227" s="27"/>
      <c r="B227" s="11" t="str">
        <f>CONCATENATE("          ", "6307", " - ", "POSTAGE")</f>
        <v xml:space="preserve">          6307 - POSTAGE</v>
      </c>
      <c r="C227" s="11"/>
      <c r="D227" s="7">
        <v>-9406.57</v>
      </c>
      <c r="E227" s="2"/>
      <c r="F227" s="6">
        <f t="shared" si="80"/>
        <v>-3.0045897229965514E-2</v>
      </c>
      <c r="G227" s="2"/>
      <c r="H227" s="7">
        <v>-4106.24</v>
      </c>
      <c r="I227" s="2"/>
      <c r="J227" s="6">
        <f t="shared" si="81"/>
        <v>-7.7695825603387985E-3</v>
      </c>
      <c r="K227" s="2"/>
      <c r="L227" s="7">
        <f t="shared" si="82"/>
        <v>-5300.33</v>
      </c>
      <c r="M227" s="2"/>
      <c r="N227" s="6">
        <f t="shared" si="83"/>
        <v>1.2907988817019951</v>
      </c>
      <c r="O227" s="11"/>
      <c r="P227" s="7">
        <v>-131809.77000000002</v>
      </c>
      <c r="Q227" s="2"/>
      <c r="R227" s="6">
        <f t="shared" si="84"/>
        <v>-3.3168375423524098E-2</v>
      </c>
      <c r="S227" s="2"/>
      <c r="T227" s="7">
        <v>-28153.84</v>
      </c>
      <c r="U227" s="2"/>
      <c r="V227" s="6">
        <f t="shared" si="85"/>
        <v>-3.9661305850182795E-3</v>
      </c>
      <c r="W227" s="2"/>
      <c r="X227" s="7">
        <f t="shared" si="86"/>
        <v>-103655.93000000002</v>
      </c>
      <c r="Y227" s="2"/>
      <c r="Z227" s="6">
        <f t="shared" si="87"/>
        <v>3.6817688102226915</v>
      </c>
    </row>
    <row r="228" spans="1:26" s="25" customFormat="1" outlineLevel="1" collapsed="1" x14ac:dyDescent="0.25">
      <c r="A228" s="26"/>
      <c r="B228" s="13" t="str">
        <f>CONCATENATE("     ","General                                           ")</f>
        <v xml:space="preserve">     General                                           </v>
      </c>
      <c r="C228" s="13"/>
      <c r="D228" s="1">
        <f>SUM(OSRRefD22_11x_0)</f>
        <v>1744.47</v>
      </c>
      <c r="E228" s="1"/>
      <c r="F228" s="5">
        <f t="shared" ref="F228:F242" si="88">IF(D$12=0,0,D228/D$12)</f>
        <v>5.5720806139493931E-3</v>
      </c>
      <c r="G228" s="1"/>
      <c r="H228" s="1">
        <f>SUM(OSRRefH22_11x_0)</f>
        <v>2105.2199999999998</v>
      </c>
      <c r="I228" s="1"/>
      <c r="J228" s="5">
        <f t="shared" ref="J228:J242" si="89">IF(H$12=0,0,H228/H$12)</f>
        <v>3.9833717945557115E-3</v>
      </c>
      <c r="K228" s="1"/>
      <c r="L228" s="1">
        <f t="shared" ref="L228:L242" si="90">+D228-H228</f>
        <v>-360.74999999999977</v>
      </c>
      <c r="M228" s="1"/>
      <c r="N228" s="5">
        <f t="shared" ref="N228:N242" si="91">IF(H228=0,0,L228/H228)</f>
        <v>-0.17135976287513885</v>
      </c>
      <c r="O228" s="13"/>
      <c r="P228" s="1">
        <f>SUM(OSRRefP22_11x_0)</f>
        <v>2260.2199999999998</v>
      </c>
      <c r="Q228" s="1"/>
      <c r="R228" s="5">
        <f t="shared" ref="R228:R242" si="92">IF(P$12=0,0,P228/P$12)</f>
        <v>5.6875772941381822E-4</v>
      </c>
      <c r="S228" s="1"/>
      <c r="T228" s="1">
        <f>SUM(OSRRefT22_11x_0)</f>
        <v>-1347.75</v>
      </c>
      <c r="U228" s="1"/>
      <c r="V228" s="5">
        <f t="shared" ref="V228:V242" si="93">IF(T$12=0,0,T228/T$12)</f>
        <v>-1.8986228862415879E-4</v>
      </c>
      <c r="W228" s="1"/>
      <c r="X228" s="1">
        <f t="shared" ref="X228:X242" si="94">+P228-T228</f>
        <v>3607.97</v>
      </c>
      <c r="Y228" s="1"/>
      <c r="Z228" s="5">
        <f t="shared" ref="Z228:Z242" si="95">IF(T228=0,0,X228/T228)</f>
        <v>-2.677032090521239</v>
      </c>
    </row>
    <row r="229" spans="1:26" s="24" customFormat="1" hidden="1" outlineLevel="2" x14ac:dyDescent="0.25">
      <c r="A229" s="27"/>
      <c r="B229" s="11" t="str">
        <f>CONCATENATE("          ", "6279", " - ", "GENERAL EXPENSE")</f>
        <v xml:space="preserve">          6279 - GENERAL EXPENSE</v>
      </c>
      <c r="C229" s="11"/>
      <c r="D229" s="7">
        <v>1744.47</v>
      </c>
      <c r="E229" s="2"/>
      <c r="F229" s="6">
        <f t="shared" si="88"/>
        <v>5.5720806139493931E-3</v>
      </c>
      <c r="G229" s="2"/>
      <c r="H229" s="7">
        <v>2105.2199999999998</v>
      </c>
      <c r="I229" s="2"/>
      <c r="J229" s="6">
        <f t="shared" si="89"/>
        <v>3.9833717945557115E-3</v>
      </c>
      <c r="K229" s="2"/>
      <c r="L229" s="7">
        <f t="shared" si="90"/>
        <v>-360.74999999999977</v>
      </c>
      <c r="M229" s="2"/>
      <c r="N229" s="6">
        <f t="shared" si="91"/>
        <v>-0.17135976287513885</v>
      </c>
      <c r="O229" s="11"/>
      <c r="P229" s="7">
        <v>2260.2199999999998</v>
      </c>
      <c r="Q229" s="2"/>
      <c r="R229" s="6">
        <f t="shared" si="92"/>
        <v>5.6875772941381822E-4</v>
      </c>
      <c r="S229" s="2"/>
      <c r="T229" s="7">
        <v>-1347.75</v>
      </c>
      <c r="U229" s="2"/>
      <c r="V229" s="6">
        <f t="shared" si="93"/>
        <v>-1.8986228862415879E-4</v>
      </c>
      <c r="W229" s="2"/>
      <c r="X229" s="7">
        <f t="shared" si="94"/>
        <v>3607.97</v>
      </c>
      <c r="Y229" s="2"/>
      <c r="Z229" s="6">
        <f t="shared" si="95"/>
        <v>-2.677032090521239</v>
      </c>
    </row>
    <row r="230" spans="1:26" s="25" customFormat="1" outlineLevel="1" collapsed="1" x14ac:dyDescent="0.25">
      <c r="A230" s="26"/>
      <c r="B230" s="13" t="str">
        <f>CONCATENATE("     ","Insurance                                         ")</f>
        <v xml:space="preserve">     Insurance                                         </v>
      </c>
      <c r="C230" s="13"/>
      <c r="D230" s="1">
        <f>SUM(OSRRefD22_12x_0)</f>
        <v>4044.74</v>
      </c>
      <c r="E230" s="1"/>
      <c r="F230" s="5">
        <f t="shared" si="88"/>
        <v>1.29194639876098E-2</v>
      </c>
      <c r="G230" s="1"/>
      <c r="H230" s="1">
        <f>SUM(OSRRefH22_12x_0)</f>
        <v>4044.74</v>
      </c>
      <c r="I230" s="1"/>
      <c r="J230" s="5">
        <f t="shared" si="89"/>
        <v>7.6532159262743416E-3</v>
      </c>
      <c r="K230" s="1"/>
      <c r="L230" s="1">
        <f t="shared" si="90"/>
        <v>0</v>
      </c>
      <c r="M230" s="1"/>
      <c r="N230" s="5">
        <f t="shared" si="91"/>
        <v>0</v>
      </c>
      <c r="O230" s="13"/>
      <c r="P230" s="1">
        <f>SUM(OSRRefP22_12x_0)</f>
        <v>24268.44</v>
      </c>
      <c r="Q230" s="1"/>
      <c r="R230" s="5">
        <f t="shared" si="92"/>
        <v>6.1068669557899158E-3</v>
      </c>
      <c r="S230" s="1"/>
      <c r="T230" s="1">
        <f>SUM(OSRRefT22_12x_0)</f>
        <v>24268.44</v>
      </c>
      <c r="U230" s="1"/>
      <c r="V230" s="5">
        <f t="shared" si="93"/>
        <v>3.4187806045172173E-3</v>
      </c>
      <c r="W230" s="1"/>
      <c r="X230" s="1">
        <f t="shared" si="94"/>
        <v>0</v>
      </c>
      <c r="Y230" s="1"/>
      <c r="Z230" s="5">
        <f t="shared" si="95"/>
        <v>0</v>
      </c>
    </row>
    <row r="231" spans="1:26" s="24" customFormat="1" hidden="1" outlineLevel="2" x14ac:dyDescent="0.25">
      <c r="A231" s="27"/>
      <c r="B231" s="11" t="str">
        <f>CONCATENATE("          ", "6314", " - ", "LIABILITY INSURANCE")</f>
        <v xml:space="preserve">          6314 - LIABILITY INSURANCE</v>
      </c>
      <c r="C231" s="11"/>
      <c r="D231" s="7">
        <v>4044.74</v>
      </c>
      <c r="E231" s="2"/>
      <c r="F231" s="6">
        <f t="shared" si="88"/>
        <v>1.29194639876098E-2</v>
      </c>
      <c r="G231" s="2"/>
      <c r="H231" s="7">
        <v>4044.74</v>
      </c>
      <c r="I231" s="2"/>
      <c r="J231" s="6">
        <f t="shared" si="89"/>
        <v>7.6532159262743416E-3</v>
      </c>
      <c r="K231" s="2"/>
      <c r="L231" s="7">
        <f t="shared" si="90"/>
        <v>0</v>
      </c>
      <c r="M231" s="2"/>
      <c r="N231" s="6">
        <f t="shared" si="91"/>
        <v>0</v>
      </c>
      <c r="O231" s="11"/>
      <c r="P231" s="7">
        <v>24268.44</v>
      </c>
      <c r="Q231" s="2"/>
      <c r="R231" s="6">
        <f t="shared" si="92"/>
        <v>6.1068669557899158E-3</v>
      </c>
      <c r="S231" s="2"/>
      <c r="T231" s="7">
        <v>24268.44</v>
      </c>
      <c r="U231" s="2"/>
      <c r="V231" s="6">
        <f t="shared" si="93"/>
        <v>3.4187806045172173E-3</v>
      </c>
      <c r="W231" s="2"/>
      <c r="X231" s="7">
        <f t="shared" si="94"/>
        <v>0</v>
      </c>
      <c r="Y231" s="2"/>
      <c r="Z231" s="6">
        <f t="shared" si="95"/>
        <v>0</v>
      </c>
    </row>
    <row r="232" spans="1:26" s="25" customFormat="1" outlineLevel="1" collapsed="1" x14ac:dyDescent="0.25">
      <c r="A232" s="26"/>
      <c r="B232" s="13" t="str">
        <f>CONCATENATE("     ","Inventory Adjustment                              ")</f>
        <v xml:space="preserve">     Inventory Adjustment                              </v>
      </c>
      <c r="C232" s="13"/>
      <c r="D232" s="1">
        <f>SUM(OSRRefD22_13x_0)</f>
        <v>8350</v>
      </c>
      <c r="E232" s="1"/>
      <c r="F232" s="5">
        <f t="shared" si="88"/>
        <v>2.6671065209764245E-2</v>
      </c>
      <c r="G232" s="1"/>
      <c r="H232" s="1">
        <f>SUM(OSRRefH22_13x_0)</f>
        <v>10050</v>
      </c>
      <c r="I232" s="1"/>
      <c r="J232" s="5">
        <f t="shared" si="89"/>
        <v>1.9016010932484447E-2</v>
      </c>
      <c r="K232" s="1"/>
      <c r="L232" s="1">
        <f t="shared" si="90"/>
        <v>-1700</v>
      </c>
      <c r="M232" s="1"/>
      <c r="N232" s="5">
        <f t="shared" si="91"/>
        <v>-0.1691542288557214</v>
      </c>
      <c r="O232" s="13"/>
      <c r="P232" s="1">
        <f>SUM(OSRRefP22_13x_0)</f>
        <v>25100</v>
      </c>
      <c r="Q232" s="1"/>
      <c r="R232" s="5">
        <f t="shared" si="92"/>
        <v>6.3161192309982381E-3</v>
      </c>
      <c r="S232" s="1"/>
      <c r="T232" s="1">
        <f>SUM(OSRRefT22_13x_0)</f>
        <v>31200</v>
      </c>
      <c r="U232" s="1"/>
      <c r="V232" s="5">
        <f t="shared" si="93"/>
        <v>4.3952538713216503E-3</v>
      </c>
      <c r="W232" s="1"/>
      <c r="X232" s="1">
        <f t="shared" si="94"/>
        <v>-6100</v>
      </c>
      <c r="Y232" s="1"/>
      <c r="Z232" s="5">
        <f t="shared" si="95"/>
        <v>-0.19551282051282051</v>
      </c>
    </row>
    <row r="233" spans="1:26" s="24" customFormat="1" hidden="1" outlineLevel="2" x14ac:dyDescent="0.25">
      <c r="A233" s="27"/>
      <c r="B233" s="11" t="str">
        <f>CONCATENATE("          ", "6408", " - ", "INVENTORY ADJUSTMENT")</f>
        <v xml:space="preserve">          6408 - INVENTORY ADJUSTMENT</v>
      </c>
      <c r="C233" s="11"/>
      <c r="D233" s="7">
        <v>8350</v>
      </c>
      <c r="E233" s="2"/>
      <c r="F233" s="6">
        <f t="shared" si="88"/>
        <v>2.6671065209764245E-2</v>
      </c>
      <c r="G233" s="2"/>
      <c r="H233" s="7">
        <v>10050</v>
      </c>
      <c r="I233" s="2"/>
      <c r="J233" s="6">
        <f t="shared" si="89"/>
        <v>1.9016010932484447E-2</v>
      </c>
      <c r="K233" s="2"/>
      <c r="L233" s="7">
        <f t="shared" si="90"/>
        <v>-1700</v>
      </c>
      <c r="M233" s="2"/>
      <c r="N233" s="6">
        <f t="shared" si="91"/>
        <v>-0.1691542288557214</v>
      </c>
      <c r="O233" s="11"/>
      <c r="P233" s="7">
        <v>25100</v>
      </c>
      <c r="Q233" s="2"/>
      <c r="R233" s="6">
        <f t="shared" si="92"/>
        <v>6.3161192309982381E-3</v>
      </c>
      <c r="S233" s="2"/>
      <c r="T233" s="7">
        <v>31200</v>
      </c>
      <c r="U233" s="2"/>
      <c r="V233" s="6">
        <f t="shared" si="93"/>
        <v>4.3952538713216503E-3</v>
      </c>
      <c r="W233" s="2"/>
      <c r="X233" s="7">
        <f t="shared" si="94"/>
        <v>-6100</v>
      </c>
      <c r="Y233" s="2"/>
      <c r="Z233" s="6">
        <f t="shared" si="95"/>
        <v>-0.19551282051282051</v>
      </c>
    </row>
    <row r="234" spans="1:26" s="25" customFormat="1" outlineLevel="1" collapsed="1" x14ac:dyDescent="0.25">
      <c r="A234" s="26"/>
      <c r="B234" s="13" t="str">
        <f>CONCATENATE("     ","Professional Services                             ")</f>
        <v xml:space="preserve">     Professional Services                             </v>
      </c>
      <c r="C234" s="13"/>
      <c r="D234" s="1">
        <f>SUM(OSRRefD22_14x_0)</f>
        <v>0</v>
      </c>
      <c r="E234" s="1"/>
      <c r="F234" s="5">
        <f t="shared" si="88"/>
        <v>0</v>
      </c>
      <c r="G234" s="1"/>
      <c r="H234" s="1">
        <f>SUM(OSRRefH22_14x_0)</f>
        <v>41.15</v>
      </c>
      <c r="I234" s="1"/>
      <c r="J234" s="5">
        <f t="shared" si="89"/>
        <v>7.7861577101665167E-5</v>
      </c>
      <c r="K234" s="1"/>
      <c r="L234" s="1">
        <f t="shared" si="90"/>
        <v>-41.15</v>
      </c>
      <c r="M234" s="1"/>
      <c r="N234" s="5">
        <f t="shared" si="91"/>
        <v>-1</v>
      </c>
      <c r="O234" s="13"/>
      <c r="P234" s="1">
        <f>SUM(OSRRefP22_14x_0)</f>
        <v>0</v>
      </c>
      <c r="Q234" s="1"/>
      <c r="R234" s="5">
        <f t="shared" si="92"/>
        <v>0</v>
      </c>
      <c r="S234" s="1"/>
      <c r="T234" s="1">
        <f>SUM(OSRRefT22_14x_0)</f>
        <v>6199.56</v>
      </c>
      <c r="U234" s="1"/>
      <c r="V234" s="5">
        <f t="shared" si="93"/>
        <v>8.7335384905419392E-4</v>
      </c>
      <c r="W234" s="1"/>
      <c r="X234" s="1">
        <f t="shared" si="94"/>
        <v>-6199.56</v>
      </c>
      <c r="Y234" s="1"/>
      <c r="Z234" s="5">
        <f t="shared" si="95"/>
        <v>-1</v>
      </c>
    </row>
    <row r="235" spans="1:26" s="24" customFormat="1" hidden="1" outlineLevel="2" x14ac:dyDescent="0.25">
      <c r="A235" s="27"/>
      <c r="B235" s="11" t="str">
        <f>CONCATENATE("          ", "6336", " - ", "PROFESSIONAL SERVICES")</f>
        <v xml:space="preserve">          6336 - PROFESSIONAL SERVICES</v>
      </c>
      <c r="C235" s="11"/>
      <c r="D235" s="7"/>
      <c r="E235" s="2"/>
      <c r="F235" s="6">
        <f t="shared" si="88"/>
        <v>0</v>
      </c>
      <c r="G235" s="2"/>
      <c r="H235" s="7">
        <v>41.15</v>
      </c>
      <c r="I235" s="2"/>
      <c r="J235" s="6">
        <f t="shared" si="89"/>
        <v>7.7861577101665167E-5</v>
      </c>
      <c r="K235" s="2"/>
      <c r="L235" s="7">
        <f t="shared" si="90"/>
        <v>-41.15</v>
      </c>
      <c r="M235" s="2"/>
      <c r="N235" s="6">
        <f t="shared" si="91"/>
        <v>-1</v>
      </c>
      <c r="O235" s="11"/>
      <c r="P235" s="7"/>
      <c r="Q235" s="2"/>
      <c r="R235" s="6">
        <f t="shared" si="92"/>
        <v>0</v>
      </c>
      <c r="S235" s="2"/>
      <c r="T235" s="7">
        <v>6199.56</v>
      </c>
      <c r="U235" s="2"/>
      <c r="V235" s="6">
        <f t="shared" si="93"/>
        <v>8.7335384905419392E-4</v>
      </c>
      <c r="W235" s="2"/>
      <c r="X235" s="7">
        <f t="shared" si="94"/>
        <v>-6199.56</v>
      </c>
      <c r="Y235" s="2"/>
      <c r="Z235" s="6">
        <f t="shared" si="95"/>
        <v>-1</v>
      </c>
    </row>
    <row r="236" spans="1:26" s="25" customFormat="1" outlineLevel="1" collapsed="1" x14ac:dyDescent="0.25">
      <c r="A236" s="26"/>
      <c r="B236" s="13" t="str">
        <f>CONCATENATE("     ","Rent                                              ")</f>
        <v xml:space="preserve">     Rent                                              </v>
      </c>
      <c r="C236" s="13"/>
      <c r="D236" s="1">
        <f>SUM(OSRRefD22_15x_0)</f>
        <v>6100</v>
      </c>
      <c r="E236" s="1"/>
      <c r="F236" s="5">
        <f t="shared" si="88"/>
        <v>1.9484251231085256E-2</v>
      </c>
      <c r="G236" s="1"/>
      <c r="H236" s="1">
        <f>SUM(OSRRefH22_15x_0)</f>
        <v>6100</v>
      </c>
      <c r="I236" s="1"/>
      <c r="J236" s="5">
        <f t="shared" si="89"/>
        <v>1.1542056386881107E-2</v>
      </c>
      <c r="K236" s="1"/>
      <c r="L236" s="1">
        <f t="shared" si="90"/>
        <v>0</v>
      </c>
      <c r="M236" s="1"/>
      <c r="N236" s="5">
        <f t="shared" si="91"/>
        <v>0</v>
      </c>
      <c r="O236" s="13"/>
      <c r="P236" s="1">
        <f>SUM(OSRRefP22_15x_0)</f>
        <v>36600</v>
      </c>
      <c r="Q236" s="1"/>
      <c r="R236" s="5">
        <f t="shared" si="92"/>
        <v>9.2099587193042037E-3</v>
      </c>
      <c r="S236" s="1"/>
      <c r="T236" s="1">
        <f>SUM(OSRRefT22_15x_0)</f>
        <v>36600</v>
      </c>
      <c r="U236" s="1"/>
      <c r="V236" s="5">
        <f t="shared" si="93"/>
        <v>5.1559708875119356E-3</v>
      </c>
      <c r="W236" s="1"/>
      <c r="X236" s="1">
        <f t="shared" si="94"/>
        <v>0</v>
      </c>
      <c r="Y236" s="1"/>
      <c r="Z236" s="5">
        <f t="shared" si="95"/>
        <v>0</v>
      </c>
    </row>
    <row r="237" spans="1:26" s="24" customFormat="1" hidden="1" outlineLevel="2" x14ac:dyDescent="0.25">
      <c r="A237" s="27"/>
      <c r="B237" s="11" t="str">
        <f>CONCATENATE("          ", "6273", " - ", "RENT")</f>
        <v xml:space="preserve">          6273 - RENT</v>
      </c>
      <c r="C237" s="11"/>
      <c r="D237" s="7">
        <v>6100</v>
      </c>
      <c r="E237" s="2"/>
      <c r="F237" s="6">
        <f t="shared" si="88"/>
        <v>1.9484251231085256E-2</v>
      </c>
      <c r="G237" s="2"/>
      <c r="H237" s="7">
        <v>6100</v>
      </c>
      <c r="I237" s="2"/>
      <c r="J237" s="6">
        <f t="shared" si="89"/>
        <v>1.1542056386881107E-2</v>
      </c>
      <c r="K237" s="2"/>
      <c r="L237" s="7">
        <f t="shared" si="90"/>
        <v>0</v>
      </c>
      <c r="M237" s="2"/>
      <c r="N237" s="6">
        <f t="shared" si="91"/>
        <v>0</v>
      </c>
      <c r="O237" s="11"/>
      <c r="P237" s="7">
        <v>36600</v>
      </c>
      <c r="Q237" s="2"/>
      <c r="R237" s="6">
        <f t="shared" si="92"/>
        <v>9.2099587193042037E-3</v>
      </c>
      <c r="S237" s="2"/>
      <c r="T237" s="7">
        <v>36600</v>
      </c>
      <c r="U237" s="2"/>
      <c r="V237" s="6">
        <f t="shared" si="93"/>
        <v>5.1559708875119356E-3</v>
      </c>
      <c r="W237" s="2"/>
      <c r="X237" s="7">
        <f t="shared" si="94"/>
        <v>0</v>
      </c>
      <c r="Y237" s="2"/>
      <c r="Z237" s="6">
        <f t="shared" si="95"/>
        <v>0</v>
      </c>
    </row>
    <row r="238" spans="1:26" s="25" customFormat="1" outlineLevel="1" collapsed="1" x14ac:dyDescent="0.25">
      <c r="A238" s="26"/>
      <c r="B238" s="13" t="str">
        <f>CONCATENATE("     ","Repair and Maintenance                            ")</f>
        <v xml:space="preserve">     Repair and Maintenance                            </v>
      </c>
      <c r="C238" s="13"/>
      <c r="D238" s="1">
        <f>SUM(OSRRefD22_16x_0)</f>
        <v>7951.17</v>
      </c>
      <c r="E238" s="1"/>
      <c r="F238" s="5">
        <f t="shared" si="88"/>
        <v>2.5397146534601338E-2</v>
      </c>
      <c r="G238" s="1"/>
      <c r="H238" s="1">
        <f>SUM(OSRRefH22_16x_0)</f>
        <v>12150.27</v>
      </c>
      <c r="I238" s="1"/>
      <c r="J238" s="5">
        <f t="shared" si="89"/>
        <v>2.2990016632103264E-2</v>
      </c>
      <c r="K238" s="1"/>
      <c r="L238" s="1">
        <f t="shared" si="90"/>
        <v>-4199.1000000000004</v>
      </c>
      <c r="M238" s="1"/>
      <c r="N238" s="5">
        <f t="shared" si="91"/>
        <v>-0.34559725833253091</v>
      </c>
      <c r="O238" s="13"/>
      <c r="P238" s="1">
        <f>SUM(OSRRefP22_16x_0)</f>
        <v>109130.31999999999</v>
      </c>
      <c r="Q238" s="1"/>
      <c r="R238" s="5">
        <f t="shared" si="92"/>
        <v>2.7461359077170983E-2</v>
      </c>
      <c r="S238" s="1"/>
      <c r="T238" s="1">
        <f>SUM(OSRRefT22_16x_0)</f>
        <v>82352.02</v>
      </c>
      <c r="U238" s="1"/>
      <c r="V238" s="5">
        <f t="shared" si="93"/>
        <v>1.160121906141532E-2</v>
      </c>
      <c r="W238" s="1"/>
      <c r="X238" s="1">
        <f t="shared" si="94"/>
        <v>26778.299999999988</v>
      </c>
      <c r="Y238" s="1"/>
      <c r="Z238" s="5">
        <f t="shared" si="95"/>
        <v>0.32516870867284114</v>
      </c>
    </row>
    <row r="239" spans="1:26" s="24" customFormat="1" hidden="1" outlineLevel="2" x14ac:dyDescent="0.25">
      <c r="A239" s="27"/>
      <c r="B239" s="11" t="str">
        <f>CONCATENATE("          ", "6371", " - ", "COMPUTER SOFTWARE MAINTENANCE")</f>
        <v xml:space="preserve">          6371 - COMPUTER SOFTWARE MAINTENANCE</v>
      </c>
      <c r="C239" s="11"/>
      <c r="D239" s="7"/>
      <c r="E239" s="2"/>
      <c r="F239" s="6">
        <f t="shared" si="88"/>
        <v>0</v>
      </c>
      <c r="G239" s="2"/>
      <c r="H239" s="7">
        <v>601</v>
      </c>
      <c r="I239" s="2"/>
      <c r="J239" s="6">
        <f t="shared" si="89"/>
        <v>1.1371763751664829E-3</v>
      </c>
      <c r="K239" s="2"/>
      <c r="L239" s="7">
        <f t="shared" si="90"/>
        <v>-601</v>
      </c>
      <c r="M239" s="2"/>
      <c r="N239" s="6">
        <f t="shared" si="91"/>
        <v>-1</v>
      </c>
      <c r="O239" s="11"/>
      <c r="P239" s="7">
        <v>58436.47</v>
      </c>
      <c r="Q239" s="2"/>
      <c r="R239" s="6">
        <f t="shared" si="92"/>
        <v>1.4704849082017994E-2</v>
      </c>
      <c r="S239" s="2"/>
      <c r="T239" s="7">
        <v>13953.4</v>
      </c>
      <c r="U239" s="2"/>
      <c r="V239" s="6">
        <f t="shared" si="93"/>
        <v>1.9656645951313945E-3</v>
      </c>
      <c r="W239" s="2"/>
      <c r="X239" s="7">
        <f t="shared" si="94"/>
        <v>44483.07</v>
      </c>
      <c r="Y239" s="2"/>
      <c r="Z239" s="6">
        <f t="shared" si="95"/>
        <v>3.1879735404990899</v>
      </c>
    </row>
    <row r="240" spans="1:26" s="24" customFormat="1" hidden="1" outlineLevel="2" x14ac:dyDescent="0.25">
      <c r="A240" s="27"/>
      <c r="B240" s="11" t="str">
        <f>CONCATENATE("          ", "6372", " - ", "COMPUTER HARDWARE MAINTENANCE")</f>
        <v xml:space="preserve">          6372 - COMPUTER HARDWARE MAINTENANCE</v>
      </c>
      <c r="C240" s="11"/>
      <c r="D240" s="7"/>
      <c r="E240" s="2"/>
      <c r="F240" s="6">
        <f t="shared" si="88"/>
        <v>0</v>
      </c>
      <c r="G240" s="2"/>
      <c r="H240" s="7"/>
      <c r="I240" s="2"/>
      <c r="J240" s="6">
        <f t="shared" si="89"/>
        <v>0</v>
      </c>
      <c r="K240" s="2"/>
      <c r="L240" s="7">
        <f t="shared" si="90"/>
        <v>0</v>
      </c>
      <c r="M240" s="2"/>
      <c r="N240" s="6">
        <f t="shared" si="91"/>
        <v>0</v>
      </c>
      <c r="O240" s="11"/>
      <c r="P240" s="7">
        <v>0</v>
      </c>
      <c r="Q240" s="2"/>
      <c r="R240" s="6">
        <f t="shared" si="92"/>
        <v>0</v>
      </c>
      <c r="S240" s="2"/>
      <c r="T240" s="7"/>
      <c r="U240" s="2"/>
      <c r="V240" s="6">
        <f t="shared" si="93"/>
        <v>0</v>
      </c>
      <c r="W240" s="2"/>
      <c r="X240" s="7">
        <f t="shared" si="94"/>
        <v>0</v>
      </c>
      <c r="Y240" s="2"/>
      <c r="Z240" s="6">
        <f t="shared" si="95"/>
        <v>0</v>
      </c>
    </row>
    <row r="241" spans="1:26" s="24" customFormat="1" hidden="1" outlineLevel="2" x14ac:dyDescent="0.25">
      <c r="A241" s="27"/>
      <c r="B241" s="11" t="str">
        <f>CONCATENATE("          ", "6373", " - ", "MAINTENANCE CONTRACTS")</f>
        <v xml:space="preserve">          6373 - MAINTENANCE CONTRACTS</v>
      </c>
      <c r="C241" s="11"/>
      <c r="D241" s="7">
        <v>7906.17</v>
      </c>
      <c r="E241" s="2"/>
      <c r="F241" s="6">
        <f t="shared" si="88"/>
        <v>2.525341025502776E-2</v>
      </c>
      <c r="G241" s="2"/>
      <c r="H241" s="7">
        <v>7860.47</v>
      </c>
      <c r="I241" s="2"/>
      <c r="J241" s="6">
        <f t="shared" si="89"/>
        <v>1.4873112781538907E-2</v>
      </c>
      <c r="K241" s="2"/>
      <c r="L241" s="7">
        <f t="shared" si="90"/>
        <v>45.699999999999818</v>
      </c>
      <c r="M241" s="2"/>
      <c r="N241" s="6">
        <f t="shared" si="91"/>
        <v>5.8139017132563088E-3</v>
      </c>
      <c r="O241" s="11"/>
      <c r="P241" s="7">
        <v>38932.18</v>
      </c>
      <c r="Q241" s="2"/>
      <c r="R241" s="6">
        <f t="shared" si="92"/>
        <v>9.7968243347683268E-3</v>
      </c>
      <c r="S241" s="2"/>
      <c r="T241" s="7">
        <v>39698.39</v>
      </c>
      <c r="U241" s="2"/>
      <c r="V241" s="6">
        <f t="shared" si="93"/>
        <v>5.5924519978441242E-3</v>
      </c>
      <c r="W241" s="2"/>
      <c r="X241" s="7">
        <f t="shared" si="94"/>
        <v>-766.20999999999913</v>
      </c>
      <c r="Y241" s="2"/>
      <c r="Z241" s="6">
        <f t="shared" si="95"/>
        <v>-1.9300782726956914E-2</v>
      </c>
    </row>
    <row r="242" spans="1:26" s="24" customFormat="1" hidden="1" outlineLevel="2" x14ac:dyDescent="0.25">
      <c r="A242" s="27"/>
      <c r="B242" s="11" t="str">
        <f>CONCATENATE("          ", "6375", " - ", "OUTSIDE REPAIRS &amp; MAINTENANCE")</f>
        <v xml:space="preserve">          6375 - OUTSIDE REPAIRS &amp; MAINTENANCE</v>
      </c>
      <c r="C242" s="11"/>
      <c r="D242" s="7">
        <v>45</v>
      </c>
      <c r="E242" s="2"/>
      <c r="F242" s="6">
        <f t="shared" si="88"/>
        <v>1.4373627957357978E-4</v>
      </c>
      <c r="G242" s="2"/>
      <c r="H242" s="7">
        <v>3688.8</v>
      </c>
      <c r="I242" s="2"/>
      <c r="J242" s="6">
        <f t="shared" si="89"/>
        <v>6.9797274753978737E-3</v>
      </c>
      <c r="K242" s="2"/>
      <c r="L242" s="7">
        <f t="shared" si="90"/>
        <v>-3643.8</v>
      </c>
      <c r="M242" s="2"/>
      <c r="N242" s="6">
        <f t="shared" si="91"/>
        <v>-0.98780091086532207</v>
      </c>
      <c r="O242" s="11"/>
      <c r="P242" s="7">
        <v>11761.67</v>
      </c>
      <c r="Q242" s="2"/>
      <c r="R242" s="6">
        <f t="shared" si="92"/>
        <v>2.9596856603846633E-3</v>
      </c>
      <c r="S242" s="2"/>
      <c r="T242" s="7">
        <v>28700.230000000003</v>
      </c>
      <c r="U242" s="2"/>
      <c r="V242" s="6">
        <f t="shared" si="93"/>
        <v>4.0431024684398006E-3</v>
      </c>
      <c r="W242" s="2"/>
      <c r="X242" s="7">
        <f t="shared" si="94"/>
        <v>-16938.560000000005</v>
      </c>
      <c r="Y242" s="2"/>
      <c r="Z242" s="6">
        <f t="shared" si="95"/>
        <v>-0.59018899848537809</v>
      </c>
    </row>
    <row r="243" spans="1:26" s="25" customFormat="1" outlineLevel="1" collapsed="1" x14ac:dyDescent="0.25">
      <c r="A243" s="26"/>
      <c r="B243" s="13" t="str">
        <f>CONCATENATE("     ","Royalty &amp; Commissions                             ")</f>
        <v xml:space="preserve">     Royalty &amp; Commissions                             </v>
      </c>
      <c r="C243" s="13"/>
      <c r="D243" s="1">
        <f>SUM(OSRRefD22_17x_0)</f>
        <v>5.97</v>
      </c>
      <c r="E243" s="1"/>
      <c r="F243" s="5">
        <f t="shared" ref="F243:F246" si="96">IF(D$12=0,0,D243/D$12)</f>
        <v>1.9069013090094916E-5</v>
      </c>
      <c r="G243" s="1"/>
      <c r="H243" s="1">
        <f>SUM(OSRRefH22_17x_0)</f>
        <v>12955.019999999999</v>
      </c>
      <c r="I243" s="1"/>
      <c r="J243" s="5">
        <f t="shared" ref="J243:J246" si="97">IF(H$12=0,0,H243/H$12)</f>
        <v>2.4512716611995486E-2</v>
      </c>
      <c r="K243" s="1"/>
      <c r="L243" s="1">
        <f t="shared" ref="L243:L246" si="98">+D243-H243</f>
        <v>-12949.05</v>
      </c>
      <c r="M243" s="1"/>
      <c r="N243" s="5">
        <f t="shared" ref="N243:N246" si="99">IF(H243=0,0,L243/H243)</f>
        <v>-0.99953917477549248</v>
      </c>
      <c r="O243" s="13"/>
      <c r="P243" s="1">
        <f>SUM(OSRRefP22_17x_0)</f>
        <v>28576.059999999998</v>
      </c>
      <c r="Q243" s="1"/>
      <c r="R243" s="5">
        <f t="shared" ref="R243:R246" si="100">IF(P$12=0,0,P243/P$12)</f>
        <v>7.1908287694087449E-3</v>
      </c>
      <c r="S243" s="1"/>
      <c r="T243" s="1">
        <f>SUM(OSRRefT22_17x_0)</f>
        <v>63490.770000000004</v>
      </c>
      <c r="U243" s="1"/>
      <c r="V243" s="5">
        <f t="shared" ref="V243:V246" si="101">IF(T$12=0,0,T243/T$12)</f>
        <v>8.9441683537080929E-3</v>
      </c>
      <c r="W243" s="1"/>
      <c r="X243" s="1">
        <f t="shared" ref="X243:X246" si="102">+P243-T243</f>
        <v>-34914.710000000006</v>
      </c>
      <c r="Y243" s="1"/>
      <c r="Z243" s="5">
        <f t="shared" ref="Z243:Z246" si="103">IF(T243=0,0,X243/T243)</f>
        <v>-0.54991788570212652</v>
      </c>
    </row>
    <row r="244" spans="1:26" s="24" customFormat="1" hidden="1" outlineLevel="2" x14ac:dyDescent="0.25">
      <c r="A244" s="27"/>
      <c r="B244" s="11" t="str">
        <f>CONCATENATE("          ", "6253", " - ", "ROYALTY DUE ATHLETICS-LRG")</f>
        <v xml:space="preserve">          6253 - ROYALTY DUE ATHLETICS-LRG</v>
      </c>
      <c r="C244" s="11"/>
      <c r="D244" s="7"/>
      <c r="E244" s="2"/>
      <c r="F244" s="6">
        <f t="shared" si="96"/>
        <v>0</v>
      </c>
      <c r="G244" s="2"/>
      <c r="H244" s="7"/>
      <c r="I244" s="2"/>
      <c r="J244" s="6">
        <f t="shared" si="97"/>
        <v>0</v>
      </c>
      <c r="K244" s="2"/>
      <c r="L244" s="7">
        <f t="shared" si="98"/>
        <v>0</v>
      </c>
      <c r="M244" s="2"/>
      <c r="N244" s="6">
        <f t="shared" si="99"/>
        <v>0</v>
      </c>
      <c r="O244" s="11"/>
      <c r="P244" s="7">
        <v>18411.8</v>
      </c>
      <c r="Q244" s="2"/>
      <c r="R244" s="6">
        <f t="shared" si="100"/>
        <v>4.6331125122427638E-3</v>
      </c>
      <c r="S244" s="2"/>
      <c r="T244" s="7">
        <v>4366.95</v>
      </c>
      <c r="U244" s="2"/>
      <c r="V244" s="6">
        <f t="shared" si="101"/>
        <v>6.1518762478743837E-4</v>
      </c>
      <c r="W244" s="2"/>
      <c r="X244" s="7">
        <f t="shared" si="102"/>
        <v>14044.849999999999</v>
      </c>
      <c r="Y244" s="2"/>
      <c r="Z244" s="6">
        <f t="shared" si="103"/>
        <v>3.216169179862375</v>
      </c>
    </row>
    <row r="245" spans="1:26" s="24" customFormat="1" hidden="1" outlineLevel="2" x14ac:dyDescent="0.25">
      <c r="A245" s="27"/>
      <c r="B245" s="11" t="str">
        <f>CONCATENATE("          ", "6254", " - ", "ROYALTY &amp; COMMISSIONS")</f>
        <v xml:space="preserve">          6254 - ROYALTY &amp; COMMISSIONS</v>
      </c>
      <c r="C245" s="11"/>
      <c r="D245" s="7"/>
      <c r="E245" s="2"/>
      <c r="F245" s="6">
        <f t="shared" si="96"/>
        <v>0</v>
      </c>
      <c r="G245" s="2"/>
      <c r="H245" s="7">
        <v>262.72000000000003</v>
      </c>
      <c r="I245" s="2"/>
      <c r="J245" s="6">
        <f t="shared" si="97"/>
        <v>4.9710312360023024E-4</v>
      </c>
      <c r="K245" s="2"/>
      <c r="L245" s="7">
        <f t="shared" si="98"/>
        <v>-262.72000000000003</v>
      </c>
      <c r="M245" s="2"/>
      <c r="N245" s="6">
        <f t="shared" si="99"/>
        <v>-1</v>
      </c>
      <c r="O245" s="11"/>
      <c r="P245" s="7"/>
      <c r="Q245" s="2"/>
      <c r="R245" s="6">
        <f t="shared" si="100"/>
        <v>0</v>
      </c>
      <c r="S245" s="2"/>
      <c r="T245" s="7">
        <v>2563.84</v>
      </c>
      <c r="U245" s="2"/>
      <c r="V245" s="6">
        <f t="shared" si="101"/>
        <v>3.6117716940542628E-4</v>
      </c>
      <c r="W245" s="2"/>
      <c r="X245" s="7">
        <f t="shared" si="102"/>
        <v>-2563.84</v>
      </c>
      <c r="Y245" s="2"/>
      <c r="Z245" s="6">
        <f t="shared" si="103"/>
        <v>-1</v>
      </c>
    </row>
    <row r="246" spans="1:26" s="24" customFormat="1" hidden="1" outlineLevel="2" x14ac:dyDescent="0.25">
      <c r="A246" s="27"/>
      <c r="B246" s="11" t="str">
        <f>CONCATENATE("          ", "6259", " - ", "ROYALTY &amp; COMMISSIONS")</f>
        <v xml:space="preserve">          6259 - ROYALTY &amp; COMMISSIONS</v>
      </c>
      <c r="C246" s="11"/>
      <c r="D246" s="7">
        <v>5.97</v>
      </c>
      <c r="E246" s="2"/>
      <c r="F246" s="6">
        <f t="shared" si="96"/>
        <v>1.9069013090094916E-5</v>
      </c>
      <c r="G246" s="2"/>
      <c r="H246" s="7">
        <v>12692.3</v>
      </c>
      <c r="I246" s="2"/>
      <c r="J246" s="6">
        <f t="shared" si="97"/>
        <v>2.4015613488395256E-2</v>
      </c>
      <c r="K246" s="2"/>
      <c r="L246" s="7">
        <f t="shared" si="98"/>
        <v>-12686.33</v>
      </c>
      <c r="M246" s="2"/>
      <c r="N246" s="6">
        <f t="shared" si="99"/>
        <v>-0.99952963607856737</v>
      </c>
      <c r="O246" s="11"/>
      <c r="P246" s="7">
        <v>10164.26</v>
      </c>
      <c r="Q246" s="2"/>
      <c r="R246" s="6">
        <f t="shared" si="100"/>
        <v>2.5577162571659823E-3</v>
      </c>
      <c r="S246" s="2"/>
      <c r="T246" s="7">
        <v>56559.98</v>
      </c>
      <c r="U246" s="2"/>
      <c r="V246" s="6">
        <f t="shared" si="101"/>
        <v>7.9678035595152283E-3</v>
      </c>
      <c r="W246" s="2"/>
      <c r="X246" s="7">
        <f t="shared" si="102"/>
        <v>-46395.72</v>
      </c>
      <c r="Y246" s="2"/>
      <c r="Z246" s="6">
        <f t="shared" si="103"/>
        <v>-0.82029236926887172</v>
      </c>
    </row>
    <row r="247" spans="1:26" s="25" customFormat="1" outlineLevel="1" collapsed="1" x14ac:dyDescent="0.25">
      <c r="A247" s="26"/>
      <c r="B247" s="13" t="str">
        <f>CONCATENATE("     ","Services                                          ")</f>
        <v xml:space="preserve">     Services                                          </v>
      </c>
      <c r="C247" s="13"/>
      <c r="D247" s="1">
        <f>SUM(OSRRefD22_18x_0)</f>
        <v>2494.0299999999997</v>
      </c>
      <c r="E247" s="1"/>
      <c r="F247" s="5">
        <f t="shared" ref="F247:F251" si="104">IF(D$12=0,0,D247/D$12)</f>
        <v>7.9662798521087808E-3</v>
      </c>
      <c r="G247" s="1"/>
      <c r="H247" s="1">
        <f>SUM(OSRRefH22_18x_0)</f>
        <v>4525.41</v>
      </c>
      <c r="I247" s="1"/>
      <c r="J247" s="5">
        <f t="shared" ref="J247:J251" si="105">IF(H$12=0,0,H247/H$12)</f>
        <v>8.5627110481566598E-3</v>
      </c>
      <c r="K247" s="1"/>
      <c r="L247" s="1">
        <f t="shared" ref="L247:L251" si="106">+D247-H247</f>
        <v>-2031.38</v>
      </c>
      <c r="M247" s="1"/>
      <c r="N247" s="5">
        <f t="shared" ref="N247:N251" si="107">IF(H247=0,0,L247/H247)</f>
        <v>-0.44888308462658638</v>
      </c>
      <c r="O247" s="13"/>
      <c r="P247" s="1">
        <f>SUM(OSRRefP22_18x_0)</f>
        <v>19183.75</v>
      </c>
      <c r="Q247" s="1"/>
      <c r="R247" s="5">
        <f t="shared" ref="R247:R251" si="108">IF(P$12=0,0,P247/P$12)</f>
        <v>4.8273646333730066E-3</v>
      </c>
      <c r="S247" s="1"/>
      <c r="T247" s="1">
        <f>SUM(OSRRefT22_18x_0)</f>
        <v>27391.88</v>
      </c>
      <c r="U247" s="1"/>
      <c r="V247" s="5">
        <f t="shared" ref="V247:V251" si="109">IF(T$12=0,0,T247/T$12)</f>
        <v>3.8587905965634002E-3</v>
      </c>
      <c r="W247" s="1"/>
      <c r="X247" s="1">
        <f t="shared" ref="X247:X251" si="110">+P247-T247</f>
        <v>-8208.130000000001</v>
      </c>
      <c r="Y247" s="1"/>
      <c r="Z247" s="5">
        <f t="shared" ref="Z247:Z251" si="111">IF(T247=0,0,X247/T247)</f>
        <v>-0.29965559136503228</v>
      </c>
    </row>
    <row r="248" spans="1:26" s="24" customFormat="1" hidden="1" outlineLevel="2" x14ac:dyDescent="0.25">
      <c r="A248" s="27"/>
      <c r="B248" s="11" t="str">
        <f>CONCATENATE("          ", "6282", " - ", "JANITORIAL/EXTERMINATOR EXPENS")</f>
        <v xml:space="preserve">          6282 - JANITORIAL/EXTERMINATOR EXPENS</v>
      </c>
      <c r="C248" s="11"/>
      <c r="D248" s="7"/>
      <c r="E248" s="2"/>
      <c r="F248" s="6">
        <f t="shared" si="104"/>
        <v>0</v>
      </c>
      <c r="G248" s="2"/>
      <c r="H248" s="7">
        <v>266.5</v>
      </c>
      <c r="I248" s="2"/>
      <c r="J248" s="6">
        <f t="shared" si="105"/>
        <v>5.0425541427931398E-4</v>
      </c>
      <c r="K248" s="2"/>
      <c r="L248" s="7">
        <f t="shared" si="106"/>
        <v>-266.5</v>
      </c>
      <c r="M248" s="2"/>
      <c r="N248" s="6">
        <f t="shared" si="107"/>
        <v>-1</v>
      </c>
      <c r="O248" s="11"/>
      <c r="P248" s="7">
        <v>5340.12</v>
      </c>
      <c r="Q248" s="2"/>
      <c r="R248" s="6">
        <f t="shared" si="108"/>
        <v>1.3437782720254307E-3</v>
      </c>
      <c r="S248" s="2"/>
      <c r="T248" s="7">
        <v>1599</v>
      </c>
      <c r="U248" s="2"/>
      <c r="V248" s="6">
        <f t="shared" si="109"/>
        <v>2.2525676090523456E-4</v>
      </c>
      <c r="W248" s="2"/>
      <c r="X248" s="7">
        <f t="shared" si="110"/>
        <v>3741.12</v>
      </c>
      <c r="Y248" s="2"/>
      <c r="Z248" s="6">
        <f t="shared" si="111"/>
        <v>2.3396622889305814</v>
      </c>
    </row>
    <row r="249" spans="1:26" s="24" customFormat="1" hidden="1" outlineLevel="2" x14ac:dyDescent="0.25">
      <c r="A249" s="27"/>
      <c r="B249" s="11" t="str">
        <f>CONCATENATE("          ", "6283", " - ", "PLANT SERVICE")</f>
        <v xml:space="preserve">          6283 - PLANT SERVICE</v>
      </c>
      <c r="C249" s="11"/>
      <c r="D249" s="7"/>
      <c r="E249" s="2"/>
      <c r="F249" s="6">
        <f t="shared" si="104"/>
        <v>0</v>
      </c>
      <c r="G249" s="2"/>
      <c r="H249" s="7"/>
      <c r="I249" s="2"/>
      <c r="J249" s="6">
        <f t="shared" si="105"/>
        <v>0</v>
      </c>
      <c r="K249" s="2"/>
      <c r="L249" s="7">
        <f t="shared" si="106"/>
        <v>0</v>
      </c>
      <c r="M249" s="2"/>
      <c r="N249" s="6">
        <f t="shared" si="107"/>
        <v>0</v>
      </c>
      <c r="O249" s="11"/>
      <c r="P249" s="7">
        <v>171.31</v>
      </c>
      <c r="Q249" s="2"/>
      <c r="R249" s="6">
        <f t="shared" si="108"/>
        <v>4.3108142847103911E-5</v>
      </c>
      <c r="S249" s="2"/>
      <c r="T249" s="7">
        <v>541.98</v>
      </c>
      <c r="U249" s="2"/>
      <c r="V249" s="6">
        <f t="shared" si="109"/>
        <v>7.6350631191631662E-5</v>
      </c>
      <c r="W249" s="2"/>
      <c r="X249" s="7">
        <f t="shared" si="110"/>
        <v>-370.67</v>
      </c>
      <c r="Y249" s="2"/>
      <c r="Z249" s="6">
        <f t="shared" si="111"/>
        <v>-0.68391822576478833</v>
      </c>
    </row>
    <row r="250" spans="1:26" s="24" customFormat="1" hidden="1" outlineLevel="2" x14ac:dyDescent="0.25">
      <c r="A250" s="27"/>
      <c r="B250" s="11" t="str">
        <f>CONCATENATE("          ", "6284", " - ", "TRASH REMOVAL EXPENSE")</f>
        <v xml:space="preserve">          6284 - TRASH REMOVAL EXPENSE</v>
      </c>
      <c r="C250" s="11"/>
      <c r="D250" s="7">
        <v>285.14</v>
      </c>
      <c r="E250" s="2"/>
      <c r="F250" s="6">
        <f t="shared" si="104"/>
        <v>9.1077695016912293E-4</v>
      </c>
      <c r="G250" s="2"/>
      <c r="H250" s="7">
        <v>134.82</v>
      </c>
      <c r="I250" s="2"/>
      <c r="J250" s="6">
        <f t="shared" si="105"/>
        <v>2.5509836755398539E-4</v>
      </c>
      <c r="K250" s="2"/>
      <c r="L250" s="7">
        <f t="shared" si="106"/>
        <v>150.32</v>
      </c>
      <c r="M250" s="2"/>
      <c r="N250" s="6">
        <f t="shared" si="107"/>
        <v>1.1149681056223113</v>
      </c>
      <c r="O250" s="11"/>
      <c r="P250" s="7">
        <v>870.44</v>
      </c>
      <c r="Q250" s="2"/>
      <c r="R250" s="6">
        <f t="shared" si="108"/>
        <v>2.1903596906096043E-4</v>
      </c>
      <c r="S250" s="2"/>
      <c r="T250" s="7">
        <v>808.92</v>
      </c>
      <c r="U250" s="2"/>
      <c r="V250" s="6">
        <f t="shared" si="109"/>
        <v>1.1395540902530477E-4</v>
      </c>
      <c r="W250" s="2"/>
      <c r="X250" s="7">
        <f t="shared" si="110"/>
        <v>61.520000000000095</v>
      </c>
      <c r="Y250" s="2"/>
      <c r="Z250" s="6">
        <f t="shared" si="111"/>
        <v>7.6052019977253749E-2</v>
      </c>
    </row>
    <row r="251" spans="1:26" s="24" customFormat="1" hidden="1" outlineLevel="2" x14ac:dyDescent="0.25">
      <c r="A251" s="27"/>
      <c r="B251" s="11" t="str">
        <f>CONCATENATE("          ", "6285", " - ", "JANITORIAL SERVICES")</f>
        <v xml:space="preserve">          6285 - JANITORIAL SERVICES</v>
      </c>
      <c r="C251" s="11"/>
      <c r="D251" s="7">
        <v>2208.89</v>
      </c>
      <c r="E251" s="2"/>
      <c r="F251" s="6">
        <f t="shared" si="104"/>
        <v>7.0555029019396575E-3</v>
      </c>
      <c r="G251" s="2"/>
      <c r="H251" s="7">
        <v>4124.09</v>
      </c>
      <c r="I251" s="2"/>
      <c r="J251" s="6">
        <f t="shared" si="105"/>
        <v>7.8033572663233613E-3</v>
      </c>
      <c r="K251" s="2"/>
      <c r="L251" s="7">
        <f t="shared" si="106"/>
        <v>-1915.2000000000003</v>
      </c>
      <c r="M251" s="2"/>
      <c r="N251" s="6">
        <f t="shared" si="107"/>
        <v>-0.46439335707998619</v>
      </c>
      <c r="O251" s="11"/>
      <c r="P251" s="7">
        <v>12801.88</v>
      </c>
      <c r="Q251" s="2"/>
      <c r="R251" s="6">
        <f t="shared" si="108"/>
        <v>3.2214422494395109E-3</v>
      </c>
      <c r="S251" s="2"/>
      <c r="T251" s="7">
        <v>24441.98</v>
      </c>
      <c r="U251" s="2"/>
      <c r="V251" s="6">
        <f t="shared" si="109"/>
        <v>3.443227795441229E-3</v>
      </c>
      <c r="W251" s="2"/>
      <c r="X251" s="7">
        <f t="shared" si="110"/>
        <v>-11640.1</v>
      </c>
      <c r="Y251" s="2"/>
      <c r="Z251" s="6">
        <f t="shared" si="111"/>
        <v>-0.4762339221290583</v>
      </c>
    </row>
    <row r="252" spans="1:26" s="25" customFormat="1" outlineLevel="1" collapsed="1" x14ac:dyDescent="0.25">
      <c r="A252" s="26"/>
      <c r="B252" s="13" t="str">
        <f>CONCATENATE("     ","Subscriptions &amp; Dues                              ")</f>
        <v xml:space="preserve">     Subscriptions &amp; Dues                              </v>
      </c>
      <c r="C252" s="13"/>
      <c r="D252" s="1">
        <f>SUM(OSRRefD22_19x_0)</f>
        <v>80.430000000000007</v>
      </c>
      <c r="E252" s="1"/>
      <c r="F252" s="5">
        <f t="shared" ref="F252:F254" si="112">IF(D$12=0,0,D252/D$12)</f>
        <v>2.5690464369117829E-4</v>
      </c>
      <c r="G252" s="1"/>
      <c r="H252" s="1">
        <f>SUM(OSRRefH22_19x_0)</f>
        <v>250</v>
      </c>
      <c r="I252" s="1"/>
      <c r="J252" s="5">
        <f t="shared" ref="J252:J254" si="113">IF(H$12=0,0,H252/H$12)</f>
        <v>4.7303509782299619E-4</v>
      </c>
      <c r="K252" s="1"/>
      <c r="L252" s="1">
        <f t="shared" ref="L252:L254" si="114">+D252-H252</f>
        <v>-169.57</v>
      </c>
      <c r="M252" s="1"/>
      <c r="N252" s="5">
        <f t="shared" ref="N252:N254" si="115">IF(H252=0,0,L252/H252)</f>
        <v>-0.67827999999999999</v>
      </c>
      <c r="O252" s="13"/>
      <c r="P252" s="1">
        <f>SUM(OSRRefP22_19x_0)</f>
        <v>1455.44</v>
      </c>
      <c r="Q252" s="1"/>
      <c r="R252" s="5">
        <f t="shared" ref="R252:R254" si="116">IF(P$12=0,0,P252/P$12)</f>
        <v>3.6624432564000303E-4</v>
      </c>
      <c r="S252" s="1"/>
      <c r="T252" s="1">
        <f>SUM(OSRRefT22_19x_0)</f>
        <v>-2532.2399999999998</v>
      </c>
      <c r="U252" s="1"/>
      <c r="V252" s="5">
        <f t="shared" ref="V252:V254" si="117">IF(T$12=0,0,T252/T$12)</f>
        <v>-3.5672556612549789E-4</v>
      </c>
      <c r="W252" s="1"/>
      <c r="X252" s="1">
        <f t="shared" ref="X252:X254" si="118">+P252-T252</f>
        <v>3987.68</v>
      </c>
      <c r="Y252" s="1"/>
      <c r="Z252" s="5">
        <f t="shared" ref="Z252:Z254" si="119">IF(T252=0,0,X252/T252)</f>
        <v>-1.5747638454490887</v>
      </c>
    </row>
    <row r="253" spans="1:26" s="24" customFormat="1" hidden="1" outlineLevel="2" x14ac:dyDescent="0.25">
      <c r="A253" s="27"/>
      <c r="B253" s="11" t="str">
        <f>CONCATENATE("          ", "6258", " - ", "MEMBERSHIP DUES")</f>
        <v xml:space="preserve">          6258 - MEMBERSHIP DUES</v>
      </c>
      <c r="C253" s="11"/>
      <c r="D253" s="7">
        <v>80.430000000000007</v>
      </c>
      <c r="E253" s="2"/>
      <c r="F253" s="6">
        <f t="shared" si="112"/>
        <v>2.5690464369117829E-4</v>
      </c>
      <c r="G253" s="2"/>
      <c r="H253" s="7">
        <v>250</v>
      </c>
      <c r="I253" s="2"/>
      <c r="J253" s="6">
        <f t="shared" si="113"/>
        <v>4.7303509782299619E-4</v>
      </c>
      <c r="K253" s="2"/>
      <c r="L253" s="7">
        <f t="shared" si="114"/>
        <v>-169.57</v>
      </c>
      <c r="M253" s="2"/>
      <c r="N253" s="6">
        <f t="shared" si="115"/>
        <v>-0.67827999999999999</v>
      </c>
      <c r="O253" s="11"/>
      <c r="P253" s="7">
        <v>1229.71</v>
      </c>
      <c r="Q253" s="2"/>
      <c r="R253" s="6">
        <f t="shared" si="116"/>
        <v>3.0944203105780254E-4</v>
      </c>
      <c r="S253" s="2"/>
      <c r="T253" s="7">
        <v>-3322.6</v>
      </c>
      <c r="U253" s="2"/>
      <c r="V253" s="6">
        <f t="shared" si="117"/>
        <v>-4.6806636259145236E-4</v>
      </c>
      <c r="W253" s="2"/>
      <c r="X253" s="7">
        <f t="shared" si="118"/>
        <v>4552.3099999999995</v>
      </c>
      <c r="Y253" s="2"/>
      <c r="Z253" s="6">
        <f t="shared" si="119"/>
        <v>-1.3701047372539576</v>
      </c>
    </row>
    <row r="254" spans="1:26" s="24" customFormat="1" hidden="1" outlineLevel="2" x14ac:dyDescent="0.25">
      <c r="A254" s="27"/>
      <c r="B254" s="11" t="str">
        <f>CONCATENATE("          ", "6275", " - ", "SUBSCRIPTIONS")</f>
        <v xml:space="preserve">          6275 - SUBSCRIPTIONS</v>
      </c>
      <c r="C254" s="11"/>
      <c r="D254" s="7"/>
      <c r="E254" s="2"/>
      <c r="F254" s="6">
        <f t="shared" si="112"/>
        <v>0</v>
      </c>
      <c r="G254" s="2"/>
      <c r="H254" s="7"/>
      <c r="I254" s="2"/>
      <c r="J254" s="6">
        <f t="shared" si="113"/>
        <v>0</v>
      </c>
      <c r="K254" s="2"/>
      <c r="L254" s="7">
        <f t="shared" si="114"/>
        <v>0</v>
      </c>
      <c r="M254" s="2"/>
      <c r="N254" s="6">
        <f t="shared" si="115"/>
        <v>0</v>
      </c>
      <c r="O254" s="11"/>
      <c r="P254" s="7">
        <v>225.73</v>
      </c>
      <c r="Q254" s="2"/>
      <c r="R254" s="6">
        <f t="shared" si="116"/>
        <v>5.6802294582200487E-5</v>
      </c>
      <c r="S254" s="2"/>
      <c r="T254" s="7">
        <v>790.36</v>
      </c>
      <c r="U254" s="2"/>
      <c r="V254" s="6">
        <f t="shared" si="117"/>
        <v>1.1134079646595447E-4</v>
      </c>
      <c r="W254" s="2"/>
      <c r="X254" s="7">
        <f t="shared" si="118"/>
        <v>-564.63</v>
      </c>
      <c r="Y254" s="2"/>
      <c r="Z254" s="6">
        <f t="shared" si="119"/>
        <v>-0.71439597145604528</v>
      </c>
    </row>
    <row r="255" spans="1:26" s="25" customFormat="1" outlineLevel="1" collapsed="1" x14ac:dyDescent="0.25">
      <c r="A255" s="26"/>
      <c r="B255" s="13" t="str">
        <f>CONCATENATE("     ","Supplies                                          ")</f>
        <v xml:space="preserve">     Supplies                                          </v>
      </c>
      <c r="C255" s="13"/>
      <c r="D255" s="1">
        <f>SUM(OSRRefD22_20x_0)</f>
        <v>6983.04</v>
      </c>
      <c r="E255" s="1"/>
      <c r="F255" s="5">
        <f t="shared" ref="F255:F262" si="120">IF(D$12=0,0,D255/D$12)</f>
        <v>2.2304804215855345E-2</v>
      </c>
      <c r="G255" s="1"/>
      <c r="H255" s="1">
        <f>SUM(OSRRefH22_20x_0)</f>
        <v>7584.7900000000009</v>
      </c>
      <c r="I255" s="1"/>
      <c r="J255" s="5">
        <f t="shared" ref="J255:J262" si="121">IF(H$12=0,0,H255/H$12)</f>
        <v>1.4351487518467534E-2</v>
      </c>
      <c r="K255" s="1"/>
      <c r="L255" s="1">
        <f t="shared" ref="L255:L262" si="122">+D255-H255</f>
        <v>-601.75000000000091</v>
      </c>
      <c r="M255" s="1"/>
      <c r="N255" s="5">
        <f t="shared" ref="N255:N262" si="123">IF(H255=0,0,L255/H255)</f>
        <v>-7.93364087865321E-2</v>
      </c>
      <c r="O255" s="13"/>
      <c r="P255" s="1">
        <f>SUM(OSRRefP22_20x_0)</f>
        <v>80079.67</v>
      </c>
      <c r="Q255" s="1"/>
      <c r="R255" s="5">
        <f t="shared" ref="R255:R262" si="124">IF(P$12=0,0,P255/P$12)</f>
        <v>2.0151105326653096E-2</v>
      </c>
      <c r="S255" s="1"/>
      <c r="T255" s="1">
        <f>SUM(OSRRefT22_20x_0)</f>
        <v>53470.34</v>
      </c>
      <c r="U255" s="1"/>
      <c r="V255" s="5">
        <f t="shared" ref="V255:V262" si="125">IF(T$12=0,0,T255/T$12)</f>
        <v>7.5325550924963099E-3</v>
      </c>
      <c r="W255" s="1"/>
      <c r="X255" s="1">
        <f t="shared" ref="X255:X262" si="126">+P255-T255</f>
        <v>26609.33</v>
      </c>
      <c r="Y255" s="1"/>
      <c r="Z255" s="5">
        <f t="shared" ref="Z255:Z262" si="127">IF(T255=0,0,X255/T255)</f>
        <v>0.49764654572983835</v>
      </c>
    </row>
    <row r="256" spans="1:26" s="24" customFormat="1" hidden="1" outlineLevel="2" x14ac:dyDescent="0.25">
      <c r="A256" s="27"/>
      <c r="B256" s="11" t="str">
        <f>CONCATENATE("          ", "6234", " - ", "EXPENDABLE SUPPLIES &amp; EQUIPMEN")</f>
        <v xml:space="preserve">          6234 - EXPENDABLE SUPPLIES &amp; EQUIPMEN</v>
      </c>
      <c r="C256" s="11"/>
      <c r="D256" s="7"/>
      <c r="E256" s="2"/>
      <c r="F256" s="6">
        <f t="shared" si="120"/>
        <v>0</v>
      </c>
      <c r="G256" s="2"/>
      <c r="H256" s="7"/>
      <c r="I256" s="2"/>
      <c r="J256" s="6">
        <f t="shared" si="121"/>
        <v>0</v>
      </c>
      <c r="K256" s="2"/>
      <c r="L256" s="7">
        <f t="shared" si="122"/>
        <v>0</v>
      </c>
      <c r="M256" s="2"/>
      <c r="N256" s="6">
        <f t="shared" si="123"/>
        <v>0</v>
      </c>
      <c r="O256" s="11"/>
      <c r="P256" s="7">
        <v>-449.34</v>
      </c>
      <c r="Q256" s="2"/>
      <c r="R256" s="6">
        <f t="shared" si="124"/>
        <v>-1.1307111614568719E-4</v>
      </c>
      <c r="S256" s="2"/>
      <c r="T256" s="7">
        <v>1822.75</v>
      </c>
      <c r="U256" s="2"/>
      <c r="V256" s="6">
        <f t="shared" si="125"/>
        <v>2.5677721134460054E-4</v>
      </c>
      <c r="W256" s="2"/>
      <c r="X256" s="7">
        <f t="shared" si="126"/>
        <v>-2272.09</v>
      </c>
      <c r="Y256" s="2"/>
      <c r="Z256" s="6">
        <f t="shared" si="127"/>
        <v>-1.246517624468523</v>
      </c>
    </row>
    <row r="257" spans="1:26" s="24" customFormat="1" hidden="1" outlineLevel="2" x14ac:dyDescent="0.25">
      <c r="A257" s="27"/>
      <c r="B257" s="11" t="str">
        <f>CONCATENATE("          ", "6235", " - ", "COVID-19 EXPENSES")</f>
        <v xml:space="preserve">          6235 - COVID-19 EXPENSES</v>
      </c>
      <c r="C257" s="11"/>
      <c r="D257" s="7">
        <v>2921.2</v>
      </c>
      <c r="E257" s="2"/>
      <c r="F257" s="6">
        <f t="shared" si="120"/>
        <v>9.3307204420075823E-3</v>
      </c>
      <c r="G257" s="2"/>
      <c r="H257" s="7"/>
      <c r="I257" s="2"/>
      <c r="J257" s="6">
        <f t="shared" si="121"/>
        <v>0</v>
      </c>
      <c r="K257" s="2"/>
      <c r="L257" s="7">
        <f t="shared" si="122"/>
        <v>2921.2</v>
      </c>
      <c r="M257" s="2"/>
      <c r="N257" s="6">
        <f t="shared" si="123"/>
        <v>0</v>
      </c>
      <c r="O257" s="11"/>
      <c r="P257" s="7">
        <v>32045.95</v>
      </c>
      <c r="Q257" s="2"/>
      <c r="R257" s="6">
        <f t="shared" si="124"/>
        <v>8.0639857000242236E-3</v>
      </c>
      <c r="S257" s="2"/>
      <c r="T257" s="7"/>
      <c r="U257" s="2"/>
      <c r="V257" s="6">
        <f t="shared" si="125"/>
        <v>0</v>
      </c>
      <c r="W257" s="2"/>
      <c r="X257" s="7">
        <f t="shared" si="126"/>
        <v>32045.95</v>
      </c>
      <c r="Y257" s="2"/>
      <c r="Z257" s="6">
        <f t="shared" si="127"/>
        <v>0</v>
      </c>
    </row>
    <row r="258" spans="1:26" s="24" customFormat="1" hidden="1" outlineLevel="2" x14ac:dyDescent="0.25">
      <c r="A258" s="27"/>
      <c r="B258" s="11" t="str">
        <f>CONCATENATE("          ", "6237", " - ", "JANITORIAL SUPPLIES")</f>
        <v xml:space="preserve">          6237 - JANITORIAL SUPPLIES</v>
      </c>
      <c r="C258" s="11"/>
      <c r="D258" s="7">
        <v>438.53</v>
      </c>
      <c r="E258" s="2"/>
      <c r="F258" s="6">
        <f t="shared" si="120"/>
        <v>1.4007260151422652E-3</v>
      </c>
      <c r="G258" s="2"/>
      <c r="H258" s="7">
        <v>131.72999999999999</v>
      </c>
      <c r="I258" s="2"/>
      <c r="J258" s="6">
        <f t="shared" si="121"/>
        <v>2.492516537448931E-4</v>
      </c>
      <c r="K258" s="2"/>
      <c r="L258" s="7">
        <f t="shared" si="122"/>
        <v>306.79999999999995</v>
      </c>
      <c r="M258" s="2"/>
      <c r="N258" s="6">
        <f t="shared" si="123"/>
        <v>2.3290063007667197</v>
      </c>
      <c r="O258" s="11"/>
      <c r="P258" s="7">
        <v>1933.88</v>
      </c>
      <c r="Q258" s="2"/>
      <c r="R258" s="6">
        <f t="shared" si="124"/>
        <v>4.8663811388218619E-4</v>
      </c>
      <c r="S258" s="2"/>
      <c r="T258" s="7">
        <v>2989.48</v>
      </c>
      <c r="U258" s="2"/>
      <c r="V258" s="6">
        <f t="shared" si="125"/>
        <v>4.2113857510380279E-4</v>
      </c>
      <c r="W258" s="2"/>
      <c r="X258" s="7">
        <f t="shared" si="126"/>
        <v>-1055.5999999999999</v>
      </c>
      <c r="Y258" s="2"/>
      <c r="Z258" s="6">
        <f t="shared" si="127"/>
        <v>-0.35310488780657501</v>
      </c>
    </row>
    <row r="259" spans="1:26" s="24" customFormat="1" hidden="1" outlineLevel="2" x14ac:dyDescent="0.25">
      <c r="A259" s="27"/>
      <c r="B259" s="11" t="str">
        <f>CONCATENATE("          ", "6241", " - ", "OFFICE EXPENSE")</f>
        <v xml:space="preserve">          6241 - OFFICE EXPENSE</v>
      </c>
      <c r="C259" s="11"/>
      <c r="D259" s="7">
        <v>1361.67</v>
      </c>
      <c r="E259" s="2"/>
      <c r="F259" s="6">
        <f t="shared" si="120"/>
        <v>4.3493639957101413E-3</v>
      </c>
      <c r="G259" s="2"/>
      <c r="H259" s="7">
        <v>2931.36</v>
      </c>
      <c r="I259" s="2"/>
      <c r="J259" s="6">
        <f t="shared" si="121"/>
        <v>5.5465446574176729E-3</v>
      </c>
      <c r="K259" s="2"/>
      <c r="L259" s="7">
        <f t="shared" si="122"/>
        <v>-1569.69</v>
      </c>
      <c r="M259" s="2"/>
      <c r="N259" s="6">
        <f t="shared" si="123"/>
        <v>-0.53548182413623713</v>
      </c>
      <c r="O259" s="11"/>
      <c r="P259" s="7">
        <v>10873.12</v>
      </c>
      <c r="Q259" s="2"/>
      <c r="R259" s="6">
        <f t="shared" si="124"/>
        <v>2.7360925232251623E-3</v>
      </c>
      <c r="S259" s="2"/>
      <c r="T259" s="7">
        <v>18187.48</v>
      </c>
      <c r="U259" s="2"/>
      <c r="V259" s="6">
        <f t="shared" si="125"/>
        <v>2.5621343551149064E-3</v>
      </c>
      <c r="W259" s="2"/>
      <c r="X259" s="7">
        <f t="shared" si="126"/>
        <v>-7314.3599999999988</v>
      </c>
      <c r="Y259" s="2"/>
      <c r="Z259" s="6">
        <f t="shared" si="127"/>
        <v>-0.40216456595416183</v>
      </c>
    </row>
    <row r="260" spans="1:26" s="24" customFormat="1" hidden="1" outlineLevel="2" x14ac:dyDescent="0.25">
      <c r="A260" s="27"/>
      <c r="B260" s="11" t="str">
        <f>CONCATENATE("          ", "6243", " - ", "PAPER SUPPLIES")</f>
        <v xml:space="preserve">          6243 - PAPER SUPPLIES</v>
      </c>
      <c r="C260" s="11"/>
      <c r="D260" s="7">
        <v>411.1</v>
      </c>
      <c r="E260" s="2"/>
      <c r="F260" s="6">
        <f t="shared" si="120"/>
        <v>1.3131107673933033E-3</v>
      </c>
      <c r="G260" s="2"/>
      <c r="H260" s="7">
        <v>3229.02</v>
      </c>
      <c r="I260" s="2"/>
      <c r="J260" s="6">
        <f t="shared" si="121"/>
        <v>6.1097591662896446E-3</v>
      </c>
      <c r="K260" s="2"/>
      <c r="L260" s="7">
        <f t="shared" si="122"/>
        <v>-2817.92</v>
      </c>
      <c r="M260" s="2"/>
      <c r="N260" s="6">
        <f t="shared" si="123"/>
        <v>-0.87268583037577963</v>
      </c>
      <c r="O260" s="11"/>
      <c r="P260" s="7">
        <v>5093.3999999999996</v>
      </c>
      <c r="Q260" s="2"/>
      <c r="R260" s="6">
        <f t="shared" si="124"/>
        <v>1.2816940912815308E-3</v>
      </c>
      <c r="S260" s="2"/>
      <c r="T260" s="7">
        <v>9558.5</v>
      </c>
      <c r="U260" s="2"/>
      <c r="V260" s="6">
        <f t="shared" si="125"/>
        <v>1.3465395554175638E-3</v>
      </c>
      <c r="W260" s="2"/>
      <c r="X260" s="7">
        <f t="shared" si="126"/>
        <v>-4465.1000000000004</v>
      </c>
      <c r="Y260" s="2"/>
      <c r="Z260" s="6">
        <f t="shared" si="127"/>
        <v>-0.46713396453418427</v>
      </c>
    </row>
    <row r="261" spans="1:26" s="24" customFormat="1" hidden="1" outlineLevel="2" x14ac:dyDescent="0.25">
      <c r="A261" s="27"/>
      <c r="B261" s="11" t="str">
        <f>CONCATENATE("          ", "6245", " - ", "PRINTING")</f>
        <v xml:space="preserve">          6245 - PRINTING</v>
      </c>
      <c r="C261" s="11"/>
      <c r="D261" s="7"/>
      <c r="E261" s="2"/>
      <c r="F261" s="6">
        <f t="shared" si="120"/>
        <v>0</v>
      </c>
      <c r="G261" s="2"/>
      <c r="H261" s="7">
        <v>748.76</v>
      </c>
      <c r="I261" s="2"/>
      <c r="J261" s="6">
        <f t="shared" si="121"/>
        <v>1.4167590393837865E-3</v>
      </c>
      <c r="K261" s="2"/>
      <c r="L261" s="7">
        <f t="shared" si="122"/>
        <v>-748.76</v>
      </c>
      <c r="M261" s="2"/>
      <c r="N261" s="6">
        <f t="shared" si="123"/>
        <v>-1</v>
      </c>
      <c r="O261" s="11"/>
      <c r="P261" s="7">
        <v>508.27</v>
      </c>
      <c r="Q261" s="2"/>
      <c r="R261" s="6">
        <f t="shared" si="124"/>
        <v>1.2790015623663246E-4</v>
      </c>
      <c r="S261" s="2"/>
      <c r="T261" s="7">
        <v>5593.81</v>
      </c>
      <c r="U261" s="2"/>
      <c r="V261" s="6">
        <f t="shared" si="125"/>
        <v>7.8801971339544107E-4</v>
      </c>
      <c r="W261" s="2"/>
      <c r="X261" s="7">
        <f t="shared" si="126"/>
        <v>-5085.5400000000009</v>
      </c>
      <c r="Y261" s="2"/>
      <c r="Z261" s="6">
        <f t="shared" si="127"/>
        <v>-0.90913706400467664</v>
      </c>
    </row>
    <row r="262" spans="1:26" s="24" customFormat="1" hidden="1" outlineLevel="2" x14ac:dyDescent="0.25">
      <c r="A262" s="27"/>
      <c r="B262" s="11" t="str">
        <f>CONCATENATE("          ", "6247", " - ", "STORE SUPPLIES")</f>
        <v xml:space="preserve">          6247 - STORE SUPPLIES</v>
      </c>
      <c r="C262" s="11"/>
      <c r="D262" s="7">
        <v>1850.54</v>
      </c>
      <c r="E262" s="2"/>
      <c r="F262" s="6">
        <f t="shared" si="120"/>
        <v>5.9108829956020514E-3</v>
      </c>
      <c r="G262" s="2"/>
      <c r="H262" s="7">
        <v>543.91999999999996</v>
      </c>
      <c r="I262" s="2"/>
      <c r="J262" s="6">
        <f t="shared" si="121"/>
        <v>1.0291730016315362E-3</v>
      </c>
      <c r="K262" s="2"/>
      <c r="L262" s="7">
        <f t="shared" si="122"/>
        <v>1306.6199999999999</v>
      </c>
      <c r="M262" s="2"/>
      <c r="N262" s="6">
        <f t="shared" si="123"/>
        <v>2.4022282688630683</v>
      </c>
      <c r="O262" s="11"/>
      <c r="P262" s="7">
        <v>30074.390000000003</v>
      </c>
      <c r="Q262" s="2"/>
      <c r="R262" s="6">
        <f t="shared" si="124"/>
        <v>7.5678658581490492E-3</v>
      </c>
      <c r="S262" s="2"/>
      <c r="T262" s="7">
        <v>15318.32</v>
      </c>
      <c r="U262" s="2"/>
      <c r="V262" s="6">
        <f t="shared" si="125"/>
        <v>2.1579456821199956E-3</v>
      </c>
      <c r="W262" s="2"/>
      <c r="X262" s="7">
        <f t="shared" si="126"/>
        <v>14756.070000000003</v>
      </c>
      <c r="Y262" s="2"/>
      <c r="Z262" s="6">
        <f t="shared" si="127"/>
        <v>0.96329558332767584</v>
      </c>
    </row>
    <row r="263" spans="1:26" s="25" customFormat="1" outlineLevel="1" collapsed="1" x14ac:dyDescent="0.25">
      <c r="A263" s="26"/>
      <c r="B263" s="13" t="str">
        <f>CONCATENATE("     ","Telephone/Data Lines                              ")</f>
        <v xml:space="preserve">     Telephone/Data Lines                              </v>
      </c>
      <c r="C263" s="13"/>
      <c r="D263" s="1">
        <f>SUM(OSRRefD22_21x_0)</f>
        <v>2254.4899999999998</v>
      </c>
      <c r="E263" s="1"/>
      <c r="F263" s="5">
        <f t="shared" ref="F263:F265" si="128">IF(D$12=0,0,D263/D$12)</f>
        <v>7.2011556652408848E-3</v>
      </c>
      <c r="G263" s="1"/>
      <c r="H263" s="1">
        <f>SUM(OSRRefH22_21x_0)</f>
        <v>2857.59</v>
      </c>
      <c r="I263" s="1"/>
      <c r="J263" s="5">
        <f t="shared" ref="J263:J265" si="129">IF(H$12=0,0,H263/H$12)</f>
        <v>5.4069614607520633E-3</v>
      </c>
      <c r="K263" s="1"/>
      <c r="L263" s="1">
        <f t="shared" ref="L263:L265" si="130">+D263-H263</f>
        <v>-603.10000000000036</v>
      </c>
      <c r="M263" s="1"/>
      <c r="N263" s="5">
        <f t="shared" ref="N263:N265" si="131">IF(H263=0,0,L263/H263)</f>
        <v>-0.21105197036663773</v>
      </c>
      <c r="O263" s="13"/>
      <c r="P263" s="1">
        <f>SUM(OSRRefP22_21x_0)</f>
        <v>16881.489999999998</v>
      </c>
      <c r="Q263" s="1"/>
      <c r="R263" s="5">
        <f t="shared" ref="R263:R265" si="132">IF(P$12=0,0,P263/P$12)</f>
        <v>4.248028033342806E-3</v>
      </c>
      <c r="S263" s="1"/>
      <c r="T263" s="1">
        <f>SUM(OSRRefT22_21x_0)</f>
        <v>17591.409999999996</v>
      </c>
      <c r="U263" s="1"/>
      <c r="V263" s="5">
        <f t="shared" ref="V263:V265" si="133">IF(T$12=0,0,T263/T$12)</f>
        <v>2.478163875144435E-3</v>
      </c>
      <c r="W263" s="1"/>
      <c r="X263" s="1">
        <f t="shared" ref="X263:X265" si="134">+P263-T263</f>
        <v>-709.91999999999825</v>
      </c>
      <c r="Y263" s="1"/>
      <c r="Z263" s="5">
        <f t="shared" ref="Z263:Z265" si="135">IF(T263=0,0,X263/T263)</f>
        <v>-4.0356060145263987E-2</v>
      </c>
    </row>
    <row r="264" spans="1:26" s="24" customFormat="1" hidden="1" outlineLevel="2" x14ac:dyDescent="0.25">
      <c r="A264" s="27"/>
      <c r="B264" s="11" t="str">
        <f>CONCATENATE("          ", "6303", " - ", "DATA PHONE LINES")</f>
        <v xml:space="preserve">          6303 - DATA PHONE LINES</v>
      </c>
      <c r="C264" s="11"/>
      <c r="D264" s="7"/>
      <c r="E264" s="2"/>
      <c r="F264" s="6">
        <f t="shared" si="128"/>
        <v>0</v>
      </c>
      <c r="G264" s="2"/>
      <c r="H264" s="7">
        <v>295</v>
      </c>
      <c r="I264" s="2"/>
      <c r="J264" s="6">
        <f t="shared" si="129"/>
        <v>5.581814154311355E-4</v>
      </c>
      <c r="K264" s="2"/>
      <c r="L264" s="7">
        <f t="shared" si="130"/>
        <v>-295</v>
      </c>
      <c r="M264" s="2"/>
      <c r="N264" s="6">
        <f t="shared" si="131"/>
        <v>-1</v>
      </c>
      <c r="O264" s="11"/>
      <c r="P264" s="7">
        <v>2065</v>
      </c>
      <c r="Q264" s="2"/>
      <c r="R264" s="6">
        <f t="shared" si="132"/>
        <v>5.1963291681320165E-4</v>
      </c>
      <c r="S264" s="2"/>
      <c r="T264" s="7">
        <v>1770</v>
      </c>
      <c r="U264" s="2"/>
      <c r="V264" s="6">
        <f t="shared" si="133"/>
        <v>2.4934613308459359E-4</v>
      </c>
      <c r="W264" s="2"/>
      <c r="X264" s="7">
        <f t="shared" si="134"/>
        <v>295</v>
      </c>
      <c r="Y264" s="2"/>
      <c r="Z264" s="6">
        <f t="shared" si="135"/>
        <v>0.16666666666666666</v>
      </c>
    </row>
    <row r="265" spans="1:26" s="24" customFormat="1" hidden="1" outlineLevel="2" x14ac:dyDescent="0.25">
      <c r="A265" s="27"/>
      <c r="B265" s="11" t="str">
        <f>CONCATENATE("          ", "6309", " - ", "TELEPHONE")</f>
        <v xml:space="preserve">          6309 - TELEPHONE</v>
      </c>
      <c r="C265" s="11"/>
      <c r="D265" s="7">
        <v>2254.4899999999998</v>
      </c>
      <c r="E265" s="2"/>
      <c r="F265" s="6">
        <f t="shared" si="128"/>
        <v>7.2011556652408848E-3</v>
      </c>
      <c r="G265" s="2"/>
      <c r="H265" s="7">
        <v>2562.59</v>
      </c>
      <c r="I265" s="2"/>
      <c r="J265" s="6">
        <f t="shared" si="129"/>
        <v>4.8487800453209271E-3</v>
      </c>
      <c r="K265" s="2"/>
      <c r="L265" s="7">
        <f t="shared" si="130"/>
        <v>-308.10000000000036</v>
      </c>
      <c r="M265" s="2"/>
      <c r="N265" s="6">
        <f t="shared" si="131"/>
        <v>-0.12022992363195062</v>
      </c>
      <c r="O265" s="11"/>
      <c r="P265" s="7">
        <v>14816.489999999998</v>
      </c>
      <c r="Q265" s="2"/>
      <c r="R265" s="6">
        <f t="shared" si="132"/>
        <v>3.7283951165296048E-3</v>
      </c>
      <c r="S265" s="2"/>
      <c r="T265" s="7">
        <v>15821.409999999998</v>
      </c>
      <c r="U265" s="2"/>
      <c r="V265" s="6">
        <f t="shared" si="133"/>
        <v>2.2288177420598417E-3</v>
      </c>
      <c r="W265" s="2"/>
      <c r="X265" s="7">
        <f t="shared" si="134"/>
        <v>-1004.9200000000001</v>
      </c>
      <c r="Y265" s="2"/>
      <c r="Z265" s="6">
        <f t="shared" si="135"/>
        <v>-6.3516462818421382E-2</v>
      </c>
    </row>
    <row r="266" spans="1:26" s="25" customFormat="1" outlineLevel="1" collapsed="1" x14ac:dyDescent="0.25">
      <c r="A266" s="26"/>
      <c r="B266" s="13" t="str">
        <f>CONCATENATE("     ","Training                                          ")</f>
        <v xml:space="preserve">     Training                                          </v>
      </c>
      <c r="C266" s="13"/>
      <c r="D266" s="1">
        <f>SUM(OSRRefD22_22x_0)</f>
        <v>0</v>
      </c>
      <c r="E266" s="1"/>
      <c r="F266" s="5">
        <f t="shared" ref="F266:F271" si="136">IF(D$12=0,0,D266/D$12)</f>
        <v>0</v>
      </c>
      <c r="G266" s="1"/>
      <c r="H266" s="1">
        <f>SUM(OSRRefH22_22x_0)</f>
        <v>0</v>
      </c>
      <c r="I266" s="1"/>
      <c r="J266" s="5">
        <f t="shared" ref="J266:J271" si="137">IF(H$12=0,0,H266/H$12)</f>
        <v>0</v>
      </c>
      <c r="K266" s="1"/>
      <c r="L266" s="1">
        <f t="shared" ref="L266:L271" si="138">+D266-H266</f>
        <v>0</v>
      </c>
      <c r="M266" s="1"/>
      <c r="N266" s="5">
        <f t="shared" ref="N266:N271" si="139">IF(H266=0,0,L266/H266)</f>
        <v>0</v>
      </c>
      <c r="O266" s="13"/>
      <c r="P266" s="1">
        <f>SUM(OSRRefP22_22x_0)</f>
        <v>245.63</v>
      </c>
      <c r="Q266" s="1"/>
      <c r="R266" s="5">
        <f t="shared" ref="R266:R271" si="140">IF(P$12=0,0,P266/P$12)</f>
        <v>6.1809895088051683E-5</v>
      </c>
      <c r="S266" s="1"/>
      <c r="T266" s="1">
        <f>SUM(OSRRefT22_22x_0)</f>
        <v>8727.44</v>
      </c>
      <c r="U266" s="1"/>
      <c r="V266" s="5">
        <f t="shared" ref="V266:V271" si="141">IF(T$12=0,0,T266/T$12)</f>
        <v>1.2294652066258791E-3</v>
      </c>
      <c r="W266" s="1"/>
      <c r="X266" s="1">
        <f t="shared" ref="X266:X271" si="142">+P266-T266</f>
        <v>-8481.8100000000013</v>
      </c>
      <c r="Y266" s="1"/>
      <c r="Z266" s="5">
        <f t="shared" ref="Z266:Z271" si="143">IF(T266=0,0,X266/T266)</f>
        <v>-0.97185543527082408</v>
      </c>
    </row>
    <row r="267" spans="1:26" s="24" customFormat="1" hidden="1" outlineLevel="2" x14ac:dyDescent="0.25">
      <c r="A267" s="27"/>
      <c r="B267" s="11" t="str">
        <f>CONCATENATE("          ", "6376", " - ", "TRAINING")</f>
        <v xml:space="preserve">          6376 - TRAINING</v>
      </c>
      <c r="C267" s="11"/>
      <c r="D267" s="7"/>
      <c r="E267" s="2"/>
      <c r="F267" s="6">
        <f t="shared" si="136"/>
        <v>0</v>
      </c>
      <c r="G267" s="2"/>
      <c r="H267" s="7"/>
      <c r="I267" s="2"/>
      <c r="J267" s="6">
        <f t="shared" si="137"/>
        <v>0</v>
      </c>
      <c r="K267" s="2"/>
      <c r="L267" s="7">
        <f t="shared" si="138"/>
        <v>0</v>
      </c>
      <c r="M267" s="2"/>
      <c r="N267" s="6">
        <f t="shared" si="139"/>
        <v>0</v>
      </c>
      <c r="O267" s="11"/>
      <c r="P267" s="7">
        <v>245.63</v>
      </c>
      <c r="Q267" s="2"/>
      <c r="R267" s="6">
        <f t="shared" si="140"/>
        <v>6.1809895088051683E-5</v>
      </c>
      <c r="S267" s="2"/>
      <c r="T267" s="7">
        <v>8727.44</v>
      </c>
      <c r="U267" s="2"/>
      <c r="V267" s="6">
        <f t="shared" si="141"/>
        <v>1.2294652066258791E-3</v>
      </c>
      <c r="W267" s="2"/>
      <c r="X267" s="7">
        <f t="shared" si="142"/>
        <v>-8481.8100000000013</v>
      </c>
      <c r="Y267" s="2"/>
      <c r="Z267" s="6">
        <f t="shared" si="143"/>
        <v>-0.97185543527082408</v>
      </c>
    </row>
    <row r="268" spans="1:26" s="25" customFormat="1" outlineLevel="1" collapsed="1" x14ac:dyDescent="0.25">
      <c r="A268" s="26"/>
      <c r="B268" s="13" t="str">
        <f>CONCATENATE("     ","Travel                                            ")</f>
        <v xml:space="preserve">     Travel                                            </v>
      </c>
      <c r="C268" s="13"/>
      <c r="D268" s="1">
        <f>SUM(OSRRefD22_23x_0)</f>
        <v>0</v>
      </c>
      <c r="E268" s="1"/>
      <c r="F268" s="5">
        <f t="shared" si="136"/>
        <v>0</v>
      </c>
      <c r="G268" s="1"/>
      <c r="H268" s="1">
        <f>SUM(OSRRefH22_23x_0)</f>
        <v>-159.65</v>
      </c>
      <c r="I268" s="1"/>
      <c r="J268" s="5">
        <f t="shared" si="137"/>
        <v>-3.0208021346976539E-4</v>
      </c>
      <c r="K268" s="1"/>
      <c r="L268" s="1">
        <f t="shared" si="138"/>
        <v>159.65</v>
      </c>
      <c r="M268" s="1"/>
      <c r="N268" s="5">
        <f t="shared" si="139"/>
        <v>-1</v>
      </c>
      <c r="O268" s="13"/>
      <c r="P268" s="1">
        <f>SUM(OSRRefP22_23x_0)</f>
        <v>680.93</v>
      </c>
      <c r="Q268" s="1"/>
      <c r="R268" s="5">
        <f t="shared" si="140"/>
        <v>1.7134801067584184E-4</v>
      </c>
      <c r="S268" s="1"/>
      <c r="T268" s="1">
        <f>SUM(OSRRefT22_23x_0)</f>
        <v>1264.04</v>
      </c>
      <c r="U268" s="1"/>
      <c r="V268" s="5">
        <f t="shared" si="141"/>
        <v>1.7806976613799418E-4</v>
      </c>
      <c r="W268" s="1"/>
      <c r="X268" s="1">
        <f t="shared" si="142"/>
        <v>-583.11</v>
      </c>
      <c r="Y268" s="1"/>
      <c r="Z268" s="5">
        <f t="shared" si="143"/>
        <v>-0.46130660422138542</v>
      </c>
    </row>
    <row r="269" spans="1:26" s="24" customFormat="1" hidden="1" outlineLevel="2" x14ac:dyDescent="0.25">
      <c r="A269" s="27"/>
      <c r="B269" s="11" t="str">
        <f>CONCATENATE("          ", "6292", " - ", "TRAVEL/CONFERENCE")</f>
        <v xml:space="preserve">          6292 - TRAVEL/CONFERENCE</v>
      </c>
      <c r="C269" s="11"/>
      <c r="D269" s="7"/>
      <c r="E269" s="2"/>
      <c r="F269" s="6">
        <f t="shared" si="136"/>
        <v>0</v>
      </c>
      <c r="G269" s="2"/>
      <c r="H269" s="7">
        <v>-323.01</v>
      </c>
      <c r="I269" s="2"/>
      <c r="J269" s="6">
        <f t="shared" si="137"/>
        <v>-6.11180267791224E-4</v>
      </c>
      <c r="K269" s="2"/>
      <c r="L269" s="7">
        <f t="shared" si="138"/>
        <v>323.01</v>
      </c>
      <c r="M269" s="2"/>
      <c r="N269" s="6">
        <f t="shared" si="139"/>
        <v>-1</v>
      </c>
      <c r="O269" s="11"/>
      <c r="P269" s="7">
        <v>299.16000000000003</v>
      </c>
      <c r="Q269" s="2"/>
      <c r="R269" s="6">
        <f t="shared" si="140"/>
        <v>7.5280088810575021E-5</v>
      </c>
      <c r="S269" s="2"/>
      <c r="T269" s="7">
        <v>187.54</v>
      </c>
      <c r="U269" s="2"/>
      <c r="V269" s="6">
        <f t="shared" si="141"/>
        <v>2.6419420225245584E-5</v>
      </c>
      <c r="W269" s="2"/>
      <c r="X269" s="7">
        <f t="shared" si="142"/>
        <v>111.62000000000003</v>
      </c>
      <c r="Y269" s="2"/>
      <c r="Z269" s="6">
        <f t="shared" si="143"/>
        <v>0.59517969499840051</v>
      </c>
    </row>
    <row r="270" spans="1:26" s="24" customFormat="1" hidden="1" outlineLevel="2" x14ac:dyDescent="0.25">
      <c r="A270" s="27"/>
      <c r="B270" s="11" t="str">
        <f>CONCATENATE("          ", "6294", " - ", "TRAVEL OPERATIONAL")</f>
        <v xml:space="preserve">          6294 - TRAVEL OPERATIONAL</v>
      </c>
      <c r="C270" s="11"/>
      <c r="D270" s="7"/>
      <c r="E270" s="2"/>
      <c r="F270" s="6">
        <f t="shared" si="136"/>
        <v>0</v>
      </c>
      <c r="G270" s="2"/>
      <c r="H270" s="7">
        <v>125.14</v>
      </c>
      <c r="I270" s="2"/>
      <c r="J270" s="6">
        <f t="shared" si="137"/>
        <v>2.3678244856627898E-4</v>
      </c>
      <c r="K270" s="2"/>
      <c r="L270" s="7">
        <f t="shared" si="138"/>
        <v>-125.14</v>
      </c>
      <c r="M270" s="2"/>
      <c r="N270" s="6">
        <f t="shared" si="139"/>
        <v>-1</v>
      </c>
      <c r="O270" s="11"/>
      <c r="P270" s="7">
        <v>321.88</v>
      </c>
      <c r="Q270" s="2"/>
      <c r="R270" s="6">
        <f t="shared" si="140"/>
        <v>8.0997309086602108E-5</v>
      </c>
      <c r="S270" s="2"/>
      <c r="T270" s="7">
        <v>818.94</v>
      </c>
      <c r="U270" s="2"/>
      <c r="V270" s="6">
        <f t="shared" si="141"/>
        <v>1.1536696171090231E-4</v>
      </c>
      <c r="W270" s="2"/>
      <c r="X270" s="7">
        <f t="shared" si="142"/>
        <v>-497.06000000000006</v>
      </c>
      <c r="Y270" s="2"/>
      <c r="Z270" s="6">
        <f t="shared" si="143"/>
        <v>-0.60695533250299172</v>
      </c>
    </row>
    <row r="271" spans="1:26" s="24" customFormat="1" hidden="1" outlineLevel="2" x14ac:dyDescent="0.25">
      <c r="A271" s="27"/>
      <c r="B271" s="11" t="str">
        <f>CONCATENATE("          ", "6298", " - ", "VEHICLE MILEAGE")</f>
        <v xml:space="preserve">          6298 - VEHICLE MILEAGE</v>
      </c>
      <c r="C271" s="11"/>
      <c r="D271" s="7"/>
      <c r="E271" s="2"/>
      <c r="F271" s="6">
        <f t="shared" si="136"/>
        <v>0</v>
      </c>
      <c r="G271" s="2"/>
      <c r="H271" s="7">
        <v>38.22</v>
      </c>
      <c r="I271" s="2"/>
      <c r="J271" s="6">
        <f t="shared" si="137"/>
        <v>7.2317605755179652E-5</v>
      </c>
      <c r="K271" s="2"/>
      <c r="L271" s="7">
        <f t="shared" si="138"/>
        <v>-38.22</v>
      </c>
      <c r="M271" s="2"/>
      <c r="N271" s="6">
        <f t="shared" si="139"/>
        <v>-1</v>
      </c>
      <c r="O271" s="11"/>
      <c r="P271" s="7">
        <v>59.89</v>
      </c>
      <c r="Q271" s="2"/>
      <c r="R271" s="6">
        <f t="shared" si="140"/>
        <v>1.5070612778664721E-5</v>
      </c>
      <c r="S271" s="2"/>
      <c r="T271" s="7">
        <v>257.56</v>
      </c>
      <c r="U271" s="2"/>
      <c r="V271" s="6">
        <f t="shared" si="141"/>
        <v>3.6283384201846286E-5</v>
      </c>
      <c r="W271" s="2"/>
      <c r="X271" s="7">
        <f t="shared" si="142"/>
        <v>-197.67000000000002</v>
      </c>
      <c r="Y271" s="2"/>
      <c r="Z271" s="6">
        <f t="shared" si="143"/>
        <v>-0.76747165708961029</v>
      </c>
    </row>
    <row r="272" spans="1:26" s="25" customFormat="1" outlineLevel="1" collapsed="1" x14ac:dyDescent="0.25">
      <c r="A272" s="26"/>
      <c r="B272" s="13" t="str">
        <f>CONCATENATE("     ","Utilities                                         ")</f>
        <v xml:space="preserve">     Utilities                                         </v>
      </c>
      <c r="C272" s="13"/>
      <c r="D272" s="1">
        <f>SUM(OSRRefD22_24x_0)</f>
        <v>6175.61</v>
      </c>
      <c r="E272" s="1"/>
      <c r="F272" s="5">
        <f t="shared" ref="F272:F273" si="144">IF(D$12=0,0,D272/D$12)</f>
        <v>1.9725760122164333E-2</v>
      </c>
      <c r="G272" s="1"/>
      <c r="H272" s="1">
        <f>SUM(OSRRefH22_24x_0)</f>
        <v>9435.76</v>
      </c>
      <c r="I272" s="1"/>
      <c r="J272" s="5">
        <f t="shared" ref="J272:J273" si="145">IF(H$12=0,0,H272/H$12)</f>
        <v>1.7853782618537258E-2</v>
      </c>
      <c r="K272" s="1"/>
      <c r="L272" s="1">
        <f t="shared" ref="L272:L273" si="146">+D272-H272</f>
        <v>-3260.1500000000005</v>
      </c>
      <c r="M272" s="1"/>
      <c r="N272" s="5">
        <f t="shared" ref="N272:N273" si="147">IF(H272=0,0,L272/H272)</f>
        <v>-0.3455100596030421</v>
      </c>
      <c r="O272" s="13"/>
      <c r="P272" s="1">
        <f>SUM(OSRRefP22_24x_0)</f>
        <v>36761.420000000006</v>
      </c>
      <c r="Q272" s="1"/>
      <c r="R272" s="5">
        <f t="shared" ref="R272:R273" si="148">IF(P$12=0,0,P272/P$12)</f>
        <v>9.250578160191366E-3</v>
      </c>
      <c r="S272" s="1"/>
      <c r="T272" s="1">
        <f>SUM(OSRRefT22_24x_0)</f>
        <v>32034.68</v>
      </c>
      <c r="U272" s="1"/>
      <c r="V272" s="5">
        <f t="shared" ref="V272:V273" si="149">IF(T$12=0,0,T272/T$12)</f>
        <v>4.5128381822612251E-3</v>
      </c>
      <c r="W272" s="1"/>
      <c r="X272" s="1">
        <f t="shared" ref="X272:X273" si="150">+P272-T272</f>
        <v>4726.7400000000052</v>
      </c>
      <c r="Y272" s="1"/>
      <c r="Z272" s="5">
        <f t="shared" ref="Z272:Z273" si="151">IF(T272=0,0,X272/T272)</f>
        <v>0.14755071691054836</v>
      </c>
    </row>
    <row r="273" spans="1:26" s="24" customFormat="1" hidden="1" outlineLevel="2" x14ac:dyDescent="0.25">
      <c r="A273" s="27"/>
      <c r="B273" s="11" t="str">
        <f>CONCATENATE("          ", "6274", " - ", "UTILITIES")</f>
        <v xml:space="preserve">          6274 - UTILITIES</v>
      </c>
      <c r="C273" s="11"/>
      <c r="D273" s="7">
        <v>6175.61</v>
      </c>
      <c r="E273" s="2"/>
      <c r="F273" s="6">
        <f t="shared" si="144"/>
        <v>1.9725760122164333E-2</v>
      </c>
      <c r="G273" s="2"/>
      <c r="H273" s="7">
        <v>9435.76</v>
      </c>
      <c r="I273" s="2"/>
      <c r="J273" s="6">
        <f t="shared" si="145"/>
        <v>1.7853782618537258E-2</v>
      </c>
      <c r="K273" s="2"/>
      <c r="L273" s="7">
        <f t="shared" si="146"/>
        <v>-3260.1500000000005</v>
      </c>
      <c r="M273" s="2"/>
      <c r="N273" s="6">
        <f t="shared" si="147"/>
        <v>-0.3455100596030421</v>
      </c>
      <c r="O273" s="11"/>
      <c r="P273" s="7">
        <v>36761.420000000006</v>
      </c>
      <c r="Q273" s="2"/>
      <c r="R273" s="6">
        <f t="shared" si="148"/>
        <v>9.250578160191366E-3</v>
      </c>
      <c r="S273" s="2"/>
      <c r="T273" s="7">
        <v>32034.68</v>
      </c>
      <c r="U273" s="2"/>
      <c r="V273" s="6">
        <f t="shared" si="149"/>
        <v>4.5128381822612251E-3</v>
      </c>
      <c r="W273" s="2"/>
      <c r="X273" s="7">
        <f t="shared" si="150"/>
        <v>4726.7400000000052</v>
      </c>
      <c r="Y273" s="2"/>
      <c r="Z273" s="6">
        <f t="shared" si="151"/>
        <v>0.14755071691054836</v>
      </c>
    </row>
    <row r="274" spans="1:26" s="55" customFormat="1" x14ac:dyDescent="0.25">
      <c r="A274" s="37"/>
      <c r="B274" s="37"/>
      <c r="C274" s="37"/>
      <c r="D274" s="1"/>
      <c r="E274" s="1"/>
      <c r="F274" s="5"/>
      <c r="G274" s="1"/>
      <c r="H274" s="1"/>
      <c r="I274" s="1"/>
      <c r="J274" s="5"/>
      <c r="K274" s="1"/>
      <c r="L274" s="1"/>
      <c r="M274" s="1"/>
      <c r="N274" s="5"/>
      <c r="O274" s="37"/>
      <c r="P274" s="1"/>
      <c r="Q274" s="1"/>
      <c r="R274" s="5"/>
      <c r="S274" s="1"/>
      <c r="T274" s="1"/>
      <c r="U274" s="1"/>
      <c r="V274" s="5"/>
      <c r="W274" s="1"/>
      <c r="X274" s="1"/>
      <c r="Y274" s="1"/>
      <c r="Z274" s="5"/>
    </row>
    <row r="275" spans="1:26" s="23" customFormat="1" collapsed="1" x14ac:dyDescent="0.25">
      <c r="A275" s="10"/>
      <c r="B275" s="29" t="s">
        <v>0</v>
      </c>
      <c r="C275" s="10"/>
      <c r="D275" s="4">
        <f>SUM(OSRRefD25x_0)</f>
        <v>19597.010000000002</v>
      </c>
      <c r="E275" s="4"/>
      <c r="F275" s="12">
        <f t="shared" ref="F275:F287" si="152">IF(D$12=0,0,D275/D$12)</f>
        <v>6.2595584625916412E-2</v>
      </c>
      <c r="G275" s="4"/>
      <c r="H275" s="4">
        <f>SUM(OSRRefH25x_0)</f>
        <v>23070.62</v>
      </c>
      <c r="I275" s="4"/>
      <c r="J275" s="12">
        <f t="shared" ref="J275:J287" si="153">IF(H$12=0,0,H275/H$12)</f>
        <v>4.365285195414869E-2</v>
      </c>
      <c r="K275" s="4"/>
      <c r="L275" s="4">
        <f t="shared" ref="L275:L287" si="154">+D275-H275</f>
        <v>-3473.6099999999969</v>
      </c>
      <c r="M275" s="4"/>
      <c r="N275" s="12">
        <f t="shared" ref="N275:N287" si="155">IF(H275=0,0,L275/H275)</f>
        <v>-0.15056422410841136</v>
      </c>
      <c r="O275" s="10"/>
      <c r="P275" s="4">
        <f>SUM(OSRRefP25x_0)</f>
        <v>544732.37</v>
      </c>
      <c r="Q275" s="4"/>
      <c r="R275" s="12">
        <f t="shared" ref="R275:R287" si="156">IF(P$12=0,0,P275/P$12)</f>
        <v>0.13707548198821704</v>
      </c>
      <c r="S275" s="4"/>
      <c r="T275" s="4">
        <f>SUM(OSRRefT25x_0)</f>
        <v>430702.99</v>
      </c>
      <c r="U275" s="4"/>
      <c r="V275" s="12">
        <f t="shared" ref="V275:V287" si="157">IF(T$12=0,0,T275/T$12)</f>
        <v>6.0674646929080443E-2</v>
      </c>
      <c r="W275" s="4"/>
      <c r="X275" s="4">
        <f t="shared" ref="X275:X287" si="158">+P275-T275</f>
        <v>114029.38</v>
      </c>
      <c r="Y275" s="4"/>
      <c r="Z275" s="12">
        <f t="shared" ref="Z275:Z287" si="159">IF(T275=0,0,X275/T275)</f>
        <v>0.2647517724453225</v>
      </c>
    </row>
    <row r="276" spans="1:26" s="24" customFormat="1" hidden="1" outlineLevel="1" x14ac:dyDescent="0.25">
      <c r="A276" s="44"/>
      <c r="B276" s="11" t="str">
        <f>CONCATENATE("          ", "4098", " - ", "TAXABLE SALES-GRAD RENTALS")</f>
        <v xml:space="preserve">          4098 - TAXABLE SALES-GRAD RENTALS</v>
      </c>
      <c r="C276" s="11"/>
      <c r="D276" s="2">
        <f>0</f>
        <v>0</v>
      </c>
      <c r="E276" s="2"/>
      <c r="F276" s="19">
        <f t="shared" si="152"/>
        <v>0</v>
      </c>
      <c r="G276" s="2"/>
      <c r="H276" s="2">
        <f>0</f>
        <v>0</v>
      </c>
      <c r="I276" s="2"/>
      <c r="J276" s="19">
        <f t="shared" si="153"/>
        <v>0</v>
      </c>
      <c r="K276" s="2"/>
      <c r="L276" s="2">
        <f t="shared" si="154"/>
        <v>0</v>
      </c>
      <c r="M276" s="2"/>
      <c r="N276" s="19">
        <f t="shared" si="155"/>
        <v>0</v>
      </c>
      <c r="O276" s="11"/>
      <c r="P276" s="2">
        <f>0</f>
        <v>0</v>
      </c>
      <c r="Q276" s="2"/>
      <c r="R276" s="19">
        <f t="shared" si="156"/>
        <v>0</v>
      </c>
      <c r="S276" s="2"/>
      <c r="T276" s="2">
        <f>--1626.85</f>
        <v>1626.85</v>
      </c>
      <c r="U276" s="2"/>
      <c r="V276" s="19">
        <f t="shared" si="157"/>
        <v>2.2918008847947518E-4</v>
      </c>
      <c r="W276" s="2"/>
      <c r="X276" s="2">
        <f t="shared" si="158"/>
        <v>-1626.85</v>
      </c>
      <c r="Y276" s="2"/>
      <c r="Z276" s="19">
        <f t="shared" si="159"/>
        <v>-1</v>
      </c>
    </row>
    <row r="277" spans="1:26" s="24" customFormat="1" hidden="1" outlineLevel="1" x14ac:dyDescent="0.25">
      <c r="A277" s="44"/>
      <c r="B277" s="11" t="str">
        <f>CONCATENATE("          ", "4187", " - ", "NON-TAXABLE SALES-COMPUTER REP")</f>
        <v xml:space="preserve">          4187 - NON-TAXABLE SALES-COMPUTER REP</v>
      </c>
      <c r="C277" s="11"/>
      <c r="D277" s="2">
        <f>--471.29</f>
        <v>471.29</v>
      </c>
      <c r="E277" s="2"/>
      <c r="F277" s="19">
        <f t="shared" si="152"/>
        <v>1.5053660266718314E-3</v>
      </c>
      <c r="G277" s="2"/>
      <c r="H277" s="2">
        <f>--456.99</f>
        <v>456.99</v>
      </c>
      <c r="I277" s="2"/>
      <c r="J277" s="19">
        <f t="shared" si="153"/>
        <v>8.6468923741652413E-4</v>
      </c>
      <c r="K277" s="2"/>
      <c r="L277" s="2">
        <f t="shared" si="154"/>
        <v>14.300000000000011</v>
      </c>
      <c r="M277" s="2"/>
      <c r="N277" s="19">
        <f t="shared" si="155"/>
        <v>3.1291713166590102E-2</v>
      </c>
      <c r="O277" s="11"/>
      <c r="P277" s="2">
        <f>--1034.5</f>
        <v>1034.5</v>
      </c>
      <c r="Q277" s="2"/>
      <c r="R277" s="19">
        <f t="shared" si="156"/>
        <v>2.603197348393497E-4</v>
      </c>
      <c r="S277" s="2"/>
      <c r="T277" s="2">
        <f>--13188.92</f>
        <v>13188.92</v>
      </c>
      <c r="U277" s="2"/>
      <c r="V277" s="19">
        <f t="shared" si="157"/>
        <v>1.8579696054022929E-3</v>
      </c>
      <c r="W277" s="2"/>
      <c r="X277" s="2">
        <f t="shared" si="158"/>
        <v>-12154.42</v>
      </c>
      <c r="Y277" s="2"/>
      <c r="Z277" s="19">
        <f t="shared" si="159"/>
        <v>-0.92156294829296104</v>
      </c>
    </row>
    <row r="278" spans="1:26" s="24" customFormat="1" hidden="1" outlineLevel="1" x14ac:dyDescent="0.25">
      <c r="A278" s="44"/>
      <c r="B278" s="11" t="str">
        <f>CONCATENATE("          ", "4197", " - ", "NON-TAXABLE SALES-RETURNED CHE")</f>
        <v xml:space="preserve">          4197 - NON-TAXABLE SALES-RETURNED CHE</v>
      </c>
      <c r="C278" s="11"/>
      <c r="D278" s="2">
        <f t="shared" ref="D278:D281" si="160">0</f>
        <v>0</v>
      </c>
      <c r="E278" s="2"/>
      <c r="F278" s="19">
        <f t="shared" si="152"/>
        <v>0</v>
      </c>
      <c r="G278" s="2"/>
      <c r="H278" s="2">
        <f t="shared" ref="H278:H280" si="161">0</f>
        <v>0</v>
      </c>
      <c r="I278" s="2"/>
      <c r="J278" s="19">
        <f t="shared" si="153"/>
        <v>0</v>
      </c>
      <c r="K278" s="2"/>
      <c r="L278" s="2">
        <f t="shared" si="154"/>
        <v>0</v>
      </c>
      <c r="M278" s="2"/>
      <c r="N278" s="19">
        <f t="shared" si="155"/>
        <v>0</v>
      </c>
      <c r="O278" s="11"/>
      <c r="P278" s="2">
        <f t="shared" ref="P278:P281" si="162">0</f>
        <v>0</v>
      </c>
      <c r="Q278" s="2"/>
      <c r="R278" s="19">
        <f t="shared" si="156"/>
        <v>0</v>
      </c>
      <c r="S278" s="2"/>
      <c r="T278" s="2">
        <f>--30</f>
        <v>30</v>
      </c>
      <c r="U278" s="2"/>
      <c r="V278" s="19">
        <f t="shared" si="157"/>
        <v>4.226205645501587E-6</v>
      </c>
      <c r="W278" s="2"/>
      <c r="X278" s="2">
        <f t="shared" si="158"/>
        <v>-30</v>
      </c>
      <c r="Y278" s="2"/>
      <c r="Z278" s="19">
        <f t="shared" si="159"/>
        <v>-1</v>
      </c>
    </row>
    <row r="279" spans="1:26" s="24" customFormat="1" hidden="1" outlineLevel="1" x14ac:dyDescent="0.25">
      <c r="A279" s="44"/>
      <c r="B279" s="11" t="str">
        <f>CONCATENATE("          ", "4198", " - ", "NON-TAXABLE SALES-GRAD RENTALS")</f>
        <v xml:space="preserve">          4198 - NON-TAXABLE SALES-GRAD RENTALS</v>
      </c>
      <c r="C279" s="11"/>
      <c r="D279" s="2">
        <f t="shared" si="160"/>
        <v>0</v>
      </c>
      <c r="E279" s="2"/>
      <c r="F279" s="19">
        <f t="shared" si="152"/>
        <v>0</v>
      </c>
      <c r="G279" s="2"/>
      <c r="H279" s="2">
        <f t="shared" si="161"/>
        <v>0</v>
      </c>
      <c r="I279" s="2"/>
      <c r="J279" s="19">
        <f t="shared" si="153"/>
        <v>0</v>
      </c>
      <c r="K279" s="2"/>
      <c r="L279" s="2">
        <f t="shared" si="154"/>
        <v>0</v>
      </c>
      <c r="M279" s="2"/>
      <c r="N279" s="19">
        <f t="shared" si="155"/>
        <v>0</v>
      </c>
      <c r="O279" s="11"/>
      <c r="P279" s="2">
        <f t="shared" si="162"/>
        <v>0</v>
      </c>
      <c r="Q279" s="2"/>
      <c r="R279" s="19">
        <f t="shared" si="156"/>
        <v>0</v>
      </c>
      <c r="S279" s="2"/>
      <c r="T279" s="2">
        <f>--495</f>
        <v>495</v>
      </c>
      <c r="U279" s="2"/>
      <c r="V279" s="19">
        <f t="shared" si="157"/>
        <v>6.9732393150776179E-5</v>
      </c>
      <c r="W279" s="2"/>
      <c r="X279" s="2">
        <f t="shared" si="158"/>
        <v>-495</v>
      </c>
      <c r="Y279" s="2"/>
      <c r="Z279" s="19">
        <f t="shared" si="159"/>
        <v>-1</v>
      </c>
    </row>
    <row r="280" spans="1:26" s="24" customFormat="1" hidden="1" outlineLevel="1" x14ac:dyDescent="0.25">
      <c r="A280" s="44"/>
      <c r="B280" s="11" t="str">
        <f>CONCATENATE("          ", "4387", " - ", "SALES RETURN NON TAXABLE-COMPU")</f>
        <v xml:space="preserve">          4387 - SALES RETURN NON TAXABLE-COMPU</v>
      </c>
      <c r="C280" s="11"/>
      <c r="D280" s="2">
        <f t="shared" si="160"/>
        <v>0</v>
      </c>
      <c r="E280" s="2"/>
      <c r="F280" s="19">
        <f t="shared" si="152"/>
        <v>0</v>
      </c>
      <c r="G280" s="2"/>
      <c r="H280" s="2">
        <f t="shared" si="161"/>
        <v>0</v>
      </c>
      <c r="I280" s="2"/>
      <c r="J280" s="19">
        <f t="shared" si="153"/>
        <v>0</v>
      </c>
      <c r="K280" s="2"/>
      <c r="L280" s="2">
        <f t="shared" si="154"/>
        <v>0</v>
      </c>
      <c r="M280" s="2"/>
      <c r="N280" s="19">
        <f t="shared" si="155"/>
        <v>0</v>
      </c>
      <c r="O280" s="11"/>
      <c r="P280" s="2">
        <f t="shared" si="162"/>
        <v>0</v>
      </c>
      <c r="Q280" s="2"/>
      <c r="R280" s="19">
        <f t="shared" si="156"/>
        <v>0</v>
      </c>
      <c r="S280" s="2"/>
      <c r="T280" s="2">
        <f>-7889</f>
        <v>-7889</v>
      </c>
      <c r="U280" s="2"/>
      <c r="V280" s="19">
        <f t="shared" si="157"/>
        <v>-1.1113512112454005E-3</v>
      </c>
      <c r="W280" s="2"/>
      <c r="X280" s="2">
        <f t="shared" si="158"/>
        <v>7889</v>
      </c>
      <c r="Y280" s="2"/>
      <c r="Z280" s="19">
        <f t="shared" si="159"/>
        <v>-1</v>
      </c>
    </row>
    <row r="281" spans="1:26" s="24" customFormat="1" hidden="1" outlineLevel="1" x14ac:dyDescent="0.25">
      <c r="A281" s="44"/>
      <c r="B281" s="11" t="str">
        <f>CONCATENATE("          ", "5087", " - ", "PURCHASES @ COST-COMPUTER REPA")</f>
        <v xml:space="preserve">          5087 - PURCHASES @ COST-COMPUTER REPA</v>
      </c>
      <c r="C281" s="11"/>
      <c r="D281" s="2">
        <f t="shared" si="160"/>
        <v>0</v>
      </c>
      <c r="E281" s="2"/>
      <c r="F281" s="19">
        <f t="shared" si="152"/>
        <v>0</v>
      </c>
      <c r="G281" s="2"/>
      <c r="H281" s="2">
        <f>-56.72</f>
        <v>-56.72</v>
      </c>
      <c r="I281" s="2"/>
      <c r="J281" s="19">
        <f t="shared" si="153"/>
        <v>-1.0732220299408137E-4</v>
      </c>
      <c r="K281" s="2"/>
      <c r="L281" s="2">
        <f t="shared" si="154"/>
        <v>56.72</v>
      </c>
      <c r="M281" s="2"/>
      <c r="N281" s="19">
        <f t="shared" si="155"/>
        <v>-1</v>
      </c>
      <c r="O281" s="11"/>
      <c r="P281" s="2">
        <f t="shared" si="162"/>
        <v>0</v>
      </c>
      <c r="Q281" s="2"/>
      <c r="R281" s="19">
        <f t="shared" si="156"/>
        <v>0</v>
      </c>
      <c r="S281" s="2"/>
      <c r="T281" s="2">
        <f>-56.72</f>
        <v>-56.72</v>
      </c>
      <c r="U281" s="2"/>
      <c r="V281" s="19">
        <f t="shared" si="157"/>
        <v>-7.9903461404283332E-6</v>
      </c>
      <c r="W281" s="2"/>
      <c r="X281" s="2">
        <f t="shared" si="158"/>
        <v>56.72</v>
      </c>
      <c r="Y281" s="2"/>
      <c r="Z281" s="19">
        <f t="shared" si="159"/>
        <v>-1</v>
      </c>
    </row>
    <row r="282" spans="1:26" s="24" customFormat="1" hidden="1" outlineLevel="1" x14ac:dyDescent="0.25">
      <c r="A282" s="44"/>
      <c r="B282" s="11" t="str">
        <f>CONCATENATE("          ", "9150", " - ", "MISC. INCOME")</f>
        <v xml:space="preserve">          9150 - MISC. INCOME</v>
      </c>
      <c r="C282" s="11"/>
      <c r="D282" s="2">
        <f>--18646.02</f>
        <v>18646.02</v>
      </c>
      <c r="E282" s="2"/>
      <c r="F282" s="19">
        <f t="shared" si="152"/>
        <v>5.9557989858990218E-2</v>
      </c>
      <c r="G282" s="2"/>
      <c r="H282" s="2">
        <f>--19019.67</f>
        <v>19019.669999999998</v>
      </c>
      <c r="I282" s="2"/>
      <c r="J282" s="19">
        <f t="shared" si="153"/>
        <v>3.5987885836044418E-2</v>
      </c>
      <c r="K282" s="2"/>
      <c r="L282" s="2">
        <f t="shared" si="154"/>
        <v>-373.64999999999782</v>
      </c>
      <c r="M282" s="2"/>
      <c r="N282" s="19">
        <f t="shared" si="155"/>
        <v>-1.9645451261772567E-2</v>
      </c>
      <c r="O282" s="11"/>
      <c r="P282" s="2">
        <f>--217920.71</f>
        <v>217920.71</v>
      </c>
      <c r="Q282" s="2"/>
      <c r="R282" s="19">
        <f t="shared" si="156"/>
        <v>5.4837178775449802E-2</v>
      </c>
      <c r="S282" s="2"/>
      <c r="T282" s="2">
        <f>--247553.12</f>
        <v>247553.12</v>
      </c>
      <c r="U282" s="2"/>
      <c r="V282" s="19">
        <f t="shared" si="157"/>
        <v>3.4873679776851053E-2</v>
      </c>
      <c r="W282" s="2"/>
      <c r="X282" s="2">
        <f t="shared" si="158"/>
        <v>-29632.410000000003</v>
      </c>
      <c r="Y282" s="2"/>
      <c r="Z282" s="19">
        <f t="shared" si="159"/>
        <v>-0.11970121806584383</v>
      </c>
    </row>
    <row r="283" spans="1:26" s="24" customFormat="1" hidden="1" outlineLevel="1" x14ac:dyDescent="0.25">
      <c r="A283" s="44"/>
      <c r="B283" s="11" t="str">
        <f>CONCATENATE("          ", "9151", " - ", "MISC. INCOME")</f>
        <v xml:space="preserve">          9151 - MISC. INCOME</v>
      </c>
      <c r="C283" s="11"/>
      <c r="D283" s="2">
        <f>0</f>
        <v>0</v>
      </c>
      <c r="E283" s="2"/>
      <c r="F283" s="19">
        <f t="shared" si="152"/>
        <v>0</v>
      </c>
      <c r="G283" s="2"/>
      <c r="H283" s="2">
        <f>--268.24</f>
        <v>268.24</v>
      </c>
      <c r="I283" s="2"/>
      <c r="J283" s="19">
        <f t="shared" si="153"/>
        <v>5.0754773856016204E-4</v>
      </c>
      <c r="K283" s="2"/>
      <c r="L283" s="2">
        <f t="shared" si="154"/>
        <v>-268.24</v>
      </c>
      <c r="M283" s="2"/>
      <c r="N283" s="19">
        <f t="shared" si="155"/>
        <v>-1</v>
      </c>
      <c r="O283" s="11"/>
      <c r="P283" s="2">
        <f>--147285.39</f>
        <v>147285.39000000001</v>
      </c>
      <c r="Q283" s="2"/>
      <c r="R283" s="19">
        <f t="shared" si="156"/>
        <v>3.7062632837612582E-2</v>
      </c>
      <c r="S283" s="2"/>
      <c r="T283" s="2">
        <f>--87492.51</f>
        <v>87492.51</v>
      </c>
      <c r="U283" s="2"/>
      <c r="V283" s="19">
        <f t="shared" si="157"/>
        <v>1.2325377990036799E-2</v>
      </c>
      <c r="W283" s="2"/>
      <c r="X283" s="2">
        <f t="shared" si="158"/>
        <v>59792.880000000019</v>
      </c>
      <c r="Y283" s="2"/>
      <c r="Z283" s="19">
        <f t="shared" si="159"/>
        <v>0.68340569952787988</v>
      </c>
    </row>
    <row r="284" spans="1:26" s="24" customFormat="1" hidden="1" outlineLevel="1" x14ac:dyDescent="0.25">
      <c r="A284" s="44"/>
      <c r="B284" s="11" t="str">
        <f>CONCATENATE("          ", "9152", " - ", "MISC. INCOME")</f>
        <v xml:space="preserve">          9152 - MISC. INCOME</v>
      </c>
      <c r="C284" s="11"/>
      <c r="D284" s="2">
        <f>--479.7</f>
        <v>479.7</v>
      </c>
      <c r="E284" s="2"/>
      <c r="F284" s="19">
        <f t="shared" si="152"/>
        <v>1.5322287402543603E-3</v>
      </c>
      <c r="G284" s="2"/>
      <c r="H284" s="2">
        <f>--3382.44</f>
        <v>3382.44</v>
      </c>
      <c r="I284" s="2"/>
      <c r="J284" s="19">
        <f t="shared" si="153"/>
        <v>6.4000513451216608E-3</v>
      </c>
      <c r="K284" s="2"/>
      <c r="L284" s="2">
        <f t="shared" si="154"/>
        <v>-2902.7400000000002</v>
      </c>
      <c r="M284" s="2"/>
      <c r="N284" s="19">
        <f t="shared" si="155"/>
        <v>-0.85817930251534402</v>
      </c>
      <c r="O284" s="11"/>
      <c r="P284" s="2">
        <f>--3085.93</f>
        <v>3085.93</v>
      </c>
      <c r="Q284" s="2"/>
      <c r="R284" s="19">
        <f t="shared" si="156"/>
        <v>7.7653792105635033E-4</v>
      </c>
      <c r="S284" s="2"/>
      <c r="T284" s="2">
        <f>--4230.76</f>
        <v>4230.76</v>
      </c>
      <c r="U284" s="2"/>
      <c r="V284" s="19">
        <f t="shared" si="157"/>
        <v>5.9600205989207642E-4</v>
      </c>
      <c r="W284" s="2"/>
      <c r="X284" s="2">
        <f t="shared" si="158"/>
        <v>-1144.8300000000004</v>
      </c>
      <c r="Y284" s="2"/>
      <c r="Z284" s="19">
        <f t="shared" si="159"/>
        <v>-0.27059677221113942</v>
      </c>
    </row>
    <row r="285" spans="1:26" s="24" customFormat="1" hidden="1" outlineLevel="1" x14ac:dyDescent="0.25">
      <c r="A285" s="44"/>
      <c r="B285" s="11" t="str">
        <f>CONCATENATE("          ", "9153", " - ", "MISC. INCOME")</f>
        <v xml:space="preserve">          9153 - MISC. INCOME</v>
      </c>
      <c r="C285" s="11"/>
      <c r="D285" s="2">
        <f t="shared" ref="D285:D287" si="163">0</f>
        <v>0</v>
      </c>
      <c r="E285" s="2"/>
      <c r="F285" s="19">
        <f t="shared" si="152"/>
        <v>0</v>
      </c>
      <c r="G285" s="2"/>
      <c r="H285" s="2">
        <f t="shared" ref="H285:H287" si="164">0</f>
        <v>0</v>
      </c>
      <c r="I285" s="2"/>
      <c r="J285" s="19">
        <f t="shared" si="153"/>
        <v>0</v>
      </c>
      <c r="K285" s="2"/>
      <c r="L285" s="2">
        <f t="shared" si="154"/>
        <v>0</v>
      </c>
      <c r="M285" s="2"/>
      <c r="N285" s="19">
        <f t="shared" si="155"/>
        <v>0</v>
      </c>
      <c r="O285" s="11"/>
      <c r="P285" s="2">
        <f t="shared" ref="P285:P286" si="165">0</f>
        <v>0</v>
      </c>
      <c r="Q285" s="2"/>
      <c r="R285" s="19">
        <f t="shared" si="156"/>
        <v>0</v>
      </c>
      <c r="S285" s="2"/>
      <c r="T285" s="2">
        <f>--450</f>
        <v>450</v>
      </c>
      <c r="U285" s="2"/>
      <c r="V285" s="19">
        <f t="shared" si="157"/>
        <v>6.3393084682523805E-5</v>
      </c>
      <c r="W285" s="2"/>
      <c r="X285" s="2">
        <f t="shared" si="158"/>
        <v>-450</v>
      </c>
      <c r="Y285" s="2"/>
      <c r="Z285" s="19">
        <f t="shared" si="159"/>
        <v>-1</v>
      </c>
    </row>
    <row r="286" spans="1:26" s="24" customFormat="1" hidden="1" outlineLevel="1" x14ac:dyDescent="0.25">
      <c r="A286" s="44"/>
      <c r="B286" s="11" t="str">
        <f>CONCATENATE("          ", "9160", " - ", "MISC. INCOME")</f>
        <v xml:space="preserve">          9160 - MISC. INCOME</v>
      </c>
      <c r="C286" s="11"/>
      <c r="D286" s="2">
        <f t="shared" si="163"/>
        <v>0</v>
      </c>
      <c r="E286" s="2"/>
      <c r="F286" s="19">
        <f t="shared" si="152"/>
        <v>0</v>
      </c>
      <c r="G286" s="2"/>
      <c r="H286" s="2">
        <f t="shared" si="164"/>
        <v>0</v>
      </c>
      <c r="I286" s="2"/>
      <c r="J286" s="19">
        <f t="shared" si="153"/>
        <v>0</v>
      </c>
      <c r="K286" s="2"/>
      <c r="L286" s="2">
        <f t="shared" si="154"/>
        <v>0</v>
      </c>
      <c r="M286" s="2"/>
      <c r="N286" s="19">
        <f t="shared" si="155"/>
        <v>0</v>
      </c>
      <c r="O286" s="11"/>
      <c r="P286" s="2">
        <f t="shared" si="165"/>
        <v>0</v>
      </c>
      <c r="Q286" s="2"/>
      <c r="R286" s="19">
        <f t="shared" si="156"/>
        <v>0</v>
      </c>
      <c r="S286" s="2"/>
      <c r="T286" s="2">
        <f>--22475</f>
        <v>22475</v>
      </c>
      <c r="U286" s="2"/>
      <c r="V286" s="19">
        <f t="shared" si="157"/>
        <v>3.1661323960882719E-3</v>
      </c>
      <c r="W286" s="2"/>
      <c r="X286" s="2">
        <f t="shared" si="158"/>
        <v>-22475</v>
      </c>
      <c r="Y286" s="2"/>
      <c r="Z286" s="19">
        <f t="shared" si="159"/>
        <v>-1</v>
      </c>
    </row>
    <row r="287" spans="1:26" s="24" customFormat="1" hidden="1" outlineLevel="1" x14ac:dyDescent="0.25">
      <c r="A287" s="44"/>
      <c r="B287" s="11" t="str">
        <f>CONCATENATE("          ", "9163", " - ", "MISC. INCOME")</f>
        <v xml:space="preserve">          9163 - MISC. INCOME</v>
      </c>
      <c r="C287" s="11"/>
      <c r="D287" s="2">
        <f t="shared" si="163"/>
        <v>0</v>
      </c>
      <c r="E287" s="2"/>
      <c r="F287" s="19">
        <f t="shared" si="152"/>
        <v>0</v>
      </c>
      <c r="G287" s="2"/>
      <c r="H287" s="2">
        <f t="shared" si="164"/>
        <v>0</v>
      </c>
      <c r="I287" s="2"/>
      <c r="J287" s="19">
        <f t="shared" si="153"/>
        <v>0</v>
      </c>
      <c r="K287" s="2"/>
      <c r="L287" s="2">
        <f t="shared" si="154"/>
        <v>0</v>
      </c>
      <c r="M287" s="2"/>
      <c r="N287" s="19">
        <f t="shared" si="155"/>
        <v>0</v>
      </c>
      <c r="O287" s="11"/>
      <c r="P287" s="2">
        <f>--175405.84</f>
        <v>175405.84</v>
      </c>
      <c r="Q287" s="2"/>
      <c r="R287" s="19">
        <f t="shared" si="156"/>
        <v>4.4138812719258964E-2</v>
      </c>
      <c r="S287" s="2"/>
      <c r="T287" s="2">
        <f>--61106.55</f>
        <v>61106.55</v>
      </c>
      <c r="U287" s="2"/>
      <c r="V287" s="19">
        <f t="shared" si="157"/>
        <v>8.608294886237499E-3</v>
      </c>
      <c r="W287" s="2"/>
      <c r="X287" s="2">
        <f t="shared" si="158"/>
        <v>114299.29</v>
      </c>
      <c r="Y287" s="2"/>
      <c r="Z287" s="19">
        <f t="shared" si="159"/>
        <v>1.8704916248749108</v>
      </c>
    </row>
    <row r="288" spans="1:26" x14ac:dyDescent="0.25">
      <c r="A288" s="9"/>
      <c r="B288" s="10"/>
      <c r="C288" s="10"/>
      <c r="D288" s="3"/>
      <c r="E288" s="3"/>
      <c r="F288" s="8"/>
      <c r="G288" s="3"/>
      <c r="H288" s="3"/>
      <c r="I288" s="3"/>
      <c r="J288" s="8"/>
      <c r="K288" s="3"/>
      <c r="L288" s="3"/>
      <c r="M288" s="3"/>
      <c r="N288" s="8"/>
      <c r="O288" s="10"/>
      <c r="P288" s="3"/>
      <c r="Q288" s="3"/>
      <c r="R288" s="8"/>
      <c r="S288" s="3"/>
      <c r="T288" s="3"/>
      <c r="U288" s="3"/>
      <c r="V288" s="8"/>
      <c r="W288" s="3"/>
      <c r="X288" s="3"/>
      <c r="Y288" s="3"/>
      <c r="Z288" s="8"/>
    </row>
    <row r="289" spans="1:26" s="23" customFormat="1" x14ac:dyDescent="0.25">
      <c r="A289" s="10"/>
      <c r="B289" s="28" t="s">
        <v>3</v>
      </c>
      <c r="C289" s="28"/>
      <c r="D289" s="20">
        <f>+D184-D186+D275</f>
        <v>-136975.07999999996</v>
      </c>
      <c r="E289" s="14"/>
      <c r="F289" s="21">
        <f>IF(D$12=0,0,D289/D$12)</f>
        <v>-0.43751751985540999</v>
      </c>
      <c r="G289" s="14"/>
      <c r="H289" s="20">
        <f>+H184-H186+H275</f>
        <v>-70527.220000000321</v>
      </c>
      <c r="I289" s="14"/>
      <c r="J289" s="21">
        <f>IF(H$12=0,0,H289/H$12)</f>
        <v>-0.13344740164753649</v>
      </c>
      <c r="K289" s="15"/>
      <c r="L289" s="20">
        <f>+D289-H289</f>
        <v>-66447.859999999637</v>
      </c>
      <c r="M289" s="15"/>
      <c r="N289" s="21">
        <f>IF(H289=0,0,L289/H289)</f>
        <v>0.94215906993072085</v>
      </c>
      <c r="O289" s="29"/>
      <c r="P289" s="20">
        <f>+P184-P186+P275</f>
        <v>-119550.31999999715</v>
      </c>
      <c r="Q289" s="14"/>
      <c r="R289" s="21">
        <f>IF(P$12=0,0,P289/P$12)</f>
        <v>-3.0083429291791846E-2</v>
      </c>
      <c r="S289" s="14"/>
      <c r="T289" s="20">
        <f>+T184-T186+T275</f>
        <v>533274.92999999993</v>
      </c>
      <c r="U289" s="14"/>
      <c r="V289" s="21">
        <f>IF(T$12=0,0,T289/T$12)</f>
        <v>7.5124317325682102E-2</v>
      </c>
      <c r="W289" s="15"/>
      <c r="X289" s="20">
        <f>+P289-T289</f>
        <v>-652825.24999999709</v>
      </c>
      <c r="Y289" s="15"/>
      <c r="Z289" s="21">
        <f>IF(T289=0,0,X289/T289)</f>
        <v>-1.224181399264348</v>
      </c>
    </row>
    <row r="290" spans="1:26" x14ac:dyDescent="0.25">
      <c r="A290" s="9"/>
      <c r="B290" s="10"/>
      <c r="C290" s="9"/>
      <c r="D290" s="3"/>
      <c r="E290" s="3"/>
      <c r="F290" s="8"/>
      <c r="G290" s="3"/>
      <c r="H290" s="3"/>
      <c r="I290" s="3"/>
      <c r="J290" s="8"/>
      <c r="K290" s="3"/>
      <c r="L290" s="3"/>
      <c r="M290" s="3"/>
      <c r="N290" s="8"/>
      <c r="P290" s="3"/>
      <c r="Q290" s="3"/>
      <c r="R290" s="8"/>
      <c r="S290" s="3"/>
      <c r="T290" s="3"/>
      <c r="U290" s="3"/>
      <c r="V290" s="8"/>
      <c r="W290" s="3"/>
      <c r="X290" s="3"/>
      <c r="Y290" s="3"/>
      <c r="Z290" s="8"/>
    </row>
    <row r="291" spans="1:26" s="23" customFormat="1" x14ac:dyDescent="0.25">
      <c r="A291" s="51"/>
      <c r="B291" s="10" t="s">
        <v>13</v>
      </c>
      <c r="C291" s="10"/>
      <c r="D291" s="4">
        <v>153558.1</v>
      </c>
      <c r="E291" s="4"/>
      <c r="F291" s="12">
        <f>IF(D$12=0,0,D291/D$12)</f>
        <v>0.49048599983083824</v>
      </c>
      <c r="G291" s="4"/>
      <c r="H291" s="4">
        <v>70974.47</v>
      </c>
      <c r="I291" s="4"/>
      <c r="J291" s="12">
        <f>IF(H$12=0,0,H291/H$12)</f>
        <v>0.13429366143754123</v>
      </c>
      <c r="K291" s="4"/>
      <c r="L291" s="4">
        <f>+D291-H291</f>
        <v>82583.63</v>
      </c>
      <c r="M291" s="4"/>
      <c r="N291" s="12">
        <f>IF(H291=0,0,L291/H291)</f>
        <v>1.1635681111813869</v>
      </c>
      <c r="O291" s="10"/>
      <c r="P291" s="4">
        <v>735266.59</v>
      </c>
      <c r="Q291" s="4"/>
      <c r="R291" s="12">
        <f>IF(P$12=0,0,P291/P$12)</f>
        <v>0.18502117326731063</v>
      </c>
      <c r="S291" s="4"/>
      <c r="T291" s="4">
        <v>766699.8</v>
      </c>
      <c r="U291" s="4"/>
      <c r="V291" s="12">
        <f>IF(T$12=0,0,T291/T$12)</f>
        <v>0.10800770077216458</v>
      </c>
      <c r="W291" s="4"/>
      <c r="X291" s="4">
        <f>+P291-T291</f>
        <v>-31433.210000000079</v>
      </c>
      <c r="Y291" s="4"/>
      <c r="Z291" s="12">
        <f>IF(T291=0,0,X291/T291)</f>
        <v>-4.0998067300917616E-2</v>
      </c>
    </row>
    <row r="292" spans="1:26" x14ac:dyDescent="0.25">
      <c r="A292" s="9"/>
      <c r="B292" s="10"/>
      <c r="C292" s="10"/>
      <c r="D292" s="3"/>
      <c r="E292" s="3"/>
      <c r="F292" s="8"/>
      <c r="G292" s="3"/>
      <c r="H292" s="3"/>
      <c r="I292" s="3"/>
      <c r="J292" s="8"/>
      <c r="K292" s="3"/>
      <c r="L292" s="3"/>
      <c r="M292" s="3"/>
      <c r="N292" s="8"/>
      <c r="O292" s="10"/>
      <c r="P292" s="3"/>
      <c r="Q292" s="3"/>
      <c r="R292" s="8"/>
      <c r="S292" s="3"/>
      <c r="T292" s="3"/>
      <c r="U292" s="3"/>
      <c r="V292" s="8"/>
      <c r="W292" s="3"/>
      <c r="X292" s="3"/>
      <c r="Y292" s="3"/>
      <c r="Z292" s="8"/>
    </row>
    <row r="293" spans="1:26" s="23" customFormat="1" ht="15.75" thickBot="1" x14ac:dyDescent="0.3">
      <c r="A293" s="10"/>
      <c r="B293" s="28" t="s">
        <v>4</v>
      </c>
      <c r="C293" s="28"/>
      <c r="D293" s="33">
        <f>+D289-D291</f>
        <v>-290533.17999999993</v>
      </c>
      <c r="E293" s="14"/>
      <c r="F293" s="34">
        <f>IF(D$12=0,0,D293/D$12)</f>
        <v>-0.92800351968624806</v>
      </c>
      <c r="G293" s="14"/>
      <c r="H293" s="33">
        <f>+H289-H291</f>
        <v>-141501.69000000032</v>
      </c>
      <c r="I293" s="14"/>
      <c r="J293" s="34">
        <f>IF(H$12=0,0,H293/H$12)</f>
        <v>-0.26774106308507772</v>
      </c>
      <c r="K293" s="15"/>
      <c r="L293" s="33">
        <f>D293-H293</f>
        <v>-149031.48999999961</v>
      </c>
      <c r="M293" s="15"/>
      <c r="N293" s="34">
        <f>IF(H293=0,0,L293/H293)</f>
        <v>1.0532134987221655</v>
      </c>
      <c r="O293" s="29"/>
      <c r="P293" s="33">
        <f>+P289-P291</f>
        <v>-854816.90999999712</v>
      </c>
      <c r="Q293" s="14"/>
      <c r="R293" s="34">
        <f>IF(P$12=0,0,P293/P$12)</f>
        <v>-0.21510460255910246</v>
      </c>
      <c r="S293" s="14"/>
      <c r="T293" s="33">
        <f>+T289-T291</f>
        <v>-233424.87000000011</v>
      </c>
      <c r="U293" s="14"/>
      <c r="V293" s="34">
        <f>IF(T$12=0,0,T293/T$12)</f>
        <v>-3.2883383446482478E-2</v>
      </c>
      <c r="W293" s="15"/>
      <c r="X293" s="33">
        <f>P293-T293</f>
        <v>-621392.03999999701</v>
      </c>
      <c r="Y293" s="15"/>
      <c r="Z293" s="34">
        <f>IF(T293=0,0,X293/T293)</f>
        <v>2.6620644149871295</v>
      </c>
    </row>
    <row r="294" spans="1:26" ht="15.75" thickTop="1" x14ac:dyDescent="0.25">
      <c r="A294" s="9"/>
      <c r="B294" s="9"/>
      <c r="C294" s="9"/>
      <c r="D294" s="3"/>
      <c r="E294" s="3"/>
      <c r="F294" s="8"/>
      <c r="G294" s="3"/>
      <c r="H294" s="3"/>
      <c r="I294" s="3"/>
      <c r="J294" s="8"/>
      <c r="K294" s="3"/>
      <c r="L294" s="3"/>
      <c r="M294" s="3"/>
      <c r="N294" s="8"/>
      <c r="P294" s="3"/>
      <c r="Q294" s="3"/>
      <c r="R294" s="8"/>
      <c r="S294" s="3"/>
      <c r="T294" s="3"/>
      <c r="U294" s="3"/>
      <c r="V294" s="8"/>
      <c r="W294" s="3"/>
      <c r="X294" s="3"/>
      <c r="Y294" s="3"/>
      <c r="Z294" s="8"/>
    </row>
    <row r="295" spans="1:26" x14ac:dyDescent="0.25">
      <c r="A295" s="9"/>
      <c r="B295" s="9"/>
      <c r="C295" s="9"/>
      <c r="D295" s="3"/>
      <c r="E295" s="3"/>
      <c r="F295" s="8"/>
      <c r="G295" s="3"/>
      <c r="H295" s="3"/>
      <c r="I295" s="3"/>
      <c r="J295" s="8"/>
      <c r="K295" s="3"/>
      <c r="L295" s="3"/>
      <c r="M295" s="3"/>
      <c r="N295" s="8"/>
      <c r="P295" s="3"/>
      <c r="Q295" s="3"/>
      <c r="R295" s="8"/>
      <c r="S295" s="3"/>
      <c r="T295" s="3"/>
      <c r="U295" s="3"/>
      <c r="V295" s="8"/>
      <c r="W295" s="3"/>
      <c r="X295" s="3"/>
      <c r="Y295" s="3"/>
      <c r="Z295" s="8"/>
    </row>
    <row r="296" spans="1:26" s="23" customFormat="1" ht="15.75" thickBot="1" x14ac:dyDescent="0.3">
      <c r="A296" s="10"/>
      <c r="B296" s="28" t="s">
        <v>5</v>
      </c>
      <c r="C296" s="28"/>
      <c r="D296" s="30">
        <f>SUM(D293:D295)</f>
        <v>-290533.17999999993</v>
      </c>
      <c r="E296" s="14"/>
      <c r="F296" s="32">
        <f>IF(D$12=0,0,D296/D$12)</f>
        <v>-0.92800351968624806</v>
      </c>
      <c r="G296" s="14"/>
      <c r="H296" s="30">
        <f>SUM(H293:H295)</f>
        <v>-141501.69000000032</v>
      </c>
      <c r="I296" s="14"/>
      <c r="J296" s="32">
        <f>IF(H$12=0,0,H296/H$12)</f>
        <v>-0.26774106308507772</v>
      </c>
      <c r="K296" s="15"/>
      <c r="L296" s="30">
        <f>+D296-H296</f>
        <v>-149031.48999999961</v>
      </c>
      <c r="M296" s="15"/>
      <c r="N296" s="32">
        <f>IF(H296=0,0,L296/H296)</f>
        <v>1.0532134987221655</v>
      </c>
      <c r="O296" s="29"/>
      <c r="P296" s="30">
        <f>SUM(P293:P295)</f>
        <v>-854816.90999999712</v>
      </c>
      <c r="Q296" s="14"/>
      <c r="R296" s="32">
        <f>IF(P$12=0,0,P296/P$12)</f>
        <v>-0.21510460255910246</v>
      </c>
      <c r="S296" s="14"/>
      <c r="T296" s="30">
        <f>SUM(T293:T295)</f>
        <v>-233424.87000000011</v>
      </c>
      <c r="U296" s="14"/>
      <c r="V296" s="32">
        <f>IF(T$12=0,0,T296/T$12)</f>
        <v>-3.2883383446482478E-2</v>
      </c>
      <c r="W296" s="15"/>
      <c r="X296" s="30">
        <f>+P296-T296</f>
        <v>-621392.03999999701</v>
      </c>
      <c r="Y296" s="15"/>
      <c r="Z296" s="32">
        <f>IF(T296=0,0,X296/T296)</f>
        <v>2.6620644149871295</v>
      </c>
    </row>
    <row r="297" spans="1:26" ht="15.75" thickTop="1" x14ac:dyDescent="0.25">
      <c r="A297" s="9"/>
      <c r="C297" s="9"/>
      <c r="D297" s="17"/>
      <c r="E297" s="17"/>
      <c r="G297" s="17"/>
      <c r="H297" s="17"/>
      <c r="I297" s="17"/>
      <c r="J297" s="43"/>
      <c r="K297" s="17"/>
      <c r="L297" s="17"/>
      <c r="M297" s="17"/>
      <c r="P297" s="17"/>
      <c r="Q297" s="17"/>
      <c r="R297" s="43"/>
      <c r="S297" s="17"/>
      <c r="T297" s="17"/>
      <c r="U297" s="17"/>
      <c r="V297" s="43"/>
      <c r="W297" s="17"/>
      <c r="X297" s="17"/>
    </row>
    <row r="298" spans="1:26" x14ac:dyDescent="0.25">
      <c r="A298" s="9"/>
      <c r="B298" s="58">
        <v>44209.521344409724</v>
      </c>
      <c r="D298" s="17"/>
      <c r="E298" s="17"/>
      <c r="G298" s="17"/>
      <c r="H298" s="17"/>
      <c r="I298" s="17"/>
      <c r="J298" s="43"/>
      <c r="K298" s="17"/>
      <c r="L298" s="17"/>
      <c r="M298" s="17"/>
      <c r="P298" s="17"/>
      <c r="Q298" s="17"/>
      <c r="R298" s="43"/>
      <c r="S298" s="17"/>
      <c r="T298" s="17"/>
      <c r="U298" s="17"/>
      <c r="V298" s="43"/>
      <c r="W298" s="17"/>
      <c r="X298" s="17"/>
    </row>
    <row r="299" spans="1:26" x14ac:dyDescent="0.25">
      <c r="A299" s="9"/>
      <c r="B299" s="61" t="s">
        <v>313</v>
      </c>
      <c r="D299" s="17"/>
      <c r="E299" s="17"/>
      <c r="G299" s="17"/>
      <c r="H299" s="17"/>
      <c r="I299" s="17"/>
      <c r="J299" s="43"/>
      <c r="K299" s="17"/>
      <c r="L299" s="17"/>
      <c r="M299" s="17"/>
      <c r="P299" s="17"/>
      <c r="Q299" s="17"/>
      <c r="R299" s="43"/>
      <c r="S299" s="17"/>
      <c r="T299" s="17"/>
      <c r="U299" s="17"/>
      <c r="V299" s="43"/>
      <c r="W299" s="17"/>
      <c r="X299" s="17"/>
    </row>
    <row r="300" spans="1:26" x14ac:dyDescent="0.25">
      <c r="A300" s="9"/>
      <c r="B300" s="57"/>
      <c r="D300" s="17"/>
      <c r="E300" s="17"/>
      <c r="G300" s="17"/>
      <c r="H300" s="17"/>
      <c r="I300" s="17"/>
      <c r="J300" s="43"/>
      <c r="K300" s="17"/>
      <c r="L300" s="17"/>
      <c r="M300" s="17"/>
      <c r="P300" s="17"/>
      <c r="Q300" s="17"/>
      <c r="R300" s="43"/>
      <c r="S300" s="17"/>
      <c r="T300" s="17"/>
      <c r="U300" s="17"/>
      <c r="V300" s="43"/>
      <c r="W300" s="17"/>
      <c r="X300" s="17"/>
    </row>
    <row r="301" spans="1:26" x14ac:dyDescent="0.25">
      <c r="D301" s="17"/>
      <c r="E301" s="17"/>
      <c r="G301" s="17"/>
      <c r="H301" s="17"/>
      <c r="I301" s="17"/>
      <c r="J301" s="43"/>
      <c r="K301" s="17"/>
      <c r="L301" s="17"/>
      <c r="M301" s="17"/>
      <c r="P301" s="17"/>
      <c r="Q301" s="17"/>
      <c r="R301" s="43"/>
      <c r="S301" s="17"/>
      <c r="T301" s="17"/>
      <c r="U301" s="17"/>
      <c r="V301" s="43"/>
      <c r="W301" s="17"/>
      <c r="X301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","301", " - ", "Bookstore Operations")</f>
        <v>Department 301 - Bookstore Operations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101696.02999999997</v>
      </c>
      <c r="E18" s="22"/>
      <c r="F18" s="36">
        <f t="shared" ref="F18:F29" si="0">IF(D$12=0,0,D18/D$12)</f>
        <v>0</v>
      </c>
      <c r="G18" s="22"/>
      <c r="H18" s="22">
        <f>SUM(OSRRefH22x_0)</f>
        <v>101029.58999999998</v>
      </c>
      <c r="I18" s="22"/>
      <c r="J18" s="36">
        <f t="shared" ref="J18:J29" si="1">IF(H$12=0,0,H18/H$12)</f>
        <v>0</v>
      </c>
      <c r="K18" s="4"/>
      <c r="L18" s="22">
        <f t="shared" ref="L18:L29" si="2">+D18-H18</f>
        <v>666.43999999998778</v>
      </c>
      <c r="M18" s="4"/>
      <c r="N18" s="36">
        <f t="shared" ref="N18:N29" si="3">IF(H18=0,0,L18/H18)</f>
        <v>6.5964832679216842E-3</v>
      </c>
      <c r="O18" s="10"/>
      <c r="P18" s="22">
        <f>SUM(OSRRefP22x_0)</f>
        <v>733088.14000000013</v>
      </c>
      <c r="Q18" s="22"/>
      <c r="R18" s="36">
        <f t="shared" ref="R18:R29" si="4">IF(P$12=0,0,P18/P$12)</f>
        <v>0</v>
      </c>
      <c r="S18" s="22"/>
      <c r="T18" s="22">
        <f>SUM(OSRRefT22x_0)</f>
        <v>779517.99000000022</v>
      </c>
      <c r="U18" s="22"/>
      <c r="V18" s="36">
        <f t="shared" ref="V18:V29" si="5">IF(T$12=0,0,T18/T$12)</f>
        <v>0</v>
      </c>
      <c r="W18" s="4"/>
      <c r="X18" s="22">
        <f t="shared" ref="X18:X29" si="6">+P18-T18</f>
        <v>-46429.850000000093</v>
      </c>
      <c r="Y18" s="4"/>
      <c r="Z18" s="36">
        <f t="shared" ref="Z18:Z29" si="7">IF(T18=0,0,X18/T18)</f>
        <v>-5.9562255901239793E-2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8093.39</v>
      </c>
      <c r="E19" s="1"/>
      <c r="F19" s="5">
        <f t="shared" si="0"/>
        <v>0</v>
      </c>
      <c r="G19" s="1"/>
      <c r="H19" s="1">
        <f>SUM(OSRRefH22_0x_0)</f>
        <v>8909.11</v>
      </c>
      <c r="I19" s="1"/>
      <c r="J19" s="5">
        <f t="shared" si="1"/>
        <v>0</v>
      </c>
      <c r="K19" s="1"/>
      <c r="L19" s="1">
        <f t="shared" si="2"/>
        <v>-815.72000000000025</v>
      </c>
      <c r="M19" s="1"/>
      <c r="N19" s="5">
        <f t="shared" si="3"/>
        <v>-9.1560211962811125E-2</v>
      </c>
      <c r="O19" s="13"/>
      <c r="P19" s="1">
        <f>SUM(OSRRefP22_0x_0)</f>
        <v>50633.89</v>
      </c>
      <c r="Q19" s="1"/>
      <c r="R19" s="5">
        <f t="shared" si="4"/>
        <v>0</v>
      </c>
      <c r="S19" s="1"/>
      <c r="T19" s="1">
        <f>SUM(OSRRefT22_0x_0)</f>
        <v>79927.88</v>
      </c>
      <c r="U19" s="1"/>
      <c r="V19" s="5">
        <f t="shared" si="5"/>
        <v>0</v>
      </c>
      <c r="W19" s="1"/>
      <c r="X19" s="1">
        <f t="shared" si="6"/>
        <v>-29293.990000000005</v>
      </c>
      <c r="Y19" s="1"/>
      <c r="Z19" s="5">
        <f t="shared" si="7"/>
        <v>-0.36650527950947787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1775.58</v>
      </c>
      <c r="E20" s="2"/>
      <c r="F20" s="6">
        <f t="shared" si="0"/>
        <v>0</v>
      </c>
      <c r="G20" s="2"/>
      <c r="H20" s="7">
        <v>1352.49</v>
      </c>
      <c r="I20" s="2"/>
      <c r="J20" s="6">
        <f t="shared" si="1"/>
        <v>0</v>
      </c>
      <c r="K20" s="2"/>
      <c r="L20" s="7">
        <f t="shared" si="2"/>
        <v>423.08999999999992</v>
      </c>
      <c r="M20" s="2"/>
      <c r="N20" s="6">
        <f t="shared" si="3"/>
        <v>0.31282301532728518</v>
      </c>
      <c r="O20" s="11"/>
      <c r="P20" s="7">
        <v>15013.12</v>
      </c>
      <c r="Q20" s="2"/>
      <c r="R20" s="6">
        <f t="shared" si="4"/>
        <v>0</v>
      </c>
      <c r="S20" s="2"/>
      <c r="T20" s="7">
        <v>17077.400000000001</v>
      </c>
      <c r="U20" s="2"/>
      <c r="V20" s="6">
        <f t="shared" si="5"/>
        <v>0</v>
      </c>
      <c r="W20" s="2"/>
      <c r="X20" s="7">
        <f t="shared" si="6"/>
        <v>-2064.2800000000007</v>
      </c>
      <c r="Y20" s="2"/>
      <c r="Z20" s="6">
        <f t="shared" si="7"/>
        <v>-0.12087788539238997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841.14</v>
      </c>
      <c r="E21" s="2"/>
      <c r="F21" s="6">
        <f t="shared" si="0"/>
        <v>0</v>
      </c>
      <c r="G21" s="2"/>
      <c r="H21" s="7">
        <v>561.75</v>
      </c>
      <c r="I21" s="2"/>
      <c r="J21" s="6">
        <f t="shared" si="1"/>
        <v>0</v>
      </c>
      <c r="K21" s="2"/>
      <c r="L21" s="7">
        <f t="shared" si="2"/>
        <v>279.39</v>
      </c>
      <c r="M21" s="2"/>
      <c r="N21" s="6">
        <f t="shared" si="3"/>
        <v>0.4973564753004005</v>
      </c>
      <c r="O21" s="11"/>
      <c r="P21" s="7">
        <v>4629.07</v>
      </c>
      <c r="Q21" s="2"/>
      <c r="R21" s="6">
        <f t="shared" si="4"/>
        <v>0</v>
      </c>
      <c r="S21" s="2"/>
      <c r="T21" s="7">
        <v>3220.85</v>
      </c>
      <c r="U21" s="2"/>
      <c r="V21" s="6">
        <f t="shared" si="5"/>
        <v>0</v>
      </c>
      <c r="W21" s="2"/>
      <c r="X21" s="7">
        <f t="shared" si="6"/>
        <v>1408.2199999999998</v>
      </c>
      <c r="Y21" s="2"/>
      <c r="Z21" s="6">
        <f t="shared" si="7"/>
        <v>0.43721998851234917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1727.95</v>
      </c>
      <c r="E22" s="2"/>
      <c r="F22" s="6">
        <f t="shared" si="0"/>
        <v>0</v>
      </c>
      <c r="G22" s="2"/>
      <c r="H22" s="7">
        <v>3107.42</v>
      </c>
      <c r="I22" s="2"/>
      <c r="J22" s="6">
        <f t="shared" si="1"/>
        <v>0</v>
      </c>
      <c r="K22" s="2"/>
      <c r="L22" s="7">
        <f t="shared" si="2"/>
        <v>-1379.47</v>
      </c>
      <c r="M22" s="2"/>
      <c r="N22" s="6">
        <f t="shared" si="3"/>
        <v>-0.44392776000669365</v>
      </c>
      <c r="O22" s="11"/>
      <c r="P22" s="7">
        <v>9851.73</v>
      </c>
      <c r="Q22" s="2"/>
      <c r="R22" s="6">
        <f t="shared" si="4"/>
        <v>0</v>
      </c>
      <c r="S22" s="2"/>
      <c r="T22" s="7">
        <v>27319.99</v>
      </c>
      <c r="U22" s="2"/>
      <c r="V22" s="6">
        <f t="shared" si="5"/>
        <v>0</v>
      </c>
      <c r="W22" s="2"/>
      <c r="X22" s="7">
        <f t="shared" si="6"/>
        <v>-17468.260000000002</v>
      </c>
      <c r="Y22" s="2"/>
      <c r="Z22" s="6">
        <f t="shared" si="7"/>
        <v>-0.63939481676237808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123.45</v>
      </c>
      <c r="I23" s="2"/>
      <c r="J23" s="6">
        <f t="shared" si="1"/>
        <v>0</v>
      </c>
      <c r="K23" s="2"/>
      <c r="L23" s="7">
        <f t="shared" si="2"/>
        <v>-123.45</v>
      </c>
      <c r="M23" s="2"/>
      <c r="N23" s="6">
        <f t="shared" si="3"/>
        <v>-1</v>
      </c>
      <c r="O23" s="11"/>
      <c r="P23" s="7">
        <v>599.66999999999996</v>
      </c>
      <c r="Q23" s="2"/>
      <c r="R23" s="6">
        <f t="shared" si="4"/>
        <v>0</v>
      </c>
      <c r="S23" s="2"/>
      <c r="T23" s="7">
        <v>844.47</v>
      </c>
      <c r="U23" s="2"/>
      <c r="V23" s="6">
        <f t="shared" si="5"/>
        <v>0</v>
      </c>
      <c r="W23" s="2"/>
      <c r="X23" s="7">
        <f t="shared" si="6"/>
        <v>-244.80000000000007</v>
      </c>
      <c r="Y23" s="2"/>
      <c r="Z23" s="6">
        <f t="shared" si="7"/>
        <v>-0.28988596397740601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1371.62</v>
      </c>
      <c r="E24" s="2"/>
      <c r="F24" s="6">
        <f t="shared" si="0"/>
        <v>0</v>
      </c>
      <c r="G24" s="2"/>
      <c r="H24" s="7">
        <v>1523.65</v>
      </c>
      <c r="I24" s="2"/>
      <c r="J24" s="6">
        <f t="shared" si="1"/>
        <v>0</v>
      </c>
      <c r="K24" s="2"/>
      <c r="L24" s="7">
        <f t="shared" si="2"/>
        <v>-152.0300000000002</v>
      </c>
      <c r="M24" s="2"/>
      <c r="N24" s="6">
        <f t="shared" si="3"/>
        <v>-9.9780133232697923E-2</v>
      </c>
      <c r="O24" s="11"/>
      <c r="P24" s="7">
        <v>7907.48</v>
      </c>
      <c r="Q24" s="2"/>
      <c r="R24" s="6">
        <f t="shared" si="4"/>
        <v>0</v>
      </c>
      <c r="S24" s="2"/>
      <c r="T24" s="7">
        <v>12305.16</v>
      </c>
      <c r="U24" s="2"/>
      <c r="V24" s="6">
        <f t="shared" si="5"/>
        <v>0</v>
      </c>
      <c r="W24" s="2"/>
      <c r="X24" s="7">
        <f t="shared" si="6"/>
        <v>-4397.68</v>
      </c>
      <c r="Y24" s="2"/>
      <c r="Z24" s="6">
        <f t="shared" si="7"/>
        <v>-0.35738503197032795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401.9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401.9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189.96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189.96</v>
      </c>
      <c r="M26" s="2"/>
      <c r="N26" s="6">
        <f t="shared" si="3"/>
        <v>0</v>
      </c>
      <c r="O26" s="11"/>
      <c r="P26" s="7">
        <v>189.96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189.96</v>
      </c>
      <c r="Y26" s="2"/>
      <c r="Z26" s="6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7">
        <v>1231.6600000000001</v>
      </c>
      <c r="E27" s="2"/>
      <c r="F27" s="6">
        <f t="shared" si="0"/>
        <v>0</v>
      </c>
      <c r="G27" s="2"/>
      <c r="H27" s="7">
        <v>1235.77</v>
      </c>
      <c r="I27" s="2"/>
      <c r="J27" s="6">
        <f t="shared" si="1"/>
        <v>0</v>
      </c>
      <c r="K27" s="2"/>
      <c r="L27" s="7">
        <f t="shared" si="2"/>
        <v>-4.1099999999999</v>
      </c>
      <c r="M27" s="2"/>
      <c r="N27" s="6">
        <f t="shared" si="3"/>
        <v>-3.3258616085516724E-3</v>
      </c>
      <c r="O27" s="11"/>
      <c r="P27" s="7">
        <v>6575.37</v>
      </c>
      <c r="Q27" s="2"/>
      <c r="R27" s="6">
        <f t="shared" si="4"/>
        <v>0</v>
      </c>
      <c r="S27" s="2"/>
      <c r="T27" s="7">
        <v>10608.29</v>
      </c>
      <c r="U27" s="2"/>
      <c r="V27" s="6">
        <f t="shared" si="5"/>
        <v>0</v>
      </c>
      <c r="W27" s="2"/>
      <c r="X27" s="7">
        <f t="shared" si="6"/>
        <v>-4032.920000000001</v>
      </c>
      <c r="Y27" s="2"/>
      <c r="Z27" s="6">
        <f t="shared" si="7"/>
        <v>-0.38016683178910082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7">
        <v>809.69</v>
      </c>
      <c r="E28" s="2"/>
      <c r="F28" s="6">
        <f t="shared" si="0"/>
        <v>0</v>
      </c>
      <c r="G28" s="2"/>
      <c r="H28" s="7">
        <v>762.27</v>
      </c>
      <c r="I28" s="2"/>
      <c r="J28" s="6">
        <f t="shared" si="1"/>
        <v>0</v>
      </c>
      <c r="K28" s="2"/>
      <c r="L28" s="7">
        <f t="shared" si="2"/>
        <v>47.420000000000073</v>
      </c>
      <c r="M28" s="2"/>
      <c r="N28" s="6">
        <f t="shared" si="3"/>
        <v>6.220892859485494E-2</v>
      </c>
      <c r="O28" s="11"/>
      <c r="P28" s="7">
        <v>4438.03</v>
      </c>
      <c r="Q28" s="2"/>
      <c r="R28" s="6">
        <f t="shared" si="4"/>
        <v>0</v>
      </c>
      <c r="S28" s="2"/>
      <c r="T28" s="7">
        <v>6507.71</v>
      </c>
      <c r="U28" s="2"/>
      <c r="V28" s="6">
        <f t="shared" si="5"/>
        <v>0</v>
      </c>
      <c r="W28" s="2"/>
      <c r="X28" s="7">
        <f t="shared" si="6"/>
        <v>-2069.6800000000003</v>
      </c>
      <c r="Y28" s="2"/>
      <c r="Z28" s="6">
        <f t="shared" si="7"/>
        <v>-0.3180350691717978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7">
        <v>145.79</v>
      </c>
      <c r="E29" s="2"/>
      <c r="F29" s="6">
        <f t="shared" si="0"/>
        <v>0</v>
      </c>
      <c r="G29" s="2"/>
      <c r="H29" s="7">
        <v>242.31</v>
      </c>
      <c r="I29" s="2"/>
      <c r="J29" s="6">
        <f t="shared" si="1"/>
        <v>0</v>
      </c>
      <c r="K29" s="2"/>
      <c r="L29" s="7">
        <f t="shared" si="2"/>
        <v>-96.52000000000001</v>
      </c>
      <c r="M29" s="2"/>
      <c r="N29" s="6">
        <f t="shared" si="3"/>
        <v>-0.39833271429160994</v>
      </c>
      <c r="O29" s="11"/>
      <c r="P29" s="7">
        <v>1027.56</v>
      </c>
      <c r="Q29" s="2"/>
      <c r="R29" s="6">
        <f t="shared" si="4"/>
        <v>0</v>
      </c>
      <c r="S29" s="2"/>
      <c r="T29" s="7">
        <v>2044.01</v>
      </c>
      <c r="U29" s="2"/>
      <c r="V29" s="6">
        <f t="shared" si="5"/>
        <v>0</v>
      </c>
      <c r="W29" s="2"/>
      <c r="X29" s="7">
        <f t="shared" si="6"/>
        <v>-1016.45</v>
      </c>
      <c r="Y29" s="2"/>
      <c r="Z29" s="6">
        <f t="shared" si="7"/>
        <v>-0.49728230292415404</v>
      </c>
    </row>
    <row r="30" spans="1:26" s="25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39622.089999999997</v>
      </c>
      <c r="E30" s="1"/>
      <c r="F30" s="5">
        <f t="shared" ref="F30:F37" si="8">IF(D$12=0,0,D30/D$12)</f>
        <v>0</v>
      </c>
      <c r="G30" s="1"/>
      <c r="H30" s="1">
        <f>SUM(OSRRefH22_1x_0)</f>
        <v>29651.870000000003</v>
      </c>
      <c r="I30" s="1"/>
      <c r="J30" s="5">
        <f t="shared" ref="J30:J37" si="9">IF(H$12=0,0,H30/H$12)</f>
        <v>0</v>
      </c>
      <c r="K30" s="1"/>
      <c r="L30" s="1">
        <f t="shared" ref="L30:L37" si="10">+D30-H30</f>
        <v>9970.2199999999939</v>
      </c>
      <c r="M30" s="1"/>
      <c r="N30" s="5">
        <f t="shared" ref="N30:N37" si="11">IF(H30=0,0,L30/H30)</f>
        <v>0.33624253714858432</v>
      </c>
      <c r="O30" s="13"/>
      <c r="P30" s="1">
        <f>SUM(OSRRefP22_1x_0)</f>
        <v>248185.47999999998</v>
      </c>
      <c r="Q30" s="1"/>
      <c r="R30" s="5">
        <f t="shared" ref="R30:R37" si="12">IF(P$12=0,0,P30/P$12)</f>
        <v>0</v>
      </c>
      <c r="S30" s="1"/>
      <c r="T30" s="1">
        <f>SUM(OSRRefT22_1x_0)</f>
        <v>276635.69</v>
      </c>
      <c r="U30" s="1"/>
      <c r="V30" s="5">
        <f t="shared" ref="V30:V37" si="13">IF(T$12=0,0,T30/T$12)</f>
        <v>0</v>
      </c>
      <c r="W30" s="1"/>
      <c r="X30" s="1">
        <f t="shared" ref="X30:X37" si="14">+P30-T30</f>
        <v>-28450.210000000021</v>
      </c>
      <c r="Y30" s="1"/>
      <c r="Z30" s="5">
        <f t="shared" ref="Z30:Z37" si="15">IF(T30=0,0,X30/T30)</f>
        <v>-0.1028435991032105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>
        <v>3745.16</v>
      </c>
      <c r="E31" s="2"/>
      <c r="F31" s="6">
        <f t="shared" si="8"/>
        <v>0</v>
      </c>
      <c r="G31" s="2"/>
      <c r="H31" s="7">
        <v>10181.280000000001</v>
      </c>
      <c r="I31" s="2"/>
      <c r="J31" s="6">
        <f t="shared" si="9"/>
        <v>0</v>
      </c>
      <c r="K31" s="2"/>
      <c r="L31" s="7">
        <f t="shared" si="10"/>
        <v>-6436.1200000000008</v>
      </c>
      <c r="M31" s="2"/>
      <c r="N31" s="6">
        <f t="shared" si="11"/>
        <v>-0.63215234233809503</v>
      </c>
      <c r="O31" s="11"/>
      <c r="P31" s="7">
        <v>25194.43</v>
      </c>
      <c r="Q31" s="2"/>
      <c r="R31" s="6">
        <f t="shared" si="12"/>
        <v>0</v>
      </c>
      <c r="S31" s="2"/>
      <c r="T31" s="7">
        <v>66982.11</v>
      </c>
      <c r="U31" s="2"/>
      <c r="V31" s="6">
        <f t="shared" si="13"/>
        <v>0</v>
      </c>
      <c r="W31" s="2"/>
      <c r="X31" s="7">
        <f t="shared" si="14"/>
        <v>-41787.68</v>
      </c>
      <c r="Y31" s="2"/>
      <c r="Z31" s="6">
        <f t="shared" si="15"/>
        <v>-0.62386329722966327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7">
        <v>9294.73</v>
      </c>
      <c r="E32" s="2"/>
      <c r="F32" s="6">
        <f t="shared" si="8"/>
        <v>0</v>
      </c>
      <c r="G32" s="2"/>
      <c r="H32" s="7">
        <v>5656.72</v>
      </c>
      <c r="I32" s="2"/>
      <c r="J32" s="6">
        <f t="shared" si="9"/>
        <v>0</v>
      </c>
      <c r="K32" s="2"/>
      <c r="L32" s="7">
        <f t="shared" si="10"/>
        <v>3638.0099999999993</v>
      </c>
      <c r="M32" s="2"/>
      <c r="N32" s="6">
        <f t="shared" si="11"/>
        <v>0.64313064814945753</v>
      </c>
      <c r="O32" s="11"/>
      <c r="P32" s="7">
        <v>52290.09</v>
      </c>
      <c r="Q32" s="2"/>
      <c r="R32" s="6">
        <f t="shared" si="12"/>
        <v>0</v>
      </c>
      <c r="S32" s="2"/>
      <c r="T32" s="7">
        <v>48655.55</v>
      </c>
      <c r="U32" s="2"/>
      <c r="V32" s="6">
        <f t="shared" si="13"/>
        <v>0</v>
      </c>
      <c r="W32" s="2"/>
      <c r="X32" s="7">
        <f t="shared" si="14"/>
        <v>3634.5399999999936</v>
      </c>
      <c r="Y32" s="2"/>
      <c r="Z32" s="6">
        <f t="shared" si="15"/>
        <v>7.4699391950147381E-2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7">
        <v>4510.4799999999996</v>
      </c>
      <c r="E33" s="2"/>
      <c r="F33" s="6">
        <f t="shared" si="8"/>
        <v>0</v>
      </c>
      <c r="G33" s="2"/>
      <c r="H33" s="7"/>
      <c r="I33" s="2"/>
      <c r="J33" s="6">
        <f t="shared" si="9"/>
        <v>0</v>
      </c>
      <c r="K33" s="2"/>
      <c r="L33" s="7">
        <f t="shared" si="10"/>
        <v>4510.4799999999996</v>
      </c>
      <c r="M33" s="2"/>
      <c r="N33" s="6">
        <f t="shared" si="11"/>
        <v>0</v>
      </c>
      <c r="O33" s="11"/>
      <c r="P33" s="7">
        <v>9306.8799999999992</v>
      </c>
      <c r="Q33" s="2"/>
      <c r="R33" s="6">
        <f t="shared" si="12"/>
        <v>0</v>
      </c>
      <c r="S33" s="2"/>
      <c r="T33" s="7">
        <v>-1647.01</v>
      </c>
      <c r="U33" s="2"/>
      <c r="V33" s="6">
        <f t="shared" si="13"/>
        <v>0</v>
      </c>
      <c r="W33" s="2"/>
      <c r="X33" s="7">
        <f t="shared" si="14"/>
        <v>10953.89</v>
      </c>
      <c r="Y33" s="2"/>
      <c r="Z33" s="6">
        <f t="shared" si="15"/>
        <v>-6.6507732193490021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>
        <v>3938.93</v>
      </c>
      <c r="E34" s="2"/>
      <c r="F34" s="6">
        <f t="shared" si="8"/>
        <v>0</v>
      </c>
      <c r="G34" s="2"/>
      <c r="H34" s="7">
        <v>4799.04</v>
      </c>
      <c r="I34" s="2"/>
      <c r="J34" s="6">
        <f t="shared" si="9"/>
        <v>0</v>
      </c>
      <c r="K34" s="2"/>
      <c r="L34" s="7">
        <f t="shared" si="10"/>
        <v>-860.11000000000013</v>
      </c>
      <c r="M34" s="2"/>
      <c r="N34" s="6">
        <f t="shared" si="11"/>
        <v>-0.17922542841901717</v>
      </c>
      <c r="O34" s="11"/>
      <c r="P34" s="7">
        <v>47517.68</v>
      </c>
      <c r="Q34" s="2"/>
      <c r="R34" s="6">
        <f t="shared" si="12"/>
        <v>0</v>
      </c>
      <c r="S34" s="2"/>
      <c r="T34" s="7">
        <v>42737.100000000006</v>
      </c>
      <c r="U34" s="2"/>
      <c r="V34" s="6">
        <f t="shared" si="13"/>
        <v>0</v>
      </c>
      <c r="W34" s="2"/>
      <c r="X34" s="7">
        <f t="shared" si="14"/>
        <v>4780.5799999999945</v>
      </c>
      <c r="Y34" s="2"/>
      <c r="Z34" s="6">
        <f t="shared" si="15"/>
        <v>0.11186018705059524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>
        <v>1432.35</v>
      </c>
      <c r="E35" s="2"/>
      <c r="F35" s="6">
        <f t="shared" si="8"/>
        <v>0</v>
      </c>
      <c r="G35" s="2"/>
      <c r="H35" s="7">
        <v>672</v>
      </c>
      <c r="I35" s="2"/>
      <c r="J35" s="6">
        <f t="shared" si="9"/>
        <v>0</v>
      </c>
      <c r="K35" s="2"/>
      <c r="L35" s="7">
        <f t="shared" si="10"/>
        <v>760.34999999999991</v>
      </c>
      <c r="M35" s="2"/>
      <c r="N35" s="6">
        <f t="shared" si="11"/>
        <v>1.1314732142857142</v>
      </c>
      <c r="O35" s="11"/>
      <c r="P35" s="7">
        <v>9485.67</v>
      </c>
      <c r="Q35" s="2"/>
      <c r="R35" s="6">
        <f t="shared" si="12"/>
        <v>0</v>
      </c>
      <c r="S35" s="2"/>
      <c r="T35" s="7">
        <v>11273.01</v>
      </c>
      <c r="U35" s="2"/>
      <c r="V35" s="6">
        <f t="shared" si="13"/>
        <v>0</v>
      </c>
      <c r="W35" s="2"/>
      <c r="X35" s="7">
        <f t="shared" si="14"/>
        <v>-1787.3400000000001</v>
      </c>
      <c r="Y35" s="2"/>
      <c r="Z35" s="6">
        <f t="shared" si="15"/>
        <v>-0.15855037829293153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>
        <v>16700.439999999999</v>
      </c>
      <c r="E36" s="2"/>
      <c r="F36" s="6">
        <f t="shared" si="8"/>
        <v>0</v>
      </c>
      <c r="G36" s="2"/>
      <c r="H36" s="7">
        <v>8342.83</v>
      </c>
      <c r="I36" s="2"/>
      <c r="J36" s="6">
        <f t="shared" si="9"/>
        <v>0</v>
      </c>
      <c r="K36" s="2"/>
      <c r="L36" s="7">
        <f t="shared" si="10"/>
        <v>8357.6099999999988</v>
      </c>
      <c r="M36" s="2"/>
      <c r="N36" s="6">
        <f t="shared" si="11"/>
        <v>1.0017715811061714</v>
      </c>
      <c r="O36" s="11"/>
      <c r="P36" s="7">
        <v>104390.73</v>
      </c>
      <c r="Q36" s="2"/>
      <c r="R36" s="6">
        <f t="shared" si="12"/>
        <v>0</v>
      </c>
      <c r="S36" s="2"/>
      <c r="T36" s="7">
        <v>108082.93000000001</v>
      </c>
      <c r="U36" s="2"/>
      <c r="V36" s="6">
        <f t="shared" si="13"/>
        <v>0</v>
      </c>
      <c r="W36" s="2"/>
      <c r="X36" s="7">
        <f t="shared" si="14"/>
        <v>-3692.2000000000116</v>
      </c>
      <c r="Y36" s="2"/>
      <c r="Z36" s="6">
        <f t="shared" si="15"/>
        <v>-3.416080596630764E-2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/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552</v>
      </c>
      <c r="U37" s="2"/>
      <c r="V37" s="6">
        <f t="shared" si="13"/>
        <v>0</v>
      </c>
      <c r="W37" s="2"/>
      <c r="X37" s="7">
        <f t="shared" si="14"/>
        <v>-552</v>
      </c>
      <c r="Y37" s="2"/>
      <c r="Z37" s="6">
        <f t="shared" si="15"/>
        <v>-1</v>
      </c>
    </row>
    <row r="38" spans="1:26" s="25" customFormat="1" outlineLevel="1" collapsed="1" x14ac:dyDescent="0.25">
      <c r="A38" s="26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42" si="16">IF(D$12=0,0,D38/D$12)</f>
        <v>0</v>
      </c>
      <c r="G38" s="1"/>
      <c r="H38" s="1">
        <f>SUM(OSRRefH22_2x_0)</f>
        <v>82.84</v>
      </c>
      <c r="I38" s="1"/>
      <c r="J38" s="5">
        <f t="shared" ref="J38:J42" si="17">IF(H$12=0,0,H38/H$12)</f>
        <v>0</v>
      </c>
      <c r="K38" s="1"/>
      <c r="L38" s="1">
        <f t="shared" ref="L38:L42" si="18">+D38-H38</f>
        <v>-82.84</v>
      </c>
      <c r="M38" s="1"/>
      <c r="N38" s="5">
        <f t="shared" ref="N38:N42" si="19">IF(H38=0,0,L38/H38)</f>
        <v>-1</v>
      </c>
      <c r="O38" s="13"/>
      <c r="P38" s="1">
        <f>SUM(OSRRefP22_2x_0)</f>
        <v>100</v>
      </c>
      <c r="Q38" s="1"/>
      <c r="R38" s="5">
        <f t="shared" ref="R38:R42" si="20">IF(P$12=0,0,P38/P$12)</f>
        <v>0</v>
      </c>
      <c r="S38" s="1"/>
      <c r="T38" s="1">
        <f>SUM(OSRRefT22_2x_0)</f>
        <v>17284.54</v>
      </c>
      <c r="U38" s="1"/>
      <c r="V38" s="5">
        <f t="shared" ref="V38:V42" si="21">IF(T$12=0,0,T38/T$12)</f>
        <v>0</v>
      </c>
      <c r="W38" s="1"/>
      <c r="X38" s="1">
        <f t="shared" ref="X38:X42" si="22">+P38-T38</f>
        <v>-17184.54</v>
      </c>
      <c r="Y38" s="1"/>
      <c r="Z38" s="5">
        <f t="shared" ref="Z38:Z42" si="23">IF(T38=0,0,X38/T38)</f>
        <v>-0.99421448300041537</v>
      </c>
    </row>
    <row r="39" spans="1:26" s="24" customFormat="1" hidden="1" outlineLevel="2" x14ac:dyDescent="0.25">
      <c r="A39" s="27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16"/>
        <v>0</v>
      </c>
      <c r="G39" s="2"/>
      <c r="H39" s="7">
        <v>82.84</v>
      </c>
      <c r="I39" s="2"/>
      <c r="J39" s="6">
        <f t="shared" si="17"/>
        <v>0</v>
      </c>
      <c r="K39" s="2"/>
      <c r="L39" s="7">
        <f t="shared" si="18"/>
        <v>-82.84</v>
      </c>
      <c r="M39" s="2"/>
      <c r="N39" s="6">
        <f t="shared" si="19"/>
        <v>-1</v>
      </c>
      <c r="O39" s="11"/>
      <c r="P39" s="7">
        <v>100</v>
      </c>
      <c r="Q39" s="2"/>
      <c r="R39" s="6">
        <f t="shared" si="20"/>
        <v>0</v>
      </c>
      <c r="S39" s="2"/>
      <c r="T39" s="7">
        <v>17284.54</v>
      </c>
      <c r="U39" s="2"/>
      <c r="V39" s="6">
        <f t="shared" si="21"/>
        <v>0</v>
      </c>
      <c r="W39" s="2"/>
      <c r="X39" s="7">
        <f t="shared" si="22"/>
        <v>-17184.54</v>
      </c>
      <c r="Y39" s="2"/>
      <c r="Z39" s="6">
        <f t="shared" si="23"/>
        <v>-0.99421448300041537</v>
      </c>
    </row>
    <row r="40" spans="1:26" s="25" customFormat="1" outlineLevel="1" collapsed="1" x14ac:dyDescent="0.25">
      <c r="A40" s="26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-4.96</v>
      </c>
      <c r="E40" s="1"/>
      <c r="F40" s="5">
        <f t="shared" si="16"/>
        <v>0</v>
      </c>
      <c r="G40" s="1"/>
      <c r="H40" s="1">
        <f>SUM(OSRRefH22_3x_0)</f>
        <v>58.52</v>
      </c>
      <c r="I40" s="1"/>
      <c r="J40" s="5">
        <f t="shared" si="17"/>
        <v>0</v>
      </c>
      <c r="K40" s="1"/>
      <c r="L40" s="1">
        <f t="shared" si="18"/>
        <v>-63.480000000000004</v>
      </c>
      <c r="M40" s="1"/>
      <c r="N40" s="5">
        <f t="shared" si="19"/>
        <v>-1.0847573479152426</v>
      </c>
      <c r="O40" s="13"/>
      <c r="P40" s="1">
        <f>SUM(OSRRefP22_3x_0)</f>
        <v>46.25</v>
      </c>
      <c r="Q40" s="1"/>
      <c r="R40" s="5">
        <f t="shared" si="20"/>
        <v>0</v>
      </c>
      <c r="S40" s="1"/>
      <c r="T40" s="1">
        <f>SUM(OSRRefT22_3x_0)</f>
        <v>151.06</v>
      </c>
      <c r="U40" s="1"/>
      <c r="V40" s="5">
        <f t="shared" si="21"/>
        <v>0</v>
      </c>
      <c r="W40" s="1"/>
      <c r="X40" s="1">
        <f t="shared" si="22"/>
        <v>-104.81</v>
      </c>
      <c r="Y40" s="1"/>
      <c r="Z40" s="5">
        <f t="shared" si="23"/>
        <v>-0.69383026611942278</v>
      </c>
    </row>
    <row r="41" spans="1:26" s="24" customFormat="1" hidden="1" outlineLevel="2" x14ac:dyDescent="0.25">
      <c r="A41" s="27"/>
      <c r="B41" s="11" t="str">
        <f>CONCATENATE("          ", "6272", " - ", "CASH (OVER/SHORT)")</f>
        <v xml:space="preserve">          6272 - CASH (OVER/SHORT)</v>
      </c>
      <c r="C41" s="11"/>
      <c r="D41" s="7">
        <v>-4.96</v>
      </c>
      <c r="E41" s="2"/>
      <c r="F41" s="6">
        <f t="shared" si="16"/>
        <v>0</v>
      </c>
      <c r="G41" s="2"/>
      <c r="H41" s="7">
        <v>58.52</v>
      </c>
      <c r="I41" s="2"/>
      <c r="J41" s="6">
        <f t="shared" si="17"/>
        <v>0</v>
      </c>
      <c r="K41" s="2"/>
      <c r="L41" s="7">
        <f t="shared" si="18"/>
        <v>-63.480000000000004</v>
      </c>
      <c r="M41" s="2"/>
      <c r="N41" s="6">
        <f t="shared" si="19"/>
        <v>-1.0847573479152426</v>
      </c>
      <c r="O41" s="11"/>
      <c r="P41" s="7">
        <v>46.25</v>
      </c>
      <c r="Q41" s="2"/>
      <c r="R41" s="6">
        <f t="shared" si="20"/>
        <v>0</v>
      </c>
      <c r="S41" s="2"/>
      <c r="T41" s="7">
        <v>106.26</v>
      </c>
      <c r="U41" s="2"/>
      <c r="V41" s="6">
        <f t="shared" si="21"/>
        <v>0</v>
      </c>
      <c r="W41" s="2"/>
      <c r="X41" s="7">
        <f t="shared" si="22"/>
        <v>-60.010000000000005</v>
      </c>
      <c r="Y41" s="2"/>
      <c r="Z41" s="6">
        <f t="shared" si="23"/>
        <v>-0.56474684735554304</v>
      </c>
    </row>
    <row r="42" spans="1:26" s="24" customFormat="1" hidden="1" outlineLevel="2" x14ac:dyDescent="0.25">
      <c r="A42" s="27"/>
      <c r="B42" s="11" t="str">
        <f>CONCATENATE("          ", "6342", " - ", "BAD DEBT")</f>
        <v xml:space="preserve">          6342 - BAD DEBT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44.8</v>
      </c>
      <c r="U42" s="2"/>
      <c r="V42" s="6">
        <f t="shared" si="21"/>
        <v>0</v>
      </c>
      <c r="W42" s="2"/>
      <c r="X42" s="7">
        <f t="shared" si="22"/>
        <v>-44.8</v>
      </c>
      <c r="Y42" s="2"/>
      <c r="Z42" s="6">
        <f t="shared" si="23"/>
        <v>-1</v>
      </c>
    </row>
    <row r="43" spans="1:26" s="25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4573.05</v>
      </c>
      <c r="E43" s="1"/>
      <c r="F43" s="5">
        <f t="shared" ref="F43:F47" si="24">IF(D$12=0,0,D43/D$12)</f>
        <v>0</v>
      </c>
      <c r="G43" s="1"/>
      <c r="H43" s="1">
        <f>SUM(OSRRefH22_4x_0)</f>
        <v>8100.96</v>
      </c>
      <c r="I43" s="1"/>
      <c r="J43" s="5">
        <f t="shared" ref="J43:J47" si="25">IF(H$12=0,0,H43/H$12)</f>
        <v>0</v>
      </c>
      <c r="K43" s="1"/>
      <c r="L43" s="1">
        <f t="shared" ref="L43:L47" si="26">+D43-H43</f>
        <v>-3527.91</v>
      </c>
      <c r="M43" s="1"/>
      <c r="N43" s="5">
        <f t="shared" ref="N43:N47" si="27">IF(H43=0,0,L43/H43)</f>
        <v>-0.43549283047935056</v>
      </c>
      <c r="O43" s="13"/>
      <c r="P43" s="1">
        <f>SUM(OSRRefP22_4x_0)</f>
        <v>44482.51</v>
      </c>
      <c r="Q43" s="1"/>
      <c r="R43" s="5">
        <f t="shared" ref="R43:R47" si="28">IF(P$12=0,0,P43/P$12)</f>
        <v>0</v>
      </c>
      <c r="S43" s="1"/>
      <c r="T43" s="1">
        <f>SUM(OSRRefT22_4x_0)</f>
        <v>86983.709999999992</v>
      </c>
      <c r="U43" s="1"/>
      <c r="V43" s="5">
        <f t="shared" ref="V43:V47" si="29">IF(T$12=0,0,T43/T$12)</f>
        <v>0</v>
      </c>
      <c r="W43" s="1"/>
      <c r="X43" s="1">
        <f t="shared" ref="X43:X47" si="30">+P43-T43</f>
        <v>-42501.19999999999</v>
      </c>
      <c r="Y43" s="1"/>
      <c r="Z43" s="5">
        <f t="shared" ref="Z43:Z47" si="31">IF(T43=0,0,X43/T43)</f>
        <v>-0.48861102843279497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7">
        <v>4573.05</v>
      </c>
      <c r="E44" s="2"/>
      <c r="F44" s="6">
        <f t="shared" si="24"/>
        <v>0</v>
      </c>
      <c r="G44" s="2"/>
      <c r="H44" s="7">
        <v>8100.96</v>
      </c>
      <c r="I44" s="2"/>
      <c r="J44" s="6">
        <f t="shared" si="25"/>
        <v>0</v>
      </c>
      <c r="K44" s="2"/>
      <c r="L44" s="7">
        <f t="shared" si="26"/>
        <v>-3527.91</v>
      </c>
      <c r="M44" s="2"/>
      <c r="N44" s="6">
        <f t="shared" si="27"/>
        <v>-0.43549283047935056</v>
      </c>
      <c r="O44" s="11"/>
      <c r="P44" s="7">
        <v>44482.51</v>
      </c>
      <c r="Q44" s="2"/>
      <c r="R44" s="6">
        <f t="shared" si="28"/>
        <v>0</v>
      </c>
      <c r="S44" s="2"/>
      <c r="T44" s="7">
        <v>86983.709999999992</v>
      </c>
      <c r="U44" s="2"/>
      <c r="V44" s="6">
        <f t="shared" si="29"/>
        <v>0</v>
      </c>
      <c r="W44" s="2"/>
      <c r="X44" s="7">
        <f t="shared" si="30"/>
        <v>-42501.19999999999</v>
      </c>
      <c r="Y44" s="2"/>
      <c r="Z44" s="6">
        <f t="shared" si="31"/>
        <v>-0.48861102843279497</v>
      </c>
    </row>
    <row r="45" spans="1:26" s="25" customFormat="1" outlineLevel="1" collapsed="1" x14ac:dyDescent="0.25">
      <c r="A45" s="26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30565.97</v>
      </c>
      <c r="E45" s="1"/>
      <c r="F45" s="5">
        <f t="shared" si="24"/>
        <v>0</v>
      </c>
      <c r="G45" s="1"/>
      <c r="H45" s="1">
        <f>SUM(OSRRefH22_5x_0)</f>
        <v>29607.43</v>
      </c>
      <c r="I45" s="1"/>
      <c r="J45" s="5">
        <f t="shared" si="25"/>
        <v>0</v>
      </c>
      <c r="K45" s="1"/>
      <c r="L45" s="1">
        <f t="shared" si="26"/>
        <v>958.54000000000087</v>
      </c>
      <c r="M45" s="1"/>
      <c r="N45" s="5">
        <f t="shared" si="27"/>
        <v>3.2374981550239275E-2</v>
      </c>
      <c r="O45" s="13"/>
      <c r="P45" s="1">
        <f>SUM(OSRRefP22_5x_0)</f>
        <v>183691.31</v>
      </c>
      <c r="Q45" s="1"/>
      <c r="R45" s="5">
        <f t="shared" si="28"/>
        <v>0</v>
      </c>
      <c r="S45" s="1"/>
      <c r="T45" s="1">
        <f>SUM(OSRRefT22_5x_0)</f>
        <v>177644.58</v>
      </c>
      <c r="U45" s="1"/>
      <c r="V45" s="5">
        <f t="shared" si="29"/>
        <v>0</v>
      </c>
      <c r="W45" s="1"/>
      <c r="X45" s="1">
        <f t="shared" si="30"/>
        <v>6046.7300000000105</v>
      </c>
      <c r="Y45" s="1"/>
      <c r="Z45" s="5">
        <f t="shared" si="31"/>
        <v>3.403835906505006E-2</v>
      </c>
    </row>
    <row r="46" spans="1:26" s="24" customFormat="1" hidden="1" outlineLevel="2" x14ac:dyDescent="0.25">
      <c r="A46" s="27"/>
      <c r="B46" s="11" t="str">
        <f>CONCATENATE("          ", "6321", " - ", "BUILDING DEPRECIATION")</f>
        <v xml:space="preserve">          6321 - BUILDING DEPRECIATION</v>
      </c>
      <c r="C46" s="11"/>
      <c r="D46" s="7">
        <v>16396.52</v>
      </c>
      <c r="E46" s="2"/>
      <c r="F46" s="6">
        <f t="shared" si="24"/>
        <v>0</v>
      </c>
      <c r="G46" s="2"/>
      <c r="H46" s="7">
        <v>16396.52</v>
      </c>
      <c r="I46" s="2"/>
      <c r="J46" s="6">
        <f t="shared" si="25"/>
        <v>0</v>
      </c>
      <c r="K46" s="2"/>
      <c r="L46" s="7">
        <f t="shared" si="26"/>
        <v>0</v>
      </c>
      <c r="M46" s="2"/>
      <c r="N46" s="6">
        <f t="shared" si="27"/>
        <v>0</v>
      </c>
      <c r="O46" s="11"/>
      <c r="P46" s="7">
        <v>98379.12</v>
      </c>
      <c r="Q46" s="2"/>
      <c r="R46" s="6">
        <f t="shared" si="28"/>
        <v>0</v>
      </c>
      <c r="S46" s="2"/>
      <c r="T46" s="7">
        <v>98379.12</v>
      </c>
      <c r="U46" s="2"/>
      <c r="V46" s="6">
        <f t="shared" si="29"/>
        <v>0</v>
      </c>
      <c r="W46" s="2"/>
      <c r="X46" s="7">
        <f t="shared" si="30"/>
        <v>0</v>
      </c>
      <c r="Y46" s="2"/>
      <c r="Z46" s="6">
        <f t="shared" si="31"/>
        <v>0</v>
      </c>
    </row>
    <row r="47" spans="1:26" s="24" customFormat="1" hidden="1" outlineLevel="2" x14ac:dyDescent="0.25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14169.45</v>
      </c>
      <c r="E47" s="2"/>
      <c r="F47" s="6">
        <f t="shared" si="24"/>
        <v>0</v>
      </c>
      <c r="G47" s="2"/>
      <c r="H47" s="7">
        <v>13210.91</v>
      </c>
      <c r="I47" s="2"/>
      <c r="J47" s="6">
        <f t="shared" si="25"/>
        <v>0</v>
      </c>
      <c r="K47" s="2"/>
      <c r="L47" s="7">
        <f t="shared" si="26"/>
        <v>958.54000000000087</v>
      </c>
      <c r="M47" s="2"/>
      <c r="N47" s="6">
        <f t="shared" si="27"/>
        <v>7.2556697456874722E-2</v>
      </c>
      <c r="O47" s="11"/>
      <c r="P47" s="7">
        <v>85312.19</v>
      </c>
      <c r="Q47" s="2"/>
      <c r="R47" s="6">
        <f t="shared" si="28"/>
        <v>0</v>
      </c>
      <c r="S47" s="2"/>
      <c r="T47" s="7">
        <v>79265.459999999992</v>
      </c>
      <c r="U47" s="2"/>
      <c r="V47" s="6">
        <f t="shared" si="29"/>
        <v>0</v>
      </c>
      <c r="W47" s="2"/>
      <c r="X47" s="7">
        <f t="shared" si="30"/>
        <v>6046.7300000000105</v>
      </c>
      <c r="Y47" s="2"/>
      <c r="Z47" s="6">
        <f t="shared" si="31"/>
        <v>7.628455067314327E-2</v>
      </c>
    </row>
    <row r="48" spans="1:26" s="25" customFormat="1" outlineLevel="1" collapsed="1" x14ac:dyDescent="0.25">
      <c r="A48" s="26"/>
      <c r="B48" s="13" t="str">
        <f>CONCATENATE("     ","Discounts and Markdowns                           ")</f>
        <v xml:space="preserve">     Discounts and Markdowns                           </v>
      </c>
      <c r="C48" s="13"/>
      <c r="D48" s="1">
        <f>SUM(OSRRefD22_6x_0)</f>
        <v>0</v>
      </c>
      <c r="E48" s="1"/>
      <c r="F48" s="5">
        <f t="shared" ref="F48:F50" si="32">IF(D$12=0,0,D48/D$12)</f>
        <v>0</v>
      </c>
      <c r="G48" s="1"/>
      <c r="H48" s="1">
        <f>SUM(OSRRefH22_6x_0)</f>
        <v>-102.33</v>
      </c>
      <c r="I48" s="1"/>
      <c r="J48" s="5">
        <f t="shared" ref="J48:J50" si="33">IF(H$12=0,0,H48/H$12)</f>
        <v>0</v>
      </c>
      <c r="K48" s="1"/>
      <c r="L48" s="1">
        <f t="shared" ref="L48:L50" si="34">+D48-H48</f>
        <v>102.33</v>
      </c>
      <c r="M48" s="1"/>
      <c r="N48" s="5">
        <f t="shared" ref="N48:N50" si="35">IF(H48=0,0,L48/H48)</f>
        <v>-1</v>
      </c>
      <c r="O48" s="13"/>
      <c r="P48" s="1">
        <f>SUM(OSRRefP22_6x_0)</f>
        <v>0</v>
      </c>
      <c r="Q48" s="1"/>
      <c r="R48" s="5">
        <f t="shared" ref="R48:R50" si="36">IF(P$12=0,0,P48/P$12)</f>
        <v>0</v>
      </c>
      <c r="S48" s="1"/>
      <c r="T48" s="1">
        <f>SUM(OSRRefT22_6x_0)</f>
        <v>-1692.08</v>
      </c>
      <c r="U48" s="1"/>
      <c r="V48" s="5">
        <f t="shared" ref="V48:V50" si="37">IF(T$12=0,0,T48/T$12)</f>
        <v>0</v>
      </c>
      <c r="W48" s="1"/>
      <c r="X48" s="1">
        <f t="shared" ref="X48:X50" si="38">+P48-T48</f>
        <v>1692.08</v>
      </c>
      <c r="Y48" s="1"/>
      <c r="Z48" s="5">
        <f t="shared" ref="Z48:Z50" si="39">IF(T48=0,0,X48/T48)</f>
        <v>-1</v>
      </c>
    </row>
    <row r="49" spans="1:26" s="24" customFormat="1" hidden="1" outlineLevel="2" x14ac:dyDescent="0.25">
      <c r="A49" s="27"/>
      <c r="B49" s="11" t="str">
        <f>CONCATENATE("          ", "6382", " - ", "DISCOUNTS/MARK DOWNS")</f>
        <v xml:space="preserve">          6382 - DISCOUNTS/MARK DOWNS</v>
      </c>
      <c r="C49" s="11"/>
      <c r="D49" s="7"/>
      <c r="E49" s="2"/>
      <c r="F49" s="6">
        <f t="shared" si="32"/>
        <v>0</v>
      </c>
      <c r="G49" s="2"/>
      <c r="H49" s="7">
        <v>7</v>
      </c>
      <c r="I49" s="2"/>
      <c r="J49" s="6">
        <f t="shared" si="33"/>
        <v>0</v>
      </c>
      <c r="K49" s="2"/>
      <c r="L49" s="7">
        <f t="shared" si="34"/>
        <v>-7</v>
      </c>
      <c r="M49" s="2"/>
      <c r="N49" s="6">
        <f t="shared" si="35"/>
        <v>-1</v>
      </c>
      <c r="O49" s="11"/>
      <c r="P49" s="7"/>
      <c r="Q49" s="2"/>
      <c r="R49" s="6">
        <f t="shared" si="36"/>
        <v>0</v>
      </c>
      <c r="S49" s="2"/>
      <c r="T49" s="7">
        <v>341.4</v>
      </c>
      <c r="U49" s="2"/>
      <c r="V49" s="6">
        <f t="shared" si="37"/>
        <v>0</v>
      </c>
      <c r="W49" s="2"/>
      <c r="X49" s="7">
        <f t="shared" si="38"/>
        <v>-341.4</v>
      </c>
      <c r="Y49" s="2"/>
      <c r="Z49" s="6">
        <f t="shared" si="39"/>
        <v>-1</v>
      </c>
    </row>
    <row r="50" spans="1:26" s="24" customFormat="1" hidden="1" outlineLevel="2" x14ac:dyDescent="0.25">
      <c r="A50" s="27"/>
      <c r="B50" s="11" t="str">
        <f>CONCATENATE("          ", "9175", " - ", "EARNED DISCOUNTS")</f>
        <v xml:space="preserve">          9175 - EARNED DISCOUNTS</v>
      </c>
      <c r="C50" s="11"/>
      <c r="D50" s="7"/>
      <c r="E50" s="2"/>
      <c r="F50" s="6">
        <f t="shared" si="32"/>
        <v>0</v>
      </c>
      <c r="G50" s="2"/>
      <c r="H50" s="7">
        <v>-109.33</v>
      </c>
      <c r="I50" s="2"/>
      <c r="J50" s="6">
        <f t="shared" si="33"/>
        <v>0</v>
      </c>
      <c r="K50" s="2"/>
      <c r="L50" s="7">
        <f t="shared" si="34"/>
        <v>109.33</v>
      </c>
      <c r="M50" s="2"/>
      <c r="N50" s="6">
        <f t="shared" si="35"/>
        <v>-1</v>
      </c>
      <c r="O50" s="11"/>
      <c r="P50" s="7"/>
      <c r="Q50" s="2"/>
      <c r="R50" s="6">
        <f t="shared" si="36"/>
        <v>0</v>
      </c>
      <c r="S50" s="2"/>
      <c r="T50" s="7">
        <v>-2033.48</v>
      </c>
      <c r="U50" s="2"/>
      <c r="V50" s="6">
        <f t="shared" si="37"/>
        <v>0</v>
      </c>
      <c r="W50" s="2"/>
      <c r="X50" s="7">
        <f t="shared" si="38"/>
        <v>2033.48</v>
      </c>
      <c r="Y50" s="2"/>
      <c r="Z50" s="6">
        <f t="shared" si="39"/>
        <v>-1</v>
      </c>
    </row>
    <row r="51" spans="1:26" s="25" customFormat="1" outlineLevel="1" collapsed="1" x14ac:dyDescent="0.25">
      <c r="A51" s="26"/>
      <c r="B51" s="13" t="str">
        <f>CONCATENATE("     ","Donations                                         ")</f>
        <v xml:space="preserve">     Donations                                         </v>
      </c>
      <c r="C51" s="13"/>
      <c r="D51" s="1">
        <f>SUM(OSRRefD22_7x_0)</f>
        <v>0</v>
      </c>
      <c r="E51" s="1"/>
      <c r="F51" s="5">
        <f t="shared" ref="F51:F71" si="40">IF(D$12=0,0,D51/D$12)</f>
        <v>0</v>
      </c>
      <c r="G51" s="1"/>
      <c r="H51" s="1">
        <f>SUM(OSRRefH22_7x_0)</f>
        <v>150.84</v>
      </c>
      <c r="I51" s="1"/>
      <c r="J51" s="5">
        <f t="shared" ref="J51:J71" si="41">IF(H$12=0,0,H51/H$12)</f>
        <v>0</v>
      </c>
      <c r="K51" s="1"/>
      <c r="L51" s="1">
        <f t="shared" ref="L51:L71" si="42">+D51-H51</f>
        <v>-150.84</v>
      </c>
      <c r="M51" s="1"/>
      <c r="N51" s="5">
        <f t="shared" ref="N51:N71" si="43">IF(H51=0,0,L51/H51)</f>
        <v>-1</v>
      </c>
      <c r="O51" s="13"/>
      <c r="P51" s="1">
        <f>SUM(OSRRefP22_7x_0)</f>
        <v>0</v>
      </c>
      <c r="Q51" s="1"/>
      <c r="R51" s="5">
        <f t="shared" ref="R51:R71" si="44">IF(P$12=0,0,P51/P$12)</f>
        <v>0</v>
      </c>
      <c r="S51" s="1"/>
      <c r="T51" s="1">
        <f>SUM(OSRRefT22_7x_0)</f>
        <v>9798.2199999999993</v>
      </c>
      <c r="U51" s="1"/>
      <c r="V51" s="5">
        <f t="shared" ref="V51:V71" si="45">IF(T$12=0,0,T51/T$12)</f>
        <v>0</v>
      </c>
      <c r="W51" s="1"/>
      <c r="X51" s="1">
        <f t="shared" ref="X51:X71" si="46">+P51-T51</f>
        <v>-9798.2199999999993</v>
      </c>
      <c r="Y51" s="1"/>
      <c r="Z51" s="5">
        <f t="shared" ref="Z51:Z71" si="47">IF(T51=0,0,X51/T51)</f>
        <v>-1</v>
      </c>
    </row>
    <row r="52" spans="1:26" s="24" customFormat="1" hidden="1" outlineLevel="2" x14ac:dyDescent="0.25">
      <c r="A52" s="27"/>
      <c r="B52" s="11" t="str">
        <f>CONCATENATE("          ", "6399", " - ", "DONATION-ON CAMPUS")</f>
        <v xml:space="preserve">          6399 - DONATION-ON CAMPUS</v>
      </c>
      <c r="C52" s="11"/>
      <c r="D52" s="7"/>
      <c r="E52" s="2"/>
      <c r="F52" s="6">
        <f t="shared" si="40"/>
        <v>0</v>
      </c>
      <c r="G52" s="2"/>
      <c r="H52" s="7">
        <v>150.84</v>
      </c>
      <c r="I52" s="2"/>
      <c r="J52" s="6">
        <f t="shared" si="41"/>
        <v>0</v>
      </c>
      <c r="K52" s="2"/>
      <c r="L52" s="7">
        <f t="shared" si="42"/>
        <v>-150.84</v>
      </c>
      <c r="M52" s="2"/>
      <c r="N52" s="6">
        <f t="shared" si="43"/>
        <v>-1</v>
      </c>
      <c r="O52" s="11"/>
      <c r="P52" s="7"/>
      <c r="Q52" s="2"/>
      <c r="R52" s="6">
        <f t="shared" si="44"/>
        <v>0</v>
      </c>
      <c r="S52" s="2"/>
      <c r="T52" s="7">
        <v>9798.2199999999993</v>
      </c>
      <c r="U52" s="2"/>
      <c r="V52" s="6">
        <f t="shared" si="45"/>
        <v>0</v>
      </c>
      <c r="W52" s="2"/>
      <c r="X52" s="7">
        <f t="shared" si="46"/>
        <v>-9798.2199999999993</v>
      </c>
      <c r="Y52" s="2"/>
      <c r="Z52" s="6">
        <f t="shared" si="47"/>
        <v>-1</v>
      </c>
    </row>
    <row r="53" spans="1:26" s="25" customFormat="1" outlineLevel="1" collapsed="1" x14ac:dyDescent="0.25">
      <c r="A53" s="26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SUM(OSRRefD22_8x_0)</f>
        <v>0</v>
      </c>
      <c r="E53" s="1"/>
      <c r="F53" s="5">
        <f t="shared" si="40"/>
        <v>0</v>
      </c>
      <c r="G53" s="1"/>
      <c r="H53" s="1">
        <f>SUM(OSRRefH22_8x_0)</f>
        <v>152.4</v>
      </c>
      <c r="I53" s="1"/>
      <c r="J53" s="5">
        <f t="shared" si="41"/>
        <v>0</v>
      </c>
      <c r="K53" s="1"/>
      <c r="L53" s="1">
        <f t="shared" si="42"/>
        <v>-152.4</v>
      </c>
      <c r="M53" s="1"/>
      <c r="N53" s="5">
        <f t="shared" si="43"/>
        <v>-1</v>
      </c>
      <c r="O53" s="13"/>
      <c r="P53" s="1">
        <f>SUM(OSRRefP22_8x_0)</f>
        <v>0</v>
      </c>
      <c r="Q53" s="1"/>
      <c r="R53" s="5">
        <f t="shared" si="44"/>
        <v>0</v>
      </c>
      <c r="S53" s="1"/>
      <c r="T53" s="1">
        <f>SUM(OSRRefT22_8x_0)</f>
        <v>825.75</v>
      </c>
      <c r="U53" s="1"/>
      <c r="V53" s="5">
        <f t="shared" si="45"/>
        <v>0</v>
      </c>
      <c r="W53" s="1"/>
      <c r="X53" s="1">
        <f t="shared" si="46"/>
        <v>-825.75</v>
      </c>
      <c r="Y53" s="1"/>
      <c r="Z53" s="5">
        <f t="shared" si="47"/>
        <v>-1</v>
      </c>
    </row>
    <row r="54" spans="1:26" s="24" customFormat="1" hidden="1" outlineLevel="2" x14ac:dyDescent="0.25">
      <c r="A54" s="27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40"/>
        <v>0</v>
      </c>
      <c r="G54" s="2"/>
      <c r="H54" s="7">
        <v>152.4</v>
      </c>
      <c r="I54" s="2"/>
      <c r="J54" s="6">
        <f t="shared" si="41"/>
        <v>0</v>
      </c>
      <c r="K54" s="2"/>
      <c r="L54" s="7">
        <f t="shared" si="42"/>
        <v>-152.4</v>
      </c>
      <c r="M54" s="2"/>
      <c r="N54" s="6">
        <f t="shared" si="43"/>
        <v>-1</v>
      </c>
      <c r="O54" s="11"/>
      <c r="P54" s="7"/>
      <c r="Q54" s="2"/>
      <c r="R54" s="6">
        <f t="shared" si="44"/>
        <v>0</v>
      </c>
      <c r="S54" s="2"/>
      <c r="T54" s="7">
        <v>825.75</v>
      </c>
      <c r="U54" s="2"/>
      <c r="V54" s="6">
        <f t="shared" si="45"/>
        <v>0</v>
      </c>
      <c r="W54" s="2"/>
      <c r="X54" s="7">
        <f t="shared" si="46"/>
        <v>-825.75</v>
      </c>
      <c r="Y54" s="2"/>
      <c r="Z54" s="6">
        <f t="shared" si="47"/>
        <v>-1</v>
      </c>
    </row>
    <row r="55" spans="1:26" s="25" customFormat="1" outlineLevel="1" collapsed="1" x14ac:dyDescent="0.25">
      <c r="A55" s="26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SUM(OSRRefD22_9x_0)</f>
        <v>91.26</v>
      </c>
      <c r="E55" s="1"/>
      <c r="F55" s="5">
        <f t="shared" si="40"/>
        <v>0</v>
      </c>
      <c r="G55" s="1"/>
      <c r="H55" s="1">
        <f>SUM(OSRRefH22_9x_0)</f>
        <v>0</v>
      </c>
      <c r="I55" s="1"/>
      <c r="J55" s="5">
        <f t="shared" si="41"/>
        <v>0</v>
      </c>
      <c r="K55" s="1"/>
      <c r="L55" s="1">
        <f t="shared" si="42"/>
        <v>91.26</v>
      </c>
      <c r="M55" s="1"/>
      <c r="N55" s="5">
        <f t="shared" si="43"/>
        <v>0</v>
      </c>
      <c r="O55" s="13"/>
      <c r="P55" s="1">
        <f>SUM(OSRRefP22_9x_0)</f>
        <v>1195.3399999999999</v>
      </c>
      <c r="Q55" s="1"/>
      <c r="R55" s="5">
        <f t="shared" si="44"/>
        <v>0</v>
      </c>
      <c r="S55" s="1"/>
      <c r="T55" s="1">
        <f>SUM(OSRRefT22_9x_0)</f>
        <v>0</v>
      </c>
      <c r="U55" s="1"/>
      <c r="V55" s="5">
        <f t="shared" si="45"/>
        <v>0</v>
      </c>
      <c r="W55" s="1"/>
      <c r="X55" s="1">
        <f t="shared" si="46"/>
        <v>1195.3399999999999</v>
      </c>
      <c r="Y55" s="1"/>
      <c r="Z55" s="5">
        <f t="shared" si="47"/>
        <v>0</v>
      </c>
    </row>
    <row r="56" spans="1:26" s="24" customFormat="1" hidden="1" outlineLevel="2" x14ac:dyDescent="0.25">
      <c r="A56" s="27"/>
      <c r="B56" s="11" t="str">
        <f>CONCATENATE("          ", "6351", " - ", "EQUIPMENT RENTAL")</f>
        <v xml:space="preserve">          6351 - EQUIPMENT RENTAL</v>
      </c>
      <c r="C56" s="11"/>
      <c r="D56" s="7">
        <v>91.26</v>
      </c>
      <c r="E56" s="2"/>
      <c r="F56" s="6">
        <f t="shared" si="40"/>
        <v>0</v>
      </c>
      <c r="G56" s="2"/>
      <c r="H56" s="7"/>
      <c r="I56" s="2"/>
      <c r="J56" s="6">
        <f t="shared" si="41"/>
        <v>0</v>
      </c>
      <c r="K56" s="2"/>
      <c r="L56" s="7">
        <f t="shared" si="42"/>
        <v>91.26</v>
      </c>
      <c r="M56" s="2"/>
      <c r="N56" s="6">
        <f t="shared" si="43"/>
        <v>0</v>
      </c>
      <c r="O56" s="11"/>
      <c r="P56" s="7">
        <v>1195.3399999999999</v>
      </c>
      <c r="Q56" s="2"/>
      <c r="R56" s="6">
        <f t="shared" si="44"/>
        <v>0</v>
      </c>
      <c r="S56" s="2"/>
      <c r="T56" s="7"/>
      <c r="U56" s="2"/>
      <c r="V56" s="6">
        <f t="shared" si="45"/>
        <v>0</v>
      </c>
      <c r="W56" s="2"/>
      <c r="X56" s="7">
        <f t="shared" si="46"/>
        <v>1195.3399999999999</v>
      </c>
      <c r="Y56" s="2"/>
      <c r="Z56" s="6">
        <f t="shared" si="47"/>
        <v>0</v>
      </c>
    </row>
    <row r="57" spans="1:26" s="25" customFormat="1" outlineLevel="1" collapsed="1" x14ac:dyDescent="0.25">
      <c r="A57" s="26"/>
      <c r="B57" s="13" t="str">
        <f>CONCATENATE("     ","Freight out/Postage                               ")</f>
        <v xml:space="preserve">     Freight out/Postage                               </v>
      </c>
      <c r="C57" s="13"/>
      <c r="D57" s="1">
        <f>SUM(OSRRefD22_10x_0)</f>
        <v>15.95</v>
      </c>
      <c r="E57" s="1"/>
      <c r="F57" s="5">
        <f t="shared" si="40"/>
        <v>0</v>
      </c>
      <c r="G57" s="1"/>
      <c r="H57" s="1">
        <f>SUM(OSRRefH22_10x_0)</f>
        <v>0</v>
      </c>
      <c r="I57" s="1"/>
      <c r="J57" s="5">
        <f t="shared" si="41"/>
        <v>0</v>
      </c>
      <c r="K57" s="1"/>
      <c r="L57" s="1">
        <f t="shared" si="42"/>
        <v>15.95</v>
      </c>
      <c r="M57" s="1"/>
      <c r="N57" s="5">
        <f t="shared" si="43"/>
        <v>0</v>
      </c>
      <c r="O57" s="13"/>
      <c r="P57" s="1">
        <f>SUM(OSRRefP22_10x_0)</f>
        <v>679.75</v>
      </c>
      <c r="Q57" s="1"/>
      <c r="R57" s="5">
        <f t="shared" si="44"/>
        <v>0</v>
      </c>
      <c r="S57" s="1"/>
      <c r="T57" s="1">
        <f>SUM(OSRRefT22_10x_0)</f>
        <v>14.39</v>
      </c>
      <c r="U57" s="1"/>
      <c r="V57" s="5">
        <f t="shared" si="45"/>
        <v>0</v>
      </c>
      <c r="W57" s="1"/>
      <c r="X57" s="1">
        <f t="shared" si="46"/>
        <v>665.36</v>
      </c>
      <c r="Y57" s="1"/>
      <c r="Z57" s="5">
        <f t="shared" si="47"/>
        <v>46.237665045170253</v>
      </c>
    </row>
    <row r="58" spans="1:26" s="24" customFormat="1" hidden="1" outlineLevel="2" x14ac:dyDescent="0.25">
      <c r="A58" s="27"/>
      <c r="B58" s="11" t="str">
        <f>CONCATENATE("          ", "6307", " - ", "POSTAGE")</f>
        <v xml:space="preserve">          6307 - POSTAGE</v>
      </c>
      <c r="C58" s="11"/>
      <c r="D58" s="7">
        <v>15.95</v>
      </c>
      <c r="E58" s="2"/>
      <c r="F58" s="6">
        <f t="shared" si="40"/>
        <v>0</v>
      </c>
      <c r="G58" s="2"/>
      <c r="H58" s="7"/>
      <c r="I58" s="2"/>
      <c r="J58" s="6">
        <f t="shared" si="41"/>
        <v>0</v>
      </c>
      <c r="K58" s="2"/>
      <c r="L58" s="7">
        <f t="shared" si="42"/>
        <v>15.95</v>
      </c>
      <c r="M58" s="2"/>
      <c r="N58" s="6">
        <f t="shared" si="43"/>
        <v>0</v>
      </c>
      <c r="O58" s="11"/>
      <c r="P58" s="7">
        <v>679.75</v>
      </c>
      <c r="Q58" s="2"/>
      <c r="R58" s="6">
        <f t="shared" si="44"/>
        <v>0</v>
      </c>
      <c r="S58" s="2"/>
      <c r="T58" s="7">
        <v>14.39</v>
      </c>
      <c r="U58" s="2"/>
      <c r="V58" s="6">
        <f t="shared" si="45"/>
        <v>0</v>
      </c>
      <c r="W58" s="2"/>
      <c r="X58" s="7">
        <f t="shared" si="46"/>
        <v>665.36</v>
      </c>
      <c r="Y58" s="2"/>
      <c r="Z58" s="6">
        <f t="shared" si="47"/>
        <v>46.237665045170253</v>
      </c>
    </row>
    <row r="59" spans="1:26" s="25" customFormat="1" outlineLevel="1" collapsed="1" x14ac:dyDescent="0.25">
      <c r="A59" s="26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SUM(OSRRefD22_11x_0)</f>
        <v>300</v>
      </c>
      <c r="E59" s="1"/>
      <c r="F59" s="5">
        <f t="shared" si="40"/>
        <v>0</v>
      </c>
      <c r="G59" s="1"/>
      <c r="H59" s="1">
        <f>SUM(OSRRefH22_11x_0)</f>
        <v>1710.22</v>
      </c>
      <c r="I59" s="1"/>
      <c r="J59" s="5">
        <f t="shared" si="41"/>
        <v>0</v>
      </c>
      <c r="K59" s="1"/>
      <c r="L59" s="1">
        <f t="shared" si="42"/>
        <v>-1410.22</v>
      </c>
      <c r="M59" s="1"/>
      <c r="N59" s="5">
        <f t="shared" si="43"/>
        <v>-0.82458397165276986</v>
      </c>
      <c r="O59" s="13"/>
      <c r="P59" s="1">
        <f>SUM(OSRRefP22_11x_0)</f>
        <v>1167.81</v>
      </c>
      <c r="Q59" s="1"/>
      <c r="R59" s="5">
        <f t="shared" si="44"/>
        <v>0</v>
      </c>
      <c r="S59" s="1"/>
      <c r="T59" s="1">
        <f>SUM(OSRRefT22_11x_0)</f>
        <v>-11970.76</v>
      </c>
      <c r="U59" s="1"/>
      <c r="V59" s="5">
        <f t="shared" si="45"/>
        <v>0</v>
      </c>
      <c r="W59" s="1"/>
      <c r="X59" s="1">
        <f t="shared" si="46"/>
        <v>13138.57</v>
      </c>
      <c r="Y59" s="1"/>
      <c r="Z59" s="5">
        <f t="shared" si="47"/>
        <v>-1.0975552095272145</v>
      </c>
    </row>
    <row r="60" spans="1:26" s="24" customFormat="1" hidden="1" outlineLevel="2" x14ac:dyDescent="0.25">
      <c r="A60" s="27"/>
      <c r="B60" s="11" t="str">
        <f>CONCATENATE("          ", "6279", " - ", "GENERAL EXPENSE")</f>
        <v xml:space="preserve">          6279 - GENERAL EXPENSE</v>
      </c>
      <c r="C60" s="11"/>
      <c r="D60" s="7">
        <v>300</v>
      </c>
      <c r="E60" s="2"/>
      <c r="F60" s="6">
        <f t="shared" si="40"/>
        <v>0</v>
      </c>
      <c r="G60" s="2"/>
      <c r="H60" s="7">
        <v>1710.22</v>
      </c>
      <c r="I60" s="2"/>
      <c r="J60" s="6">
        <f t="shared" si="41"/>
        <v>0</v>
      </c>
      <c r="K60" s="2"/>
      <c r="L60" s="7">
        <f t="shared" si="42"/>
        <v>-1410.22</v>
      </c>
      <c r="M60" s="2"/>
      <c r="N60" s="6">
        <f t="shared" si="43"/>
        <v>-0.82458397165276986</v>
      </c>
      <c r="O60" s="11"/>
      <c r="P60" s="7">
        <v>1167.81</v>
      </c>
      <c r="Q60" s="2"/>
      <c r="R60" s="6">
        <f t="shared" si="44"/>
        <v>0</v>
      </c>
      <c r="S60" s="2"/>
      <c r="T60" s="7">
        <v>-11970.76</v>
      </c>
      <c r="U60" s="2"/>
      <c r="V60" s="6">
        <f t="shared" si="45"/>
        <v>0</v>
      </c>
      <c r="W60" s="2"/>
      <c r="X60" s="7">
        <f t="shared" si="46"/>
        <v>13138.57</v>
      </c>
      <c r="Y60" s="2"/>
      <c r="Z60" s="6">
        <f t="shared" si="47"/>
        <v>-1.0975552095272145</v>
      </c>
    </row>
    <row r="61" spans="1:26" s="25" customFormat="1" outlineLevel="1" collapsed="1" x14ac:dyDescent="0.25">
      <c r="A61" s="26"/>
      <c r="B61" s="13" t="str">
        <f>CONCATENATE("     ","Insurance                                         ")</f>
        <v xml:space="preserve">     Insurance                                         </v>
      </c>
      <c r="C61" s="13"/>
      <c r="D61" s="1">
        <f>SUM(OSRRefD22_12x_0)</f>
        <v>3883.56</v>
      </c>
      <c r="E61" s="1"/>
      <c r="F61" s="5">
        <f t="shared" si="40"/>
        <v>0</v>
      </c>
      <c r="G61" s="1"/>
      <c r="H61" s="1">
        <f>SUM(OSRRefH22_12x_0)</f>
        <v>3883.56</v>
      </c>
      <c r="I61" s="1"/>
      <c r="J61" s="5">
        <f t="shared" si="41"/>
        <v>0</v>
      </c>
      <c r="K61" s="1"/>
      <c r="L61" s="1">
        <f t="shared" si="42"/>
        <v>0</v>
      </c>
      <c r="M61" s="1"/>
      <c r="N61" s="5">
        <f t="shared" si="43"/>
        <v>0</v>
      </c>
      <c r="O61" s="13"/>
      <c r="P61" s="1">
        <f>SUM(OSRRefP22_12x_0)</f>
        <v>23301.360000000001</v>
      </c>
      <c r="Q61" s="1"/>
      <c r="R61" s="5">
        <f t="shared" si="44"/>
        <v>0</v>
      </c>
      <c r="S61" s="1"/>
      <c r="T61" s="1">
        <f>SUM(OSRRefT22_12x_0)</f>
        <v>23301.360000000001</v>
      </c>
      <c r="U61" s="1"/>
      <c r="V61" s="5">
        <f t="shared" si="45"/>
        <v>0</v>
      </c>
      <c r="W61" s="1"/>
      <c r="X61" s="1">
        <f t="shared" si="46"/>
        <v>0</v>
      </c>
      <c r="Y61" s="1"/>
      <c r="Z61" s="5">
        <f t="shared" si="47"/>
        <v>0</v>
      </c>
    </row>
    <row r="62" spans="1:26" s="24" customFormat="1" hidden="1" outlineLevel="2" x14ac:dyDescent="0.25">
      <c r="A62" s="27"/>
      <c r="B62" s="11" t="str">
        <f>CONCATENATE("          ", "6314", " - ", "LIABILITY INSURANCE")</f>
        <v xml:space="preserve">          6314 - LIABILITY INSURANCE</v>
      </c>
      <c r="C62" s="11"/>
      <c r="D62" s="7">
        <v>3883.56</v>
      </c>
      <c r="E62" s="2"/>
      <c r="F62" s="6">
        <f t="shared" si="40"/>
        <v>0</v>
      </c>
      <c r="G62" s="2"/>
      <c r="H62" s="7">
        <v>3883.56</v>
      </c>
      <c r="I62" s="2"/>
      <c r="J62" s="6">
        <f t="shared" si="41"/>
        <v>0</v>
      </c>
      <c r="K62" s="2"/>
      <c r="L62" s="7">
        <f t="shared" si="42"/>
        <v>0</v>
      </c>
      <c r="M62" s="2"/>
      <c r="N62" s="6">
        <f t="shared" si="43"/>
        <v>0</v>
      </c>
      <c r="O62" s="11"/>
      <c r="P62" s="7">
        <v>23301.360000000001</v>
      </c>
      <c r="Q62" s="2"/>
      <c r="R62" s="6">
        <f t="shared" si="44"/>
        <v>0</v>
      </c>
      <c r="S62" s="2"/>
      <c r="T62" s="7">
        <v>23301.360000000001</v>
      </c>
      <c r="U62" s="2"/>
      <c r="V62" s="6">
        <f t="shared" si="45"/>
        <v>0</v>
      </c>
      <c r="W62" s="2"/>
      <c r="X62" s="7">
        <f t="shared" si="46"/>
        <v>0</v>
      </c>
      <c r="Y62" s="2"/>
      <c r="Z62" s="6">
        <f t="shared" si="47"/>
        <v>0</v>
      </c>
    </row>
    <row r="63" spans="1:26" s="25" customFormat="1" outlineLevel="1" collapsed="1" x14ac:dyDescent="0.25">
      <c r="A63" s="26"/>
      <c r="B63" s="13" t="str">
        <f>CONCATENATE("     ","Professional Services                             ")</f>
        <v xml:space="preserve">     Professional Services                             </v>
      </c>
      <c r="C63" s="13"/>
      <c r="D63" s="1">
        <f>SUM(OSRRefD22_13x_0)</f>
        <v>0</v>
      </c>
      <c r="E63" s="1"/>
      <c r="F63" s="5">
        <f t="shared" si="40"/>
        <v>0</v>
      </c>
      <c r="G63" s="1"/>
      <c r="H63" s="1">
        <f>SUM(OSRRefH22_13x_0)</f>
        <v>0</v>
      </c>
      <c r="I63" s="1"/>
      <c r="J63" s="5">
        <f t="shared" si="41"/>
        <v>0</v>
      </c>
      <c r="K63" s="1"/>
      <c r="L63" s="1">
        <f t="shared" si="42"/>
        <v>0</v>
      </c>
      <c r="M63" s="1"/>
      <c r="N63" s="5">
        <f t="shared" si="43"/>
        <v>0</v>
      </c>
      <c r="O63" s="13"/>
      <c r="P63" s="1">
        <f>SUM(OSRRefP22_13x_0)</f>
        <v>0</v>
      </c>
      <c r="Q63" s="1"/>
      <c r="R63" s="5">
        <f t="shared" si="44"/>
        <v>0</v>
      </c>
      <c r="S63" s="1"/>
      <c r="T63" s="1">
        <f>SUM(OSRRefT22_13x_0)</f>
        <v>4658.41</v>
      </c>
      <c r="U63" s="1"/>
      <c r="V63" s="5">
        <f t="shared" si="45"/>
        <v>0</v>
      </c>
      <c r="W63" s="1"/>
      <c r="X63" s="1">
        <f t="shared" si="46"/>
        <v>-4658.41</v>
      </c>
      <c r="Y63" s="1"/>
      <c r="Z63" s="5">
        <f t="shared" si="47"/>
        <v>-1</v>
      </c>
    </row>
    <row r="64" spans="1:26" s="24" customFormat="1" hidden="1" outlineLevel="2" x14ac:dyDescent="0.25">
      <c r="A64" s="27"/>
      <c r="B64" s="11" t="str">
        <f>CONCATENATE("          ", "6336", " - ", "PROFESSIONAL SERVICES")</f>
        <v xml:space="preserve">          6336 - PROFESSIONAL SERVICES</v>
      </c>
      <c r="C64" s="11"/>
      <c r="D64" s="7"/>
      <c r="E64" s="2"/>
      <c r="F64" s="6">
        <f t="shared" si="40"/>
        <v>0</v>
      </c>
      <c r="G64" s="2"/>
      <c r="H64" s="7"/>
      <c r="I64" s="2"/>
      <c r="J64" s="6">
        <f t="shared" si="41"/>
        <v>0</v>
      </c>
      <c r="K64" s="2"/>
      <c r="L64" s="7">
        <f t="shared" si="42"/>
        <v>0</v>
      </c>
      <c r="M64" s="2"/>
      <c r="N64" s="6">
        <f t="shared" si="43"/>
        <v>0</v>
      </c>
      <c r="O64" s="11"/>
      <c r="P64" s="7"/>
      <c r="Q64" s="2"/>
      <c r="R64" s="6">
        <f t="shared" si="44"/>
        <v>0</v>
      </c>
      <c r="S64" s="2"/>
      <c r="T64" s="7">
        <v>4658.41</v>
      </c>
      <c r="U64" s="2"/>
      <c r="V64" s="6">
        <f t="shared" si="45"/>
        <v>0</v>
      </c>
      <c r="W64" s="2"/>
      <c r="X64" s="7">
        <f t="shared" si="46"/>
        <v>-4658.41</v>
      </c>
      <c r="Y64" s="2"/>
      <c r="Z64" s="6">
        <f t="shared" si="47"/>
        <v>-1</v>
      </c>
    </row>
    <row r="65" spans="1:26" s="25" customFormat="1" outlineLevel="1" collapsed="1" x14ac:dyDescent="0.25">
      <c r="A65" s="26"/>
      <c r="B65" s="13" t="str">
        <f>CONCATENATE("     ","Rent                                              ")</f>
        <v xml:space="preserve">     Rent                                              </v>
      </c>
      <c r="C65" s="13"/>
      <c r="D65" s="1">
        <f>SUM(OSRRefD22_14x_0)</f>
        <v>-800</v>
      </c>
      <c r="E65" s="1"/>
      <c r="F65" s="5">
        <f t="shared" si="40"/>
        <v>0</v>
      </c>
      <c r="G65" s="1"/>
      <c r="H65" s="1">
        <f>SUM(OSRRefH22_14x_0)</f>
        <v>-800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3"/>
      <c r="P65" s="1">
        <f>SUM(OSRRefP22_14x_0)</f>
        <v>-4800</v>
      </c>
      <c r="Q65" s="1"/>
      <c r="R65" s="5">
        <f t="shared" si="44"/>
        <v>0</v>
      </c>
      <c r="S65" s="1"/>
      <c r="T65" s="1">
        <f>SUM(OSRRefT22_14x_0)</f>
        <v>-4800</v>
      </c>
      <c r="U65" s="1"/>
      <c r="V65" s="5">
        <f t="shared" si="45"/>
        <v>0</v>
      </c>
      <c r="W65" s="1"/>
      <c r="X65" s="1">
        <f t="shared" si="46"/>
        <v>0</v>
      </c>
      <c r="Y65" s="1"/>
      <c r="Z65" s="5">
        <f t="shared" si="47"/>
        <v>0</v>
      </c>
    </row>
    <row r="66" spans="1:26" s="24" customFormat="1" hidden="1" outlineLevel="2" x14ac:dyDescent="0.25">
      <c r="A66" s="27"/>
      <c r="B66" s="11" t="str">
        <f>CONCATENATE("          ", "6273", " - ", "RENT")</f>
        <v xml:space="preserve">          6273 - RENT</v>
      </c>
      <c r="C66" s="11"/>
      <c r="D66" s="7">
        <v>-800</v>
      </c>
      <c r="E66" s="2"/>
      <c r="F66" s="6">
        <f t="shared" si="40"/>
        <v>0</v>
      </c>
      <c r="G66" s="2"/>
      <c r="H66" s="7">
        <v>-800</v>
      </c>
      <c r="I66" s="2"/>
      <c r="J66" s="6">
        <f t="shared" si="41"/>
        <v>0</v>
      </c>
      <c r="K66" s="2"/>
      <c r="L66" s="7">
        <f t="shared" si="42"/>
        <v>0</v>
      </c>
      <c r="M66" s="2"/>
      <c r="N66" s="6">
        <f t="shared" si="43"/>
        <v>0</v>
      </c>
      <c r="O66" s="11"/>
      <c r="P66" s="7">
        <v>-4800</v>
      </c>
      <c r="Q66" s="2"/>
      <c r="R66" s="6">
        <f t="shared" si="44"/>
        <v>0</v>
      </c>
      <c r="S66" s="2"/>
      <c r="T66" s="7">
        <v>-4800</v>
      </c>
      <c r="U66" s="2"/>
      <c r="V66" s="6">
        <f t="shared" si="45"/>
        <v>0</v>
      </c>
      <c r="W66" s="2"/>
      <c r="X66" s="7">
        <f t="shared" si="46"/>
        <v>0</v>
      </c>
      <c r="Y66" s="2"/>
      <c r="Z66" s="6">
        <f t="shared" si="47"/>
        <v>0</v>
      </c>
    </row>
    <row r="67" spans="1:26" s="25" customFormat="1" outlineLevel="1" collapsed="1" x14ac:dyDescent="0.25">
      <c r="A67" s="26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SUM(OSRRefD22_15x_0)</f>
        <v>2967.36</v>
      </c>
      <c r="E67" s="1"/>
      <c r="F67" s="5">
        <f t="shared" si="40"/>
        <v>0</v>
      </c>
      <c r="G67" s="1"/>
      <c r="H67" s="1">
        <f>SUM(OSRRefH22_15x_0)</f>
        <v>4621.57</v>
      </c>
      <c r="I67" s="1"/>
      <c r="J67" s="5">
        <f t="shared" si="41"/>
        <v>0</v>
      </c>
      <c r="K67" s="1"/>
      <c r="L67" s="1">
        <f t="shared" si="42"/>
        <v>-1654.2099999999996</v>
      </c>
      <c r="M67" s="1"/>
      <c r="N67" s="5">
        <f t="shared" si="43"/>
        <v>-0.35793247749141521</v>
      </c>
      <c r="O67" s="13"/>
      <c r="P67" s="1">
        <f>SUM(OSRRefP22_15x_0)</f>
        <v>79304.08</v>
      </c>
      <c r="Q67" s="1"/>
      <c r="R67" s="5">
        <f t="shared" si="44"/>
        <v>0</v>
      </c>
      <c r="S67" s="1"/>
      <c r="T67" s="1">
        <f>SUM(OSRRefT22_15x_0)</f>
        <v>44838.68</v>
      </c>
      <c r="U67" s="1"/>
      <c r="V67" s="5">
        <f t="shared" si="45"/>
        <v>0</v>
      </c>
      <c r="W67" s="1"/>
      <c r="X67" s="1">
        <f t="shared" si="46"/>
        <v>34465.4</v>
      </c>
      <c r="Y67" s="1"/>
      <c r="Z67" s="5">
        <f t="shared" si="47"/>
        <v>0.76865331450435204</v>
      </c>
    </row>
    <row r="68" spans="1:26" s="24" customFormat="1" hidden="1" outlineLevel="2" x14ac:dyDescent="0.25">
      <c r="A68" s="27"/>
      <c r="B68" s="11" t="str">
        <f>CONCATENATE("          ", "6371", " - ", "COMPUTER SOFTWARE MAINTENANCE")</f>
        <v xml:space="preserve">          6371 - COMPUTER SOFTWARE MAINTENANCE</v>
      </c>
      <c r="C68" s="11"/>
      <c r="D68" s="7"/>
      <c r="E68" s="2"/>
      <c r="F68" s="6">
        <f t="shared" si="40"/>
        <v>0</v>
      </c>
      <c r="G68" s="2"/>
      <c r="H68" s="7">
        <v>601</v>
      </c>
      <c r="I68" s="2"/>
      <c r="J68" s="6">
        <f t="shared" si="41"/>
        <v>0</v>
      </c>
      <c r="K68" s="2"/>
      <c r="L68" s="7">
        <f t="shared" si="42"/>
        <v>-601</v>
      </c>
      <c r="M68" s="2"/>
      <c r="N68" s="6">
        <f t="shared" si="43"/>
        <v>-1</v>
      </c>
      <c r="O68" s="11"/>
      <c r="P68" s="7">
        <v>58428.780000000006</v>
      </c>
      <c r="Q68" s="2"/>
      <c r="R68" s="6">
        <f t="shared" si="44"/>
        <v>0</v>
      </c>
      <c r="S68" s="2"/>
      <c r="T68" s="7">
        <v>13953.4</v>
      </c>
      <c r="U68" s="2"/>
      <c r="V68" s="6">
        <f t="shared" si="45"/>
        <v>0</v>
      </c>
      <c r="W68" s="2"/>
      <c r="X68" s="7">
        <f t="shared" si="46"/>
        <v>44475.380000000005</v>
      </c>
      <c r="Y68" s="2"/>
      <c r="Z68" s="6">
        <f t="shared" si="47"/>
        <v>3.1874224203419961</v>
      </c>
    </row>
    <row r="69" spans="1:26" s="24" customFormat="1" hidden="1" outlineLevel="2" x14ac:dyDescent="0.25">
      <c r="A69" s="27"/>
      <c r="B69" s="11" t="str">
        <f>CONCATENATE("          ", "6372", " - ", "COMPUTER HARDWARE MAINTENANCE")</f>
        <v xml:space="preserve">          6372 - COMPUTER HARDWARE MAINTENANCE</v>
      </c>
      <c r="C69" s="11"/>
      <c r="D69" s="7"/>
      <c r="E69" s="2"/>
      <c r="F69" s="6">
        <f t="shared" si="40"/>
        <v>0</v>
      </c>
      <c r="G69" s="2"/>
      <c r="H69" s="7"/>
      <c r="I69" s="2"/>
      <c r="J69" s="6">
        <f t="shared" si="41"/>
        <v>0</v>
      </c>
      <c r="K69" s="2"/>
      <c r="L69" s="7">
        <f t="shared" si="42"/>
        <v>0</v>
      </c>
      <c r="M69" s="2"/>
      <c r="N69" s="6">
        <f t="shared" si="43"/>
        <v>0</v>
      </c>
      <c r="O69" s="11"/>
      <c r="P69" s="7">
        <v>0</v>
      </c>
      <c r="Q69" s="2"/>
      <c r="R69" s="6">
        <f t="shared" si="44"/>
        <v>0</v>
      </c>
      <c r="S69" s="2"/>
      <c r="T69" s="7"/>
      <c r="U69" s="2"/>
      <c r="V69" s="6">
        <f t="shared" si="45"/>
        <v>0</v>
      </c>
      <c r="W69" s="2"/>
      <c r="X69" s="7">
        <f t="shared" si="46"/>
        <v>0</v>
      </c>
      <c r="Y69" s="2"/>
      <c r="Z69" s="6">
        <f t="shared" si="47"/>
        <v>0</v>
      </c>
    </row>
    <row r="70" spans="1:26" s="24" customFormat="1" hidden="1" outlineLevel="2" x14ac:dyDescent="0.25">
      <c r="A70" s="27"/>
      <c r="B70" s="11" t="str">
        <f>CONCATENATE("          ", "6373", " - ", "MAINTENANCE CONTRACTS")</f>
        <v xml:space="preserve">          6373 - MAINTENANCE CONTRACTS</v>
      </c>
      <c r="C70" s="11"/>
      <c r="D70" s="7">
        <v>2922.36</v>
      </c>
      <c r="E70" s="2"/>
      <c r="F70" s="6">
        <f t="shared" si="40"/>
        <v>0</v>
      </c>
      <c r="G70" s="2"/>
      <c r="H70" s="7">
        <v>1022.32</v>
      </c>
      <c r="I70" s="2"/>
      <c r="J70" s="6">
        <f t="shared" si="41"/>
        <v>0</v>
      </c>
      <c r="K70" s="2"/>
      <c r="L70" s="7">
        <f t="shared" si="42"/>
        <v>1900.04</v>
      </c>
      <c r="M70" s="2"/>
      <c r="N70" s="6">
        <f t="shared" si="43"/>
        <v>1.8585570075905782</v>
      </c>
      <c r="O70" s="11"/>
      <c r="P70" s="7">
        <v>9138.74</v>
      </c>
      <c r="Q70" s="2"/>
      <c r="R70" s="6">
        <f t="shared" si="44"/>
        <v>0</v>
      </c>
      <c r="S70" s="2"/>
      <c r="T70" s="7">
        <v>3136.37</v>
      </c>
      <c r="U70" s="2"/>
      <c r="V70" s="6">
        <f t="shared" si="45"/>
        <v>0</v>
      </c>
      <c r="W70" s="2"/>
      <c r="X70" s="7">
        <f t="shared" si="46"/>
        <v>6002.37</v>
      </c>
      <c r="Y70" s="2"/>
      <c r="Z70" s="6">
        <f t="shared" si="47"/>
        <v>1.9137952473719619</v>
      </c>
    </row>
    <row r="71" spans="1:26" s="24" customFormat="1" hidden="1" outlineLevel="2" x14ac:dyDescent="0.25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7">
        <v>45</v>
      </c>
      <c r="E71" s="2"/>
      <c r="F71" s="6">
        <f t="shared" si="40"/>
        <v>0</v>
      </c>
      <c r="G71" s="2"/>
      <c r="H71" s="7">
        <v>2998.25</v>
      </c>
      <c r="I71" s="2"/>
      <c r="J71" s="6">
        <f t="shared" si="41"/>
        <v>0</v>
      </c>
      <c r="K71" s="2"/>
      <c r="L71" s="7">
        <f t="shared" si="42"/>
        <v>-2953.25</v>
      </c>
      <c r="M71" s="2"/>
      <c r="N71" s="6">
        <f t="shared" si="43"/>
        <v>-0.98499124489285417</v>
      </c>
      <c r="O71" s="11"/>
      <c r="P71" s="7">
        <v>11736.56</v>
      </c>
      <c r="Q71" s="2"/>
      <c r="R71" s="6">
        <f t="shared" si="44"/>
        <v>0</v>
      </c>
      <c r="S71" s="2"/>
      <c r="T71" s="7">
        <v>27748.91</v>
      </c>
      <c r="U71" s="2"/>
      <c r="V71" s="6">
        <f t="shared" si="45"/>
        <v>0</v>
      </c>
      <c r="W71" s="2"/>
      <c r="X71" s="7">
        <f t="shared" si="46"/>
        <v>-16012.35</v>
      </c>
      <c r="Y71" s="2"/>
      <c r="Z71" s="6">
        <f t="shared" si="47"/>
        <v>-0.57704428750534709</v>
      </c>
    </row>
    <row r="72" spans="1:26" s="25" customFormat="1" outlineLevel="1" collapsed="1" x14ac:dyDescent="0.25">
      <c r="A72" s="26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SUM(OSRRefD22_16x_0)</f>
        <v>2269.62</v>
      </c>
      <c r="E72" s="1"/>
      <c r="F72" s="5">
        <f t="shared" ref="F72:F75" si="48">IF(D$12=0,0,D72/D$12)</f>
        <v>0</v>
      </c>
      <c r="G72" s="1"/>
      <c r="H72" s="1">
        <f>SUM(OSRRefH22_16x_0)</f>
        <v>4233.93</v>
      </c>
      <c r="I72" s="1"/>
      <c r="J72" s="5">
        <f t="shared" ref="J72:J75" si="49">IF(H$12=0,0,H72/H$12)</f>
        <v>0</v>
      </c>
      <c r="K72" s="1"/>
      <c r="L72" s="1">
        <f t="shared" ref="L72:L75" si="50">+D72-H72</f>
        <v>-1964.3100000000004</v>
      </c>
      <c r="M72" s="1"/>
      <c r="N72" s="5">
        <f t="shared" ref="N72:N75" si="51">IF(H72=0,0,L72/H72)</f>
        <v>-0.46394484556901039</v>
      </c>
      <c r="O72" s="13"/>
      <c r="P72" s="1">
        <f>SUM(OSRRefP22_16x_0)</f>
        <v>18972.43</v>
      </c>
      <c r="Q72" s="1"/>
      <c r="R72" s="5">
        <f t="shared" ref="R72:R75" si="52">IF(P$12=0,0,P72/P$12)</f>
        <v>0</v>
      </c>
      <c r="S72" s="1"/>
      <c r="T72" s="1">
        <f>SUM(OSRRefT22_16x_0)</f>
        <v>24158.910000000003</v>
      </c>
      <c r="U72" s="1"/>
      <c r="V72" s="5">
        <f t="shared" ref="V72:V75" si="53">IF(T$12=0,0,T72/T$12)</f>
        <v>0</v>
      </c>
      <c r="W72" s="1"/>
      <c r="X72" s="1">
        <f t="shared" ref="X72:X75" si="54">+P72-T72</f>
        <v>-5186.4800000000032</v>
      </c>
      <c r="Y72" s="1"/>
      <c r="Z72" s="5">
        <f t="shared" ref="Z72:Z75" si="55">IF(T72=0,0,X72/T72)</f>
        <v>-0.21468187099500774</v>
      </c>
    </row>
    <row r="73" spans="1:26" s="24" customFormat="1" hidden="1" outlineLevel="2" x14ac:dyDescent="0.25">
      <c r="A73" s="27"/>
      <c r="B73" s="11" t="str">
        <f>CONCATENATE("          ", "6282", " - ", "JANITORIAL/EXTERMINATOR EXPENS")</f>
        <v xml:space="preserve">          6282 - JANITORIAL/EXTERMINATOR EXPENS</v>
      </c>
      <c r="C73" s="11"/>
      <c r="D73" s="7"/>
      <c r="E73" s="2"/>
      <c r="F73" s="6">
        <f t="shared" si="48"/>
        <v>0</v>
      </c>
      <c r="G73" s="2"/>
      <c r="H73" s="7">
        <v>222.5</v>
      </c>
      <c r="I73" s="2"/>
      <c r="J73" s="6">
        <f t="shared" si="49"/>
        <v>0</v>
      </c>
      <c r="K73" s="2"/>
      <c r="L73" s="7">
        <f t="shared" si="50"/>
        <v>-222.5</v>
      </c>
      <c r="M73" s="2"/>
      <c r="N73" s="6">
        <f t="shared" si="51"/>
        <v>-1</v>
      </c>
      <c r="O73" s="11"/>
      <c r="P73" s="7">
        <v>5164.12</v>
      </c>
      <c r="Q73" s="2"/>
      <c r="R73" s="6">
        <f t="shared" si="52"/>
        <v>0</v>
      </c>
      <c r="S73" s="2"/>
      <c r="T73" s="7">
        <v>1335</v>
      </c>
      <c r="U73" s="2"/>
      <c r="V73" s="6">
        <f t="shared" si="53"/>
        <v>0</v>
      </c>
      <c r="W73" s="2"/>
      <c r="X73" s="7">
        <f t="shared" si="54"/>
        <v>3829.12</v>
      </c>
      <c r="Y73" s="2"/>
      <c r="Z73" s="6">
        <f t="shared" si="55"/>
        <v>2.8682546816479402</v>
      </c>
    </row>
    <row r="74" spans="1:26" s="24" customFormat="1" hidden="1" outlineLevel="2" x14ac:dyDescent="0.25">
      <c r="A74" s="27"/>
      <c r="B74" s="11" t="str">
        <f>CONCATENATE("          ", "6283", " - ", "PLANT SERVICE")</f>
        <v xml:space="preserve">          6283 - PLANT SERVICE</v>
      </c>
      <c r="C74" s="11"/>
      <c r="D74" s="7"/>
      <c r="E74" s="2"/>
      <c r="F74" s="6">
        <f t="shared" si="48"/>
        <v>0</v>
      </c>
      <c r="G74" s="2"/>
      <c r="H74" s="7"/>
      <c r="I74" s="2"/>
      <c r="J74" s="6">
        <f t="shared" si="49"/>
        <v>0</v>
      </c>
      <c r="K74" s="2"/>
      <c r="L74" s="7">
        <f t="shared" si="50"/>
        <v>0</v>
      </c>
      <c r="M74" s="2"/>
      <c r="N74" s="6">
        <f t="shared" si="51"/>
        <v>0</v>
      </c>
      <c r="O74" s="11"/>
      <c r="P74" s="7">
        <v>130</v>
      </c>
      <c r="Q74" s="2"/>
      <c r="R74" s="6">
        <f t="shared" si="52"/>
        <v>0</v>
      </c>
      <c r="S74" s="2"/>
      <c r="T74" s="7">
        <v>363.33</v>
      </c>
      <c r="U74" s="2"/>
      <c r="V74" s="6">
        <f t="shared" si="53"/>
        <v>0</v>
      </c>
      <c r="W74" s="2"/>
      <c r="X74" s="7">
        <f t="shared" si="54"/>
        <v>-233.32999999999998</v>
      </c>
      <c r="Y74" s="2"/>
      <c r="Z74" s="6">
        <f t="shared" si="55"/>
        <v>-0.6421985522802961</v>
      </c>
    </row>
    <row r="75" spans="1:26" s="24" customFormat="1" hidden="1" outlineLevel="2" x14ac:dyDescent="0.25">
      <c r="A75" s="27"/>
      <c r="B75" s="11" t="str">
        <f>CONCATENATE("          ", "6285", " - ", "JANITORIAL SERVICES")</f>
        <v xml:space="preserve">          6285 - JANITORIAL SERVICES</v>
      </c>
      <c r="C75" s="11"/>
      <c r="D75" s="7">
        <v>2269.62</v>
      </c>
      <c r="E75" s="2"/>
      <c r="F75" s="6">
        <f t="shared" si="48"/>
        <v>0</v>
      </c>
      <c r="G75" s="2"/>
      <c r="H75" s="7">
        <v>4011.43</v>
      </c>
      <c r="I75" s="2"/>
      <c r="J75" s="6">
        <f t="shared" si="49"/>
        <v>0</v>
      </c>
      <c r="K75" s="2"/>
      <c r="L75" s="7">
        <f t="shared" si="50"/>
        <v>-1741.81</v>
      </c>
      <c r="M75" s="2"/>
      <c r="N75" s="6">
        <f t="shared" si="51"/>
        <v>-0.43421173995308404</v>
      </c>
      <c r="O75" s="11"/>
      <c r="P75" s="7">
        <v>13678.31</v>
      </c>
      <c r="Q75" s="2"/>
      <c r="R75" s="6">
        <f t="shared" si="52"/>
        <v>0</v>
      </c>
      <c r="S75" s="2"/>
      <c r="T75" s="7">
        <v>22460.58</v>
      </c>
      <c r="U75" s="2"/>
      <c r="V75" s="6">
        <f t="shared" si="53"/>
        <v>0</v>
      </c>
      <c r="W75" s="2"/>
      <c r="X75" s="7">
        <f t="shared" si="54"/>
        <v>-8782.2700000000023</v>
      </c>
      <c r="Y75" s="2"/>
      <c r="Z75" s="6">
        <f t="shared" si="55"/>
        <v>-0.39100815740288103</v>
      </c>
    </row>
    <row r="76" spans="1:26" s="25" customFormat="1" outlineLevel="1" collapsed="1" x14ac:dyDescent="0.25">
      <c r="A76" s="26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SUM(OSRRefD22_17x_0)</f>
        <v>0</v>
      </c>
      <c r="E76" s="1"/>
      <c r="F76" s="5">
        <f t="shared" ref="F76:F84" si="56">IF(D$12=0,0,D76/D$12)</f>
        <v>0</v>
      </c>
      <c r="G76" s="1"/>
      <c r="H76" s="1">
        <f>SUM(OSRRefH22_17x_0)</f>
        <v>0</v>
      </c>
      <c r="I76" s="1"/>
      <c r="J76" s="5">
        <f t="shared" ref="J76:J84" si="57">IF(H$12=0,0,H76/H$12)</f>
        <v>0</v>
      </c>
      <c r="K76" s="1"/>
      <c r="L76" s="1">
        <f t="shared" ref="L76:L84" si="58">+D76-H76</f>
        <v>0</v>
      </c>
      <c r="M76" s="1"/>
      <c r="N76" s="5">
        <f t="shared" ref="N76:N84" si="59">IF(H76=0,0,L76/H76)</f>
        <v>0</v>
      </c>
      <c r="O76" s="13"/>
      <c r="P76" s="1">
        <f>SUM(OSRRefP22_17x_0)</f>
        <v>0</v>
      </c>
      <c r="Q76" s="1"/>
      <c r="R76" s="5">
        <f t="shared" ref="R76:R84" si="60">IF(P$12=0,0,P76/P$12)</f>
        <v>0</v>
      </c>
      <c r="S76" s="1"/>
      <c r="T76" s="1">
        <f>SUM(OSRRefT22_17x_0)</f>
        <v>405.3</v>
      </c>
      <c r="U76" s="1"/>
      <c r="V76" s="5">
        <f t="shared" ref="V76:V84" si="61">IF(T$12=0,0,T76/T$12)</f>
        <v>0</v>
      </c>
      <c r="W76" s="1"/>
      <c r="X76" s="1">
        <f t="shared" ref="X76:X84" si="62">+P76-T76</f>
        <v>-405.3</v>
      </c>
      <c r="Y76" s="1"/>
      <c r="Z76" s="5">
        <f t="shared" ref="Z76:Z84" si="63">IF(T76=0,0,X76/T76)</f>
        <v>-1</v>
      </c>
    </row>
    <row r="77" spans="1:26" s="24" customFormat="1" hidden="1" outlineLevel="2" x14ac:dyDescent="0.25">
      <c r="A77" s="27"/>
      <c r="B77" s="11" t="str">
        <f>CONCATENATE("          ", "6275", " - ", "SUBSCRIPTIONS")</f>
        <v xml:space="preserve">          6275 - SUBSCRIPTIONS</v>
      </c>
      <c r="C77" s="11"/>
      <c r="D77" s="7"/>
      <c r="E77" s="2"/>
      <c r="F77" s="6">
        <f t="shared" si="56"/>
        <v>0</v>
      </c>
      <c r="G77" s="2"/>
      <c r="H77" s="7"/>
      <c r="I77" s="2"/>
      <c r="J77" s="6">
        <f t="shared" si="57"/>
        <v>0</v>
      </c>
      <c r="K77" s="2"/>
      <c r="L77" s="7">
        <f t="shared" si="58"/>
        <v>0</v>
      </c>
      <c r="M77" s="2"/>
      <c r="N77" s="6">
        <f t="shared" si="59"/>
        <v>0</v>
      </c>
      <c r="O77" s="11"/>
      <c r="P77" s="7"/>
      <c r="Q77" s="2"/>
      <c r="R77" s="6">
        <f t="shared" si="60"/>
        <v>0</v>
      </c>
      <c r="S77" s="2"/>
      <c r="T77" s="7">
        <v>405.3</v>
      </c>
      <c r="U77" s="2"/>
      <c r="V77" s="6">
        <f t="shared" si="61"/>
        <v>0</v>
      </c>
      <c r="W77" s="2"/>
      <c r="X77" s="7">
        <f t="shared" si="62"/>
        <v>-405.3</v>
      </c>
      <c r="Y77" s="2"/>
      <c r="Z77" s="6">
        <f t="shared" si="63"/>
        <v>-1</v>
      </c>
    </row>
    <row r="78" spans="1:26" s="25" customFormat="1" outlineLevel="1" collapsed="1" x14ac:dyDescent="0.25">
      <c r="A78" s="26"/>
      <c r="B78" s="13" t="str">
        <f>CONCATENATE("     ","Supplies                                          ")</f>
        <v xml:space="preserve">     Supplies                                          </v>
      </c>
      <c r="C78" s="13"/>
      <c r="D78" s="1">
        <f>SUM(OSRRefD22_18x_0)</f>
        <v>3406.08</v>
      </c>
      <c r="E78" s="1"/>
      <c r="F78" s="5">
        <f t="shared" si="56"/>
        <v>0</v>
      </c>
      <c r="G78" s="1"/>
      <c r="H78" s="1">
        <f>SUM(OSRRefH22_18x_0)</f>
        <v>858.59</v>
      </c>
      <c r="I78" s="1"/>
      <c r="J78" s="5">
        <f t="shared" si="57"/>
        <v>0</v>
      </c>
      <c r="K78" s="1"/>
      <c r="L78" s="1">
        <f t="shared" si="58"/>
        <v>2547.4899999999998</v>
      </c>
      <c r="M78" s="1"/>
      <c r="N78" s="5">
        <f t="shared" si="59"/>
        <v>2.9670622765231363</v>
      </c>
      <c r="O78" s="13"/>
      <c r="P78" s="1">
        <f>SUM(OSRRefP22_18x_0)</f>
        <v>45302.47</v>
      </c>
      <c r="Q78" s="1"/>
      <c r="R78" s="5">
        <f t="shared" si="60"/>
        <v>0</v>
      </c>
      <c r="S78" s="1"/>
      <c r="T78" s="1">
        <f>SUM(OSRRefT22_18x_0)</f>
        <v>10322.48</v>
      </c>
      <c r="U78" s="1"/>
      <c r="V78" s="5">
        <f t="shared" si="61"/>
        <v>0</v>
      </c>
      <c r="W78" s="1"/>
      <c r="X78" s="1">
        <f t="shared" si="62"/>
        <v>34979.990000000005</v>
      </c>
      <c r="Y78" s="1"/>
      <c r="Z78" s="5">
        <f t="shared" si="63"/>
        <v>3.3887195712658205</v>
      </c>
    </row>
    <row r="79" spans="1:26" s="24" customFormat="1" hidden="1" outlineLevel="2" x14ac:dyDescent="0.25">
      <c r="A79" s="27"/>
      <c r="B79" s="11" t="str">
        <f>CONCATENATE("          ", "6234", " - ", "EXPENDABLE SUPPLIES &amp; EQUIPMEN")</f>
        <v xml:space="preserve">          6234 - EXPENDABLE SUPPLIES &amp; EQUIPMEN</v>
      </c>
      <c r="C79" s="11"/>
      <c r="D79" s="7"/>
      <c r="E79" s="2"/>
      <c r="F79" s="6">
        <f t="shared" si="56"/>
        <v>0</v>
      </c>
      <c r="G79" s="2"/>
      <c r="H79" s="7"/>
      <c r="I79" s="2"/>
      <c r="J79" s="6">
        <f t="shared" si="57"/>
        <v>0</v>
      </c>
      <c r="K79" s="2"/>
      <c r="L79" s="7">
        <f t="shared" si="58"/>
        <v>0</v>
      </c>
      <c r="M79" s="2"/>
      <c r="N79" s="6">
        <f t="shared" si="59"/>
        <v>0</v>
      </c>
      <c r="O79" s="11"/>
      <c r="P79" s="7">
        <v>-449.34</v>
      </c>
      <c r="Q79" s="2"/>
      <c r="R79" s="6">
        <f t="shared" si="60"/>
        <v>0</v>
      </c>
      <c r="S79" s="2"/>
      <c r="T79" s="7">
        <v>785.12</v>
      </c>
      <c r="U79" s="2"/>
      <c r="V79" s="6">
        <f t="shared" si="61"/>
        <v>0</v>
      </c>
      <c r="W79" s="2"/>
      <c r="X79" s="7">
        <f t="shared" si="62"/>
        <v>-1234.46</v>
      </c>
      <c r="Y79" s="2"/>
      <c r="Z79" s="6">
        <f t="shared" si="63"/>
        <v>-1.5723201548807826</v>
      </c>
    </row>
    <row r="80" spans="1:26" s="24" customFormat="1" hidden="1" outlineLevel="2" x14ac:dyDescent="0.25">
      <c r="A80" s="27"/>
      <c r="B80" s="11" t="str">
        <f>CONCATENATE("          ", "6235", " - ", "COVID-19 EXPENSES")</f>
        <v xml:space="preserve">          6235 - COVID-19 EXPENSES</v>
      </c>
      <c r="C80" s="11"/>
      <c r="D80" s="7">
        <v>2921.2</v>
      </c>
      <c r="E80" s="2"/>
      <c r="F80" s="6">
        <f t="shared" si="56"/>
        <v>0</v>
      </c>
      <c r="G80" s="2"/>
      <c r="H80" s="7"/>
      <c r="I80" s="2"/>
      <c r="J80" s="6">
        <f t="shared" si="57"/>
        <v>0</v>
      </c>
      <c r="K80" s="2"/>
      <c r="L80" s="7">
        <f t="shared" si="58"/>
        <v>2921.2</v>
      </c>
      <c r="M80" s="2"/>
      <c r="N80" s="6">
        <f t="shared" si="59"/>
        <v>0</v>
      </c>
      <c r="O80" s="11"/>
      <c r="P80" s="7">
        <v>29330.489999999998</v>
      </c>
      <c r="Q80" s="2"/>
      <c r="R80" s="6">
        <f t="shared" si="60"/>
        <v>0</v>
      </c>
      <c r="S80" s="2"/>
      <c r="T80" s="7"/>
      <c r="U80" s="2"/>
      <c r="V80" s="6">
        <f t="shared" si="61"/>
        <v>0</v>
      </c>
      <c r="W80" s="2"/>
      <c r="X80" s="7">
        <f t="shared" si="62"/>
        <v>29330.489999999998</v>
      </c>
      <c r="Y80" s="2"/>
      <c r="Z80" s="6">
        <f t="shared" si="63"/>
        <v>0</v>
      </c>
    </row>
    <row r="81" spans="1:26" s="24" customFormat="1" hidden="1" outlineLevel="2" x14ac:dyDescent="0.25">
      <c r="A81" s="27"/>
      <c r="B81" s="11" t="str">
        <f>CONCATENATE("          ", "6237", " - ", "JANITORIAL SUPPLIES")</f>
        <v xml:space="preserve">          6237 - JANITORIAL SUPPLIES</v>
      </c>
      <c r="C81" s="11"/>
      <c r="D81" s="7">
        <v>438.53</v>
      </c>
      <c r="E81" s="2"/>
      <c r="F81" s="6">
        <f t="shared" si="56"/>
        <v>0</v>
      </c>
      <c r="G81" s="2"/>
      <c r="H81" s="7">
        <v>131.72999999999999</v>
      </c>
      <c r="I81" s="2"/>
      <c r="J81" s="6">
        <f t="shared" si="57"/>
        <v>0</v>
      </c>
      <c r="K81" s="2"/>
      <c r="L81" s="7">
        <f t="shared" si="58"/>
        <v>306.79999999999995</v>
      </c>
      <c r="M81" s="2"/>
      <c r="N81" s="6">
        <f t="shared" si="59"/>
        <v>2.3290063007667197</v>
      </c>
      <c r="O81" s="11"/>
      <c r="P81" s="7">
        <v>1742.14</v>
      </c>
      <c r="Q81" s="2"/>
      <c r="R81" s="6">
        <f t="shared" si="60"/>
        <v>0</v>
      </c>
      <c r="S81" s="2"/>
      <c r="T81" s="7">
        <v>2474.81</v>
      </c>
      <c r="U81" s="2"/>
      <c r="V81" s="6">
        <f t="shared" si="61"/>
        <v>0</v>
      </c>
      <c r="W81" s="2"/>
      <c r="X81" s="7">
        <f t="shared" si="62"/>
        <v>-732.66999999999985</v>
      </c>
      <c r="Y81" s="2"/>
      <c r="Z81" s="6">
        <f t="shared" si="63"/>
        <v>-0.29605100997652339</v>
      </c>
    </row>
    <row r="82" spans="1:26" s="24" customFormat="1" hidden="1" outlineLevel="2" x14ac:dyDescent="0.25">
      <c r="A82" s="27"/>
      <c r="B82" s="11" t="str">
        <f>CONCATENATE("          ", "6241", " - ", "OFFICE EXPENSE")</f>
        <v xml:space="preserve">          6241 - OFFICE EXPENSE</v>
      </c>
      <c r="C82" s="11"/>
      <c r="D82" s="7">
        <v>47.26</v>
      </c>
      <c r="E82" s="2"/>
      <c r="F82" s="6">
        <f t="shared" si="56"/>
        <v>0</v>
      </c>
      <c r="G82" s="2"/>
      <c r="H82" s="7">
        <v>628.14</v>
      </c>
      <c r="I82" s="2"/>
      <c r="J82" s="6">
        <f t="shared" si="57"/>
        <v>0</v>
      </c>
      <c r="K82" s="2"/>
      <c r="L82" s="7">
        <f t="shared" si="58"/>
        <v>-580.88</v>
      </c>
      <c r="M82" s="2"/>
      <c r="N82" s="6">
        <f t="shared" si="59"/>
        <v>-0.9247619957334352</v>
      </c>
      <c r="O82" s="11"/>
      <c r="P82" s="7">
        <v>2274.0500000000002</v>
      </c>
      <c r="Q82" s="2"/>
      <c r="R82" s="6">
        <f t="shared" si="60"/>
        <v>0</v>
      </c>
      <c r="S82" s="2"/>
      <c r="T82" s="7">
        <v>7061.29</v>
      </c>
      <c r="U82" s="2"/>
      <c r="V82" s="6">
        <f t="shared" si="61"/>
        <v>0</v>
      </c>
      <c r="W82" s="2"/>
      <c r="X82" s="7">
        <f t="shared" si="62"/>
        <v>-4787.24</v>
      </c>
      <c r="Y82" s="2"/>
      <c r="Z82" s="6">
        <f t="shared" si="63"/>
        <v>-0.67795544440180189</v>
      </c>
    </row>
    <row r="83" spans="1:26" s="24" customFormat="1" hidden="1" outlineLevel="2" x14ac:dyDescent="0.25">
      <c r="A83" s="27"/>
      <c r="B83" s="11" t="str">
        <f>CONCATENATE("          ", "6245", " - ", "PRINTING")</f>
        <v xml:space="preserve">          6245 - PRINTING</v>
      </c>
      <c r="C83" s="11"/>
      <c r="D83" s="7"/>
      <c r="E83" s="2"/>
      <c r="F83" s="6">
        <f t="shared" si="56"/>
        <v>0</v>
      </c>
      <c r="G83" s="2"/>
      <c r="H83" s="7"/>
      <c r="I83" s="2"/>
      <c r="J83" s="6">
        <f t="shared" si="57"/>
        <v>0</v>
      </c>
      <c r="K83" s="2"/>
      <c r="L83" s="7">
        <f t="shared" si="58"/>
        <v>0</v>
      </c>
      <c r="M83" s="2"/>
      <c r="N83" s="6">
        <f t="shared" si="59"/>
        <v>0</v>
      </c>
      <c r="O83" s="11"/>
      <c r="P83" s="7">
        <v>68.66</v>
      </c>
      <c r="Q83" s="2"/>
      <c r="R83" s="6">
        <f t="shared" si="60"/>
        <v>0</v>
      </c>
      <c r="S83" s="2"/>
      <c r="T83" s="7">
        <v>19.73</v>
      </c>
      <c r="U83" s="2"/>
      <c r="V83" s="6">
        <f t="shared" si="61"/>
        <v>0</v>
      </c>
      <c r="W83" s="2"/>
      <c r="X83" s="7">
        <f t="shared" si="62"/>
        <v>48.929999999999993</v>
      </c>
      <c r="Y83" s="2"/>
      <c r="Z83" s="6">
        <f t="shared" si="63"/>
        <v>2.4799797263051189</v>
      </c>
    </row>
    <row r="84" spans="1:26" s="24" customFormat="1" hidden="1" outlineLevel="2" x14ac:dyDescent="0.25">
      <c r="A84" s="27"/>
      <c r="B84" s="11" t="str">
        <f>CONCATENATE("          ", "6247", " - ", "STORE SUPPLIES")</f>
        <v xml:space="preserve">          6247 - STORE SUPPLIES</v>
      </c>
      <c r="C84" s="11"/>
      <c r="D84" s="7">
        <v>-0.91</v>
      </c>
      <c r="E84" s="2"/>
      <c r="F84" s="6">
        <f t="shared" si="56"/>
        <v>0</v>
      </c>
      <c r="G84" s="2"/>
      <c r="H84" s="7">
        <v>98.72</v>
      </c>
      <c r="I84" s="2"/>
      <c r="J84" s="6">
        <f t="shared" si="57"/>
        <v>0</v>
      </c>
      <c r="K84" s="2"/>
      <c r="L84" s="7">
        <f t="shared" si="58"/>
        <v>-99.63</v>
      </c>
      <c r="M84" s="2"/>
      <c r="N84" s="6">
        <f t="shared" si="59"/>
        <v>-1.0092179902755267</v>
      </c>
      <c r="O84" s="11"/>
      <c r="P84" s="7">
        <v>12336.47</v>
      </c>
      <c r="Q84" s="2"/>
      <c r="R84" s="6">
        <f t="shared" si="60"/>
        <v>0</v>
      </c>
      <c r="S84" s="2"/>
      <c r="T84" s="7">
        <v>-18.47</v>
      </c>
      <c r="U84" s="2"/>
      <c r="V84" s="6">
        <f t="shared" si="61"/>
        <v>0</v>
      </c>
      <c r="W84" s="2"/>
      <c r="X84" s="7">
        <f t="shared" si="62"/>
        <v>12354.939999999999</v>
      </c>
      <c r="Y84" s="2"/>
      <c r="Z84" s="6">
        <f t="shared" si="63"/>
        <v>-668.91932864103944</v>
      </c>
    </row>
    <row r="85" spans="1:26" s="25" customFormat="1" outlineLevel="1" collapsed="1" x14ac:dyDescent="0.25">
      <c r="A85" s="26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SUM(OSRRefD22_19x_0)</f>
        <v>579.66</v>
      </c>
      <c r="E85" s="1"/>
      <c r="F85" s="5">
        <f t="shared" ref="F85:F92" si="64">IF(D$12=0,0,D85/D$12)</f>
        <v>0</v>
      </c>
      <c r="G85" s="1"/>
      <c r="H85" s="1">
        <f>SUM(OSRRefH22_19x_0)</f>
        <v>506.86</v>
      </c>
      <c r="I85" s="1"/>
      <c r="J85" s="5">
        <f t="shared" ref="J85:J92" si="65">IF(H$12=0,0,H85/H$12)</f>
        <v>0</v>
      </c>
      <c r="K85" s="1"/>
      <c r="L85" s="1">
        <f t="shared" ref="L85:L92" si="66">+D85-H85</f>
        <v>72.799999999999955</v>
      </c>
      <c r="M85" s="1"/>
      <c r="N85" s="5">
        <f t="shared" ref="N85:N92" si="67">IF(H85=0,0,L85/H85)</f>
        <v>0.14362940456930898</v>
      </c>
      <c r="O85" s="13"/>
      <c r="P85" s="1">
        <f>SUM(OSRRefP22_19x_0)</f>
        <v>3732.94</v>
      </c>
      <c r="Q85" s="1"/>
      <c r="R85" s="5">
        <f t="shared" ref="R85:R92" si="68">IF(P$12=0,0,P85/P$12)</f>
        <v>0</v>
      </c>
      <c r="S85" s="1"/>
      <c r="T85" s="1">
        <f>SUM(OSRRefT22_19x_0)</f>
        <v>3142.56</v>
      </c>
      <c r="U85" s="1"/>
      <c r="V85" s="5">
        <f t="shared" ref="V85:V92" si="69">IF(T$12=0,0,T85/T$12)</f>
        <v>0</v>
      </c>
      <c r="W85" s="1"/>
      <c r="X85" s="1">
        <f t="shared" ref="X85:X92" si="70">+P85-T85</f>
        <v>590.38000000000011</v>
      </c>
      <c r="Y85" s="1"/>
      <c r="Z85" s="5">
        <f t="shared" ref="Z85:Z92" si="71">IF(T85=0,0,X85/T85)</f>
        <v>0.18786594368922158</v>
      </c>
    </row>
    <row r="86" spans="1:26" s="24" customFormat="1" hidden="1" outlineLevel="2" x14ac:dyDescent="0.25">
      <c r="A86" s="27"/>
      <c r="B86" s="11" t="str">
        <f>CONCATENATE("          ", "6309", " - ", "TELEPHONE")</f>
        <v xml:space="preserve">          6309 - TELEPHONE</v>
      </c>
      <c r="C86" s="11"/>
      <c r="D86" s="7">
        <v>579.66</v>
      </c>
      <c r="E86" s="2"/>
      <c r="F86" s="6">
        <f t="shared" si="64"/>
        <v>0</v>
      </c>
      <c r="G86" s="2"/>
      <c r="H86" s="7">
        <v>506.86</v>
      </c>
      <c r="I86" s="2"/>
      <c r="J86" s="6">
        <f t="shared" si="65"/>
        <v>0</v>
      </c>
      <c r="K86" s="2"/>
      <c r="L86" s="7">
        <f t="shared" si="66"/>
        <v>72.799999999999955</v>
      </c>
      <c r="M86" s="2"/>
      <c r="N86" s="6">
        <f t="shared" si="67"/>
        <v>0.14362940456930898</v>
      </c>
      <c r="O86" s="11"/>
      <c r="P86" s="7">
        <v>3732.94</v>
      </c>
      <c r="Q86" s="2"/>
      <c r="R86" s="6">
        <f t="shared" si="68"/>
        <v>0</v>
      </c>
      <c r="S86" s="2"/>
      <c r="T86" s="7">
        <v>3142.56</v>
      </c>
      <c r="U86" s="2"/>
      <c r="V86" s="6">
        <f t="shared" si="69"/>
        <v>0</v>
      </c>
      <c r="W86" s="2"/>
      <c r="X86" s="7">
        <f t="shared" si="70"/>
        <v>590.38000000000011</v>
      </c>
      <c r="Y86" s="2"/>
      <c r="Z86" s="6">
        <f t="shared" si="71"/>
        <v>0.18786594368922158</v>
      </c>
    </row>
    <row r="87" spans="1:26" s="25" customFormat="1" outlineLevel="1" collapsed="1" x14ac:dyDescent="0.25">
      <c r="A87" s="26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SUM(OSRRefD22_20x_0)</f>
        <v>0</v>
      </c>
      <c r="E87" s="1"/>
      <c r="F87" s="5">
        <f t="shared" si="64"/>
        <v>0</v>
      </c>
      <c r="G87" s="1"/>
      <c r="H87" s="1">
        <f>SUM(OSRRefH22_20x_0)</f>
        <v>0</v>
      </c>
      <c r="I87" s="1"/>
      <c r="J87" s="5">
        <f t="shared" si="65"/>
        <v>0</v>
      </c>
      <c r="K87" s="1"/>
      <c r="L87" s="1">
        <f t="shared" si="66"/>
        <v>0</v>
      </c>
      <c r="M87" s="1"/>
      <c r="N87" s="5">
        <f t="shared" si="67"/>
        <v>0</v>
      </c>
      <c r="O87" s="13"/>
      <c r="P87" s="1">
        <f>SUM(OSRRefP22_20x_0)</f>
        <v>131.63</v>
      </c>
      <c r="Q87" s="1"/>
      <c r="R87" s="5">
        <f t="shared" si="68"/>
        <v>0</v>
      </c>
      <c r="S87" s="1"/>
      <c r="T87" s="1">
        <f>SUM(OSRRefT22_20x_0)</f>
        <v>5379.44</v>
      </c>
      <c r="U87" s="1"/>
      <c r="V87" s="5">
        <f t="shared" si="69"/>
        <v>0</v>
      </c>
      <c r="W87" s="1"/>
      <c r="X87" s="1">
        <f t="shared" si="70"/>
        <v>-5247.8099999999995</v>
      </c>
      <c r="Y87" s="1"/>
      <c r="Z87" s="5">
        <f t="shared" si="71"/>
        <v>-0.975530910280624</v>
      </c>
    </row>
    <row r="88" spans="1:26" s="24" customFormat="1" hidden="1" outlineLevel="2" x14ac:dyDescent="0.25">
      <c r="A88" s="27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64"/>
        <v>0</v>
      </c>
      <c r="G88" s="2"/>
      <c r="H88" s="7"/>
      <c r="I88" s="2"/>
      <c r="J88" s="6">
        <f t="shared" si="65"/>
        <v>0</v>
      </c>
      <c r="K88" s="2"/>
      <c r="L88" s="7">
        <f t="shared" si="66"/>
        <v>0</v>
      </c>
      <c r="M88" s="2"/>
      <c r="N88" s="6">
        <f t="shared" si="67"/>
        <v>0</v>
      </c>
      <c r="O88" s="11"/>
      <c r="P88" s="7">
        <v>131.63</v>
      </c>
      <c r="Q88" s="2"/>
      <c r="R88" s="6">
        <f t="shared" si="68"/>
        <v>0</v>
      </c>
      <c r="S88" s="2"/>
      <c r="T88" s="7">
        <v>5379.44</v>
      </c>
      <c r="U88" s="2"/>
      <c r="V88" s="6">
        <f t="shared" si="69"/>
        <v>0</v>
      </c>
      <c r="W88" s="2"/>
      <c r="X88" s="7">
        <f t="shared" si="70"/>
        <v>-5247.8099999999995</v>
      </c>
      <c r="Y88" s="2"/>
      <c r="Z88" s="6">
        <f t="shared" si="71"/>
        <v>-0.975530910280624</v>
      </c>
    </row>
    <row r="89" spans="1:26" s="25" customFormat="1" outlineLevel="1" collapsed="1" x14ac:dyDescent="0.25">
      <c r="A89" s="26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SUM(OSRRefD22_21x_0)</f>
        <v>0</v>
      </c>
      <c r="E89" s="1"/>
      <c r="F89" s="5">
        <f t="shared" si="64"/>
        <v>0</v>
      </c>
      <c r="G89" s="1"/>
      <c r="H89" s="1">
        <f>SUM(OSRRefH22_21x_0)</f>
        <v>38.22</v>
      </c>
      <c r="I89" s="1"/>
      <c r="J89" s="5">
        <f t="shared" si="65"/>
        <v>0</v>
      </c>
      <c r="K89" s="1"/>
      <c r="L89" s="1">
        <f t="shared" si="66"/>
        <v>-38.22</v>
      </c>
      <c r="M89" s="1"/>
      <c r="N89" s="5">
        <f t="shared" si="67"/>
        <v>-1</v>
      </c>
      <c r="O89" s="13"/>
      <c r="P89" s="1">
        <f>SUM(OSRRefP22_21x_0)</f>
        <v>358.89</v>
      </c>
      <c r="Q89" s="1"/>
      <c r="R89" s="5">
        <f t="shared" si="68"/>
        <v>0</v>
      </c>
      <c r="S89" s="1"/>
      <c r="T89" s="1">
        <f>SUM(OSRRefT22_21x_0)</f>
        <v>770.86999999999989</v>
      </c>
      <c r="U89" s="1"/>
      <c r="V89" s="5">
        <f t="shared" si="69"/>
        <v>0</v>
      </c>
      <c r="W89" s="1"/>
      <c r="X89" s="1">
        <f t="shared" si="70"/>
        <v>-411.9799999999999</v>
      </c>
      <c r="Y89" s="1"/>
      <c r="Z89" s="5">
        <f t="shared" si="71"/>
        <v>-0.53443511876191829</v>
      </c>
    </row>
    <row r="90" spans="1:26" s="24" customFormat="1" hidden="1" outlineLevel="2" x14ac:dyDescent="0.25">
      <c r="A90" s="27"/>
      <c r="B90" s="11" t="str">
        <f>CONCATENATE("          ", "6292", " - ", "TRAVEL/CONFERENCE")</f>
        <v xml:space="preserve">          6292 - TRAVEL/CONFERENCE</v>
      </c>
      <c r="C90" s="11"/>
      <c r="D90" s="7"/>
      <c r="E90" s="2"/>
      <c r="F90" s="6">
        <f t="shared" si="64"/>
        <v>0</v>
      </c>
      <c r="G90" s="2"/>
      <c r="H90" s="7"/>
      <c r="I90" s="2"/>
      <c r="J90" s="6">
        <f t="shared" si="65"/>
        <v>0</v>
      </c>
      <c r="K90" s="2"/>
      <c r="L90" s="7">
        <f t="shared" si="66"/>
        <v>0</v>
      </c>
      <c r="M90" s="2"/>
      <c r="N90" s="6">
        <f t="shared" si="67"/>
        <v>0</v>
      </c>
      <c r="O90" s="11"/>
      <c r="P90" s="7">
        <v>299</v>
      </c>
      <c r="Q90" s="2"/>
      <c r="R90" s="6">
        <f t="shared" si="68"/>
        <v>0</v>
      </c>
      <c r="S90" s="2"/>
      <c r="T90" s="7">
        <v>497.64</v>
      </c>
      <c r="U90" s="2"/>
      <c r="V90" s="6">
        <f t="shared" si="69"/>
        <v>0</v>
      </c>
      <c r="W90" s="2"/>
      <c r="X90" s="7">
        <f t="shared" si="70"/>
        <v>-198.64</v>
      </c>
      <c r="Y90" s="2"/>
      <c r="Z90" s="6">
        <f t="shared" si="71"/>
        <v>-0.39916405433646812</v>
      </c>
    </row>
    <row r="91" spans="1:26" s="24" customFormat="1" hidden="1" outlineLevel="2" x14ac:dyDescent="0.25">
      <c r="A91" s="27"/>
      <c r="B91" s="11" t="str">
        <f>CONCATENATE("          ", "6294", " - ", "TRAVEL OPERATIONAL")</f>
        <v xml:space="preserve">          6294 - TRAVEL OPERATIONAL</v>
      </c>
      <c r="C91" s="11"/>
      <c r="D91" s="7"/>
      <c r="E91" s="2"/>
      <c r="F91" s="6">
        <f t="shared" si="64"/>
        <v>0</v>
      </c>
      <c r="G91" s="2"/>
      <c r="H91" s="7"/>
      <c r="I91" s="2"/>
      <c r="J91" s="6">
        <f t="shared" si="65"/>
        <v>0</v>
      </c>
      <c r="K91" s="2"/>
      <c r="L91" s="7">
        <f t="shared" si="66"/>
        <v>0</v>
      </c>
      <c r="M91" s="2"/>
      <c r="N91" s="6">
        <f t="shared" si="67"/>
        <v>0</v>
      </c>
      <c r="O91" s="11"/>
      <c r="P91" s="7"/>
      <c r="Q91" s="2"/>
      <c r="R91" s="6">
        <f t="shared" si="68"/>
        <v>0</v>
      </c>
      <c r="S91" s="2"/>
      <c r="T91" s="7">
        <v>15.67</v>
      </c>
      <c r="U91" s="2"/>
      <c r="V91" s="6">
        <f t="shared" si="69"/>
        <v>0</v>
      </c>
      <c r="W91" s="2"/>
      <c r="X91" s="7">
        <f t="shared" si="70"/>
        <v>-15.67</v>
      </c>
      <c r="Y91" s="2"/>
      <c r="Z91" s="6">
        <f t="shared" si="71"/>
        <v>-1</v>
      </c>
    </row>
    <row r="92" spans="1:26" s="24" customFormat="1" hidden="1" outlineLevel="2" x14ac:dyDescent="0.25">
      <c r="A92" s="27"/>
      <c r="B92" s="11" t="str">
        <f>CONCATENATE("          ", "6298", " - ", "VEHICLE MILEAGE")</f>
        <v xml:space="preserve">          6298 - VEHICLE MILEAGE</v>
      </c>
      <c r="C92" s="11"/>
      <c r="D92" s="7"/>
      <c r="E92" s="2"/>
      <c r="F92" s="6">
        <f t="shared" si="64"/>
        <v>0</v>
      </c>
      <c r="G92" s="2"/>
      <c r="H92" s="7">
        <v>38.22</v>
      </c>
      <c r="I92" s="2"/>
      <c r="J92" s="6">
        <f t="shared" si="65"/>
        <v>0</v>
      </c>
      <c r="K92" s="2"/>
      <c r="L92" s="7">
        <f t="shared" si="66"/>
        <v>-38.22</v>
      </c>
      <c r="M92" s="2"/>
      <c r="N92" s="6">
        <f t="shared" si="67"/>
        <v>-1</v>
      </c>
      <c r="O92" s="11"/>
      <c r="P92" s="7">
        <v>59.89</v>
      </c>
      <c r="Q92" s="2"/>
      <c r="R92" s="6">
        <f t="shared" si="68"/>
        <v>0</v>
      </c>
      <c r="S92" s="2"/>
      <c r="T92" s="7">
        <v>257.56</v>
      </c>
      <c r="U92" s="2"/>
      <c r="V92" s="6">
        <f t="shared" si="69"/>
        <v>0</v>
      </c>
      <c r="W92" s="2"/>
      <c r="X92" s="7">
        <f t="shared" si="70"/>
        <v>-197.67000000000002</v>
      </c>
      <c r="Y92" s="2"/>
      <c r="Z92" s="6">
        <f t="shared" si="71"/>
        <v>-0.76747165708961029</v>
      </c>
    </row>
    <row r="93" spans="1:26" s="25" customFormat="1" outlineLevel="1" collapsed="1" x14ac:dyDescent="0.25">
      <c r="A93" s="26"/>
      <c r="B93" s="13" t="str">
        <f>CONCATENATE("     ","Utilities                                         ")</f>
        <v xml:space="preserve">     Utilities                                         </v>
      </c>
      <c r="C93" s="13"/>
      <c r="D93" s="1">
        <f>SUM(OSRRefD22_22x_0)</f>
        <v>6133</v>
      </c>
      <c r="E93" s="1"/>
      <c r="F93" s="5">
        <f t="shared" ref="F93:F94" si="72">IF(D$12=0,0,D93/D$12)</f>
        <v>0</v>
      </c>
      <c r="G93" s="1"/>
      <c r="H93" s="1">
        <f>SUM(OSRRefH22_22x_0)</f>
        <v>9365</v>
      </c>
      <c r="I93" s="1"/>
      <c r="J93" s="5">
        <f t="shared" ref="J93:J94" si="73">IF(H$12=0,0,H93/H$12)</f>
        <v>0</v>
      </c>
      <c r="K93" s="1"/>
      <c r="L93" s="1">
        <f t="shared" ref="L93:L94" si="74">+D93-H93</f>
        <v>-3232</v>
      </c>
      <c r="M93" s="1"/>
      <c r="N93" s="5">
        <f t="shared" ref="N93:N94" si="75">IF(H93=0,0,L93/H93)</f>
        <v>-0.34511478910838228</v>
      </c>
      <c r="O93" s="13"/>
      <c r="P93" s="1">
        <f>SUM(OSRRefP22_22x_0)</f>
        <v>36602</v>
      </c>
      <c r="Q93" s="1"/>
      <c r="R93" s="5">
        <f t="shared" ref="R93:R94" si="76">IF(P$12=0,0,P93/P$12)</f>
        <v>0</v>
      </c>
      <c r="S93" s="1"/>
      <c r="T93" s="1">
        <f>SUM(OSRRefT22_22x_0)</f>
        <v>31737</v>
      </c>
      <c r="U93" s="1"/>
      <c r="V93" s="5">
        <f t="shared" ref="V93:V94" si="77">IF(T$12=0,0,T93/T$12)</f>
        <v>0</v>
      </c>
      <c r="W93" s="1"/>
      <c r="X93" s="1">
        <f t="shared" ref="X93:X94" si="78">+P93-T93</f>
        <v>4865</v>
      </c>
      <c r="Y93" s="1"/>
      <c r="Z93" s="5">
        <f t="shared" ref="Z93:Z94" si="79">IF(T93=0,0,X93/T93)</f>
        <v>0.15329111132117088</v>
      </c>
    </row>
    <row r="94" spans="1:26" s="24" customFormat="1" hidden="1" outlineLevel="2" x14ac:dyDescent="0.25">
      <c r="A94" s="27"/>
      <c r="B94" s="11" t="str">
        <f>CONCATENATE("          ", "6274", " - ", "UTILITIES")</f>
        <v xml:space="preserve">          6274 - UTILITIES</v>
      </c>
      <c r="C94" s="11"/>
      <c r="D94" s="7">
        <v>6133</v>
      </c>
      <c r="E94" s="2"/>
      <c r="F94" s="6">
        <f t="shared" si="72"/>
        <v>0</v>
      </c>
      <c r="G94" s="2"/>
      <c r="H94" s="7">
        <v>9365</v>
      </c>
      <c r="I94" s="2"/>
      <c r="J94" s="6">
        <f t="shared" si="73"/>
        <v>0</v>
      </c>
      <c r="K94" s="2"/>
      <c r="L94" s="7">
        <f t="shared" si="74"/>
        <v>-3232</v>
      </c>
      <c r="M94" s="2"/>
      <c r="N94" s="6">
        <f t="shared" si="75"/>
        <v>-0.34511478910838228</v>
      </c>
      <c r="O94" s="11"/>
      <c r="P94" s="7">
        <v>36602</v>
      </c>
      <c r="Q94" s="2"/>
      <c r="R94" s="6">
        <f t="shared" si="76"/>
        <v>0</v>
      </c>
      <c r="S94" s="2"/>
      <c r="T94" s="7">
        <v>31737</v>
      </c>
      <c r="U94" s="2"/>
      <c r="V94" s="6">
        <f t="shared" si="77"/>
        <v>0</v>
      </c>
      <c r="W94" s="2"/>
      <c r="X94" s="7">
        <f t="shared" si="78"/>
        <v>4865</v>
      </c>
      <c r="Y94" s="2"/>
      <c r="Z94" s="6">
        <f t="shared" si="79"/>
        <v>0.15329111132117088</v>
      </c>
    </row>
    <row r="95" spans="1:26" s="55" customFormat="1" x14ac:dyDescent="0.25">
      <c r="A95" s="37"/>
      <c r="B95" s="37"/>
      <c r="C95" s="37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7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collapsed="1" x14ac:dyDescent="0.25">
      <c r="A96" s="10"/>
      <c r="B96" s="29" t="s">
        <v>0</v>
      </c>
      <c r="C96" s="10"/>
      <c r="D96" s="4">
        <f>SUM(OSRRefD25x_0)</f>
        <v>3213.65</v>
      </c>
      <c r="E96" s="4"/>
      <c r="F96" s="12">
        <f t="shared" ref="F96:F99" si="80">IF(D$12=0,0,D96/D$12)</f>
        <v>0</v>
      </c>
      <c r="G96" s="4"/>
      <c r="H96" s="4">
        <f>SUM(OSRRefH25x_0)</f>
        <v>6121.0599999999995</v>
      </c>
      <c r="I96" s="4"/>
      <c r="J96" s="12">
        <f t="shared" ref="J96:J99" si="81">IF(H$12=0,0,H96/H$12)</f>
        <v>0</v>
      </c>
      <c r="K96" s="4"/>
      <c r="L96" s="4">
        <f t="shared" ref="L96:L99" si="82">+D96-H96</f>
        <v>-2907.4099999999994</v>
      </c>
      <c r="M96" s="4"/>
      <c r="N96" s="12">
        <f t="shared" ref="N96:N99" si="83">IF(H96=0,0,L96/H96)</f>
        <v>-0.47498472486791499</v>
      </c>
      <c r="O96" s="10"/>
      <c r="P96" s="4">
        <f>SUM(OSRRefP25x_0)</f>
        <v>123723.88</v>
      </c>
      <c r="Q96" s="4"/>
      <c r="R96" s="12">
        <f t="shared" ref="R96:R99" si="84">IF(P$12=0,0,P96/P$12)</f>
        <v>0</v>
      </c>
      <c r="S96" s="4"/>
      <c r="T96" s="4">
        <f>SUM(OSRRefT25x_0)</f>
        <v>97171.199999999997</v>
      </c>
      <c r="U96" s="4"/>
      <c r="V96" s="12">
        <f t="shared" ref="V96:V99" si="85">IF(T$12=0,0,T96/T$12)</f>
        <v>0</v>
      </c>
      <c r="W96" s="4"/>
      <c r="X96" s="4">
        <f t="shared" ref="X96:X99" si="86">+P96-T96</f>
        <v>26552.680000000008</v>
      </c>
      <c r="Y96" s="4"/>
      <c r="Z96" s="12">
        <f t="shared" ref="Z96:Z99" si="87">IF(T96=0,0,X96/T96)</f>
        <v>0.27325668510834494</v>
      </c>
    </row>
    <row r="97" spans="1:26" s="24" customFormat="1" hidden="1" outlineLevel="1" x14ac:dyDescent="0.25">
      <c r="A97" s="44"/>
      <c r="B97" s="11" t="str">
        <f>CONCATENATE("          ", "9150", " - ", "MISC. INCOME")</f>
        <v xml:space="preserve">          9150 - MISC. INCOME</v>
      </c>
      <c r="C97" s="11"/>
      <c r="D97" s="2">
        <f>--3213.65</f>
        <v>3213.65</v>
      </c>
      <c r="E97" s="2"/>
      <c r="F97" s="19">
        <f t="shared" si="80"/>
        <v>0</v>
      </c>
      <c r="G97" s="2"/>
      <c r="H97" s="2">
        <f>--5852.82</f>
        <v>5852.82</v>
      </c>
      <c r="I97" s="2"/>
      <c r="J97" s="19">
        <f t="shared" si="81"/>
        <v>0</v>
      </c>
      <c r="K97" s="2"/>
      <c r="L97" s="2">
        <f t="shared" si="82"/>
        <v>-2639.1699999999996</v>
      </c>
      <c r="M97" s="2"/>
      <c r="N97" s="19">
        <f t="shared" si="83"/>
        <v>-0.45092280302486659</v>
      </c>
      <c r="O97" s="11"/>
      <c r="P97" s="2">
        <f>--123723.88</f>
        <v>123723.88</v>
      </c>
      <c r="Q97" s="2"/>
      <c r="R97" s="19">
        <f t="shared" si="84"/>
        <v>0</v>
      </c>
      <c r="S97" s="2"/>
      <c r="T97" s="2">
        <f>--96904.89</f>
        <v>96904.89</v>
      </c>
      <c r="U97" s="2"/>
      <c r="V97" s="19">
        <f t="shared" si="85"/>
        <v>0</v>
      </c>
      <c r="W97" s="2"/>
      <c r="X97" s="2">
        <f t="shared" si="86"/>
        <v>26818.990000000005</v>
      </c>
      <c r="Y97" s="2"/>
      <c r="Z97" s="19">
        <f t="shared" si="87"/>
        <v>0.27675579632771891</v>
      </c>
    </row>
    <row r="98" spans="1:26" s="24" customFormat="1" hidden="1" outlineLevel="1" x14ac:dyDescent="0.25">
      <c r="A98" s="44"/>
      <c r="B98" s="11" t="str">
        <f>CONCATENATE("          ", "9151", " - ", "MISC. INCOME")</f>
        <v xml:space="preserve">          9151 - MISC. INCOME</v>
      </c>
      <c r="C98" s="11"/>
      <c r="D98" s="2">
        <f t="shared" ref="D98:D99" si="88">0</f>
        <v>0</v>
      </c>
      <c r="E98" s="2"/>
      <c r="F98" s="19">
        <f t="shared" si="80"/>
        <v>0</v>
      </c>
      <c r="G98" s="2"/>
      <c r="H98" s="2">
        <f>--268.24</f>
        <v>268.24</v>
      </c>
      <c r="I98" s="2"/>
      <c r="J98" s="19">
        <f t="shared" si="81"/>
        <v>0</v>
      </c>
      <c r="K98" s="2"/>
      <c r="L98" s="2">
        <f t="shared" si="82"/>
        <v>-268.24</v>
      </c>
      <c r="M98" s="2"/>
      <c r="N98" s="19">
        <f t="shared" si="83"/>
        <v>-1</v>
      </c>
      <c r="O98" s="11"/>
      <c r="P98" s="2">
        <f t="shared" ref="P98:P99" si="89">0</f>
        <v>0</v>
      </c>
      <c r="Q98" s="2"/>
      <c r="R98" s="19">
        <f t="shared" si="84"/>
        <v>0</v>
      </c>
      <c r="S98" s="2"/>
      <c r="T98" s="2">
        <f>-183.69</f>
        <v>-183.69</v>
      </c>
      <c r="U98" s="2"/>
      <c r="V98" s="19">
        <f t="shared" si="85"/>
        <v>0</v>
      </c>
      <c r="W98" s="2"/>
      <c r="X98" s="2">
        <f t="shared" si="86"/>
        <v>183.69</v>
      </c>
      <c r="Y98" s="2"/>
      <c r="Z98" s="19">
        <f t="shared" si="87"/>
        <v>-1</v>
      </c>
    </row>
    <row r="99" spans="1:26" s="24" customFormat="1" hidden="1" outlineLevel="1" x14ac:dyDescent="0.25">
      <c r="A99" s="44"/>
      <c r="B99" s="11" t="str">
        <f>CONCATENATE("          ", "9153", " - ", "MISC. INCOME")</f>
        <v xml:space="preserve">          9153 - MISC. INCOME</v>
      </c>
      <c r="C99" s="11"/>
      <c r="D99" s="2">
        <f t="shared" si="88"/>
        <v>0</v>
      </c>
      <c r="E99" s="2"/>
      <c r="F99" s="19">
        <f t="shared" si="80"/>
        <v>0</v>
      </c>
      <c r="G99" s="2"/>
      <c r="H99" s="2">
        <f>0</f>
        <v>0</v>
      </c>
      <c r="I99" s="2"/>
      <c r="J99" s="19">
        <f t="shared" si="81"/>
        <v>0</v>
      </c>
      <c r="K99" s="2"/>
      <c r="L99" s="2">
        <f t="shared" si="82"/>
        <v>0</v>
      </c>
      <c r="M99" s="2"/>
      <c r="N99" s="19">
        <f t="shared" si="83"/>
        <v>0</v>
      </c>
      <c r="O99" s="11"/>
      <c r="P99" s="2">
        <f t="shared" si="89"/>
        <v>0</v>
      </c>
      <c r="Q99" s="2"/>
      <c r="R99" s="19">
        <f t="shared" si="84"/>
        <v>0</v>
      </c>
      <c r="S99" s="2"/>
      <c r="T99" s="2">
        <f>--450</f>
        <v>450</v>
      </c>
      <c r="U99" s="2"/>
      <c r="V99" s="19">
        <f t="shared" si="85"/>
        <v>0</v>
      </c>
      <c r="W99" s="2"/>
      <c r="X99" s="2">
        <f t="shared" si="86"/>
        <v>-450</v>
      </c>
      <c r="Y99" s="2"/>
      <c r="Z99" s="19">
        <f t="shared" si="87"/>
        <v>-1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8" t="s">
        <v>3</v>
      </c>
      <c r="C101" s="28"/>
      <c r="D101" s="20">
        <f>+D16-D18+D96</f>
        <v>-98482.379999999976</v>
      </c>
      <c r="E101" s="14"/>
      <c r="F101" s="21">
        <f>IF(D$12=0,0,D101/D$12)</f>
        <v>0</v>
      </c>
      <c r="G101" s="14"/>
      <c r="H101" s="20">
        <f>+H16-H18+H96</f>
        <v>-94908.529999999984</v>
      </c>
      <c r="I101" s="14"/>
      <c r="J101" s="21">
        <f>IF(H$12=0,0,H101/H$12)</f>
        <v>0</v>
      </c>
      <c r="K101" s="15"/>
      <c r="L101" s="20">
        <f>+D101-H101</f>
        <v>-3573.8499999999913</v>
      </c>
      <c r="M101" s="15"/>
      <c r="N101" s="21">
        <f>IF(H101=0,0,L101/H101)</f>
        <v>3.7655730206757936E-2</v>
      </c>
      <c r="O101" s="29"/>
      <c r="P101" s="20">
        <f>+P16-P18+P96</f>
        <v>-609364.26000000013</v>
      </c>
      <c r="Q101" s="14"/>
      <c r="R101" s="21">
        <f>IF(P$12=0,0,P101/P$12)</f>
        <v>0</v>
      </c>
      <c r="S101" s="14"/>
      <c r="T101" s="20">
        <f>+T16-T18+T96</f>
        <v>-682346.79000000027</v>
      </c>
      <c r="U101" s="14"/>
      <c r="V101" s="21">
        <f>IF(T$12=0,0,T101/T$12)</f>
        <v>0</v>
      </c>
      <c r="W101" s="15"/>
      <c r="X101" s="20">
        <f>+P101-T101</f>
        <v>72982.530000000144</v>
      </c>
      <c r="Y101" s="15"/>
      <c r="Z101" s="21">
        <f>IF(T101=0,0,X101/T101)</f>
        <v>-0.10695812022505465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1"/>
      <c r="B103" s="10" t="s">
        <v>13</v>
      </c>
      <c r="C103" s="10"/>
      <c r="D103" s="4"/>
      <c r="E103" s="4"/>
      <c r="F103" s="12">
        <f>IF(D$12=0,0,D103/D$12)</f>
        <v>0</v>
      </c>
      <c r="G103" s="4"/>
      <c r="H103" s="4"/>
      <c r="I103" s="4"/>
      <c r="J103" s="12">
        <f>IF(H$12=0,0,H103/H$12)</f>
        <v>0</v>
      </c>
      <c r="K103" s="4"/>
      <c r="L103" s="4">
        <f>+D103-H103</f>
        <v>0</v>
      </c>
      <c r="M103" s="4"/>
      <c r="N103" s="12">
        <f>IF(H103=0,0,L103/H103)</f>
        <v>0</v>
      </c>
      <c r="O103" s="10"/>
      <c r="P103" s="4"/>
      <c r="Q103" s="4"/>
      <c r="R103" s="12">
        <f>IF(P$12=0,0,P103/P$12)</f>
        <v>0</v>
      </c>
      <c r="S103" s="4"/>
      <c r="T103" s="4"/>
      <c r="U103" s="4"/>
      <c r="V103" s="12">
        <f>IF(T$12=0,0,T103/T$12)</f>
        <v>0</v>
      </c>
      <c r="W103" s="4"/>
      <c r="X103" s="4">
        <f>+P103-T103</f>
        <v>0</v>
      </c>
      <c r="Y103" s="4"/>
      <c r="Z103" s="12">
        <f>IF(T103=0,0,X103/T103)</f>
        <v>0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8" t="s">
        <v>4</v>
      </c>
      <c r="C105" s="28"/>
      <c r="D105" s="33">
        <f>+D101-D103</f>
        <v>-98482.379999999976</v>
      </c>
      <c r="E105" s="14"/>
      <c r="F105" s="34">
        <f>IF(D$12=0,0,D105/D$12)</f>
        <v>0</v>
      </c>
      <c r="G105" s="14"/>
      <c r="H105" s="33">
        <f>+H101-H103</f>
        <v>-94908.529999999984</v>
      </c>
      <c r="I105" s="14"/>
      <c r="J105" s="34">
        <f>IF(H$12=0,0,H105/H$12)</f>
        <v>0</v>
      </c>
      <c r="K105" s="15"/>
      <c r="L105" s="33">
        <f>D105-H105</f>
        <v>-3573.8499999999913</v>
      </c>
      <c r="M105" s="15"/>
      <c r="N105" s="34">
        <f>IF(H105=0,0,L105/H105)</f>
        <v>3.7655730206757936E-2</v>
      </c>
      <c r="O105" s="29"/>
      <c r="P105" s="33">
        <f>+P101-P103</f>
        <v>-609364.26000000013</v>
      </c>
      <c r="Q105" s="14"/>
      <c r="R105" s="34">
        <f>IF(P$12=0,0,P105/P$12)</f>
        <v>0</v>
      </c>
      <c r="S105" s="14"/>
      <c r="T105" s="33">
        <f>+T101-T103</f>
        <v>-682346.79000000027</v>
      </c>
      <c r="U105" s="14"/>
      <c r="V105" s="34">
        <f>IF(T$12=0,0,T105/T$12)</f>
        <v>0</v>
      </c>
      <c r="W105" s="15"/>
      <c r="X105" s="33">
        <f>P105-T105</f>
        <v>72982.530000000144</v>
      </c>
      <c r="Y105" s="15"/>
      <c r="Z105" s="34">
        <f>IF(T105=0,0,X105/T105)</f>
        <v>-0.10695812022505465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8" t="s">
        <v>5</v>
      </c>
      <c r="C108" s="28"/>
      <c r="D108" s="30">
        <f>SUM(D105:D107)</f>
        <v>-98482.379999999976</v>
      </c>
      <c r="E108" s="14"/>
      <c r="F108" s="32">
        <f>IF(D$12=0,0,D108/D$12)</f>
        <v>0</v>
      </c>
      <c r="G108" s="14"/>
      <c r="H108" s="30">
        <f>SUM(H105:H107)</f>
        <v>-94908.529999999984</v>
      </c>
      <c r="I108" s="14"/>
      <c r="J108" s="32">
        <f>IF(H$12=0,0,H108/H$12)</f>
        <v>0</v>
      </c>
      <c r="K108" s="15"/>
      <c r="L108" s="30">
        <f>+D108-H108</f>
        <v>-3573.8499999999913</v>
      </c>
      <c r="M108" s="15"/>
      <c r="N108" s="32">
        <f>IF(H108=0,0,L108/H108)</f>
        <v>3.7655730206757936E-2</v>
      </c>
      <c r="O108" s="29"/>
      <c r="P108" s="30">
        <f>SUM(P105:P107)</f>
        <v>-609364.26000000013</v>
      </c>
      <c r="Q108" s="14"/>
      <c r="R108" s="32">
        <f>IF(P$12=0,0,P108/P$12)</f>
        <v>0</v>
      </c>
      <c r="S108" s="14"/>
      <c r="T108" s="30">
        <f>SUM(T105:T107)</f>
        <v>-682346.79000000027</v>
      </c>
      <c r="U108" s="14"/>
      <c r="V108" s="32">
        <f>IF(T$12=0,0,T108/T$12)</f>
        <v>0</v>
      </c>
      <c r="W108" s="15"/>
      <c r="X108" s="30">
        <f>+P108-T108</f>
        <v>72982.530000000144</v>
      </c>
      <c r="Y108" s="15"/>
      <c r="Z108" s="32">
        <f>IF(T108=0,0,X108/T108)</f>
        <v>-0.10695812022505465</v>
      </c>
    </row>
    <row r="109" spans="1:26" ht="15.75" thickTop="1" x14ac:dyDescent="0.25">
      <c r="A109" s="9"/>
      <c r="C109" s="9"/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58">
        <v>44209.521672106479</v>
      </c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61" t="s">
        <v>313</v>
      </c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A112" s="9"/>
      <c r="B112" s="57"/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4:24" x14ac:dyDescent="0.25"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","306", " - ", "Warehouse")</f>
        <v>Department 306 - Warehouse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0</v>
      </c>
      <c r="E18" s="22"/>
      <c r="F18" s="36">
        <f t="shared" ref="F18:F28" si="0">IF(D$12=0,0,D18/D$12)</f>
        <v>0</v>
      </c>
      <c r="G18" s="22"/>
      <c r="H18" s="22">
        <f>SUM(OSRRefH22x_0)</f>
        <v>38670.5</v>
      </c>
      <c r="I18" s="22"/>
      <c r="J18" s="36">
        <f t="shared" ref="J18:J28" si="1">IF(H$12=0,0,H18/H$12)</f>
        <v>0</v>
      </c>
      <c r="K18" s="4"/>
      <c r="L18" s="22">
        <f t="shared" ref="L18:L28" si="2">+D18-H18</f>
        <v>-38670.5</v>
      </c>
      <c r="M18" s="4"/>
      <c r="N18" s="36">
        <f t="shared" ref="N18:N28" si="3">IF(H18=0,0,L18/H18)</f>
        <v>-1</v>
      </c>
      <c r="O18" s="10"/>
      <c r="P18" s="22">
        <f>SUM(OSRRefP22x_0)</f>
        <v>0.37000000000004318</v>
      </c>
      <c r="Q18" s="22"/>
      <c r="R18" s="36">
        <f t="shared" ref="R18:R28" si="4">IF(P$12=0,0,P18/P$12)</f>
        <v>0</v>
      </c>
      <c r="S18" s="22"/>
      <c r="T18" s="22">
        <f>SUM(OSRRefT22x_0)</f>
        <v>251135.78</v>
      </c>
      <c r="U18" s="22"/>
      <c r="V18" s="36">
        <f t="shared" ref="V18:V28" si="5">IF(T$12=0,0,T18/T$12)</f>
        <v>0</v>
      </c>
      <c r="W18" s="4"/>
      <c r="X18" s="22">
        <f t="shared" ref="X18:X28" si="6">+P18-T18</f>
        <v>-251135.41</v>
      </c>
      <c r="Y18" s="4"/>
      <c r="Z18" s="36">
        <f t="shared" ref="Z18:Z28" si="7">IF(T18=0,0,X18/T18)</f>
        <v>-0.99999852669340861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5284.9199999999992</v>
      </c>
      <c r="I19" s="1"/>
      <c r="J19" s="5">
        <f t="shared" si="1"/>
        <v>0</v>
      </c>
      <c r="K19" s="1"/>
      <c r="L19" s="1">
        <f t="shared" si="2"/>
        <v>-5284.9199999999992</v>
      </c>
      <c r="M19" s="1"/>
      <c r="N19" s="5">
        <f t="shared" si="3"/>
        <v>-1</v>
      </c>
      <c r="O19" s="13"/>
      <c r="P19" s="1">
        <f>SUM(OSRRefP22_0x_0)</f>
        <v>0.1400000000000432</v>
      </c>
      <c r="Q19" s="1"/>
      <c r="R19" s="5">
        <f t="shared" si="4"/>
        <v>0</v>
      </c>
      <c r="S19" s="1"/>
      <c r="T19" s="1">
        <f>SUM(OSRRefT22_0x_0)</f>
        <v>37627.18</v>
      </c>
      <c r="U19" s="1"/>
      <c r="V19" s="5">
        <f t="shared" si="5"/>
        <v>0</v>
      </c>
      <c r="W19" s="1"/>
      <c r="X19" s="1">
        <f t="shared" si="6"/>
        <v>-37627.040000000001</v>
      </c>
      <c r="Y19" s="1"/>
      <c r="Z19" s="5">
        <f t="shared" si="7"/>
        <v>-0.9999962792853464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701.44</v>
      </c>
      <c r="I20" s="2"/>
      <c r="J20" s="6">
        <f t="shared" si="1"/>
        <v>0</v>
      </c>
      <c r="K20" s="2"/>
      <c r="L20" s="7">
        <f t="shared" si="2"/>
        <v>-701.44</v>
      </c>
      <c r="M20" s="2"/>
      <c r="N20" s="6">
        <f t="shared" si="3"/>
        <v>-1</v>
      </c>
      <c r="O20" s="11"/>
      <c r="P20" s="7">
        <v>402.04</v>
      </c>
      <c r="Q20" s="2"/>
      <c r="R20" s="6">
        <f t="shared" si="4"/>
        <v>0</v>
      </c>
      <c r="S20" s="2"/>
      <c r="T20" s="7">
        <v>9945.7800000000007</v>
      </c>
      <c r="U20" s="2"/>
      <c r="V20" s="6">
        <f t="shared" si="5"/>
        <v>0</v>
      </c>
      <c r="W20" s="2"/>
      <c r="X20" s="7">
        <f t="shared" si="6"/>
        <v>-9543.74</v>
      </c>
      <c r="Y20" s="2"/>
      <c r="Z20" s="6">
        <f t="shared" si="7"/>
        <v>-0.95957682554812185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823.5</v>
      </c>
      <c r="I21" s="2"/>
      <c r="J21" s="6">
        <f t="shared" si="1"/>
        <v>0</v>
      </c>
      <c r="K21" s="2"/>
      <c r="L21" s="7">
        <f t="shared" si="2"/>
        <v>-823.5</v>
      </c>
      <c r="M21" s="2"/>
      <c r="N21" s="6">
        <f t="shared" si="3"/>
        <v>-1</v>
      </c>
      <c r="O21" s="11"/>
      <c r="P21" s="7"/>
      <c r="Q21" s="2"/>
      <c r="R21" s="6">
        <f t="shared" si="4"/>
        <v>0</v>
      </c>
      <c r="S21" s="2"/>
      <c r="T21" s="7">
        <v>3464.4</v>
      </c>
      <c r="U21" s="2"/>
      <c r="V21" s="6">
        <f t="shared" si="5"/>
        <v>0</v>
      </c>
      <c r="W21" s="2"/>
      <c r="X21" s="7">
        <f t="shared" si="6"/>
        <v>-3464.4</v>
      </c>
      <c r="Y21" s="2"/>
      <c r="Z21" s="6">
        <f t="shared" si="7"/>
        <v>-1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1949.27</v>
      </c>
      <c r="I22" s="2"/>
      <c r="J22" s="6">
        <f t="shared" si="1"/>
        <v>0</v>
      </c>
      <c r="K22" s="2"/>
      <c r="L22" s="7">
        <f t="shared" si="2"/>
        <v>-1949.27</v>
      </c>
      <c r="M22" s="2"/>
      <c r="N22" s="6">
        <f t="shared" si="3"/>
        <v>-1</v>
      </c>
      <c r="O22" s="11"/>
      <c r="P22" s="7"/>
      <c r="Q22" s="2"/>
      <c r="R22" s="6">
        <f t="shared" si="4"/>
        <v>0</v>
      </c>
      <c r="S22" s="2"/>
      <c r="T22" s="7">
        <v>11695.62</v>
      </c>
      <c r="U22" s="2"/>
      <c r="V22" s="6">
        <f t="shared" si="5"/>
        <v>0</v>
      </c>
      <c r="W22" s="2"/>
      <c r="X22" s="7">
        <f t="shared" si="6"/>
        <v>-11695.62</v>
      </c>
      <c r="Y22" s="2"/>
      <c r="Z22" s="6">
        <f t="shared" si="7"/>
        <v>-1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112.69</v>
      </c>
      <c r="I23" s="2"/>
      <c r="J23" s="6">
        <f t="shared" si="1"/>
        <v>0</v>
      </c>
      <c r="K23" s="2"/>
      <c r="L23" s="7">
        <f t="shared" si="2"/>
        <v>-112.69</v>
      </c>
      <c r="M23" s="2"/>
      <c r="N23" s="6">
        <f t="shared" si="3"/>
        <v>-1</v>
      </c>
      <c r="O23" s="11"/>
      <c r="P23" s="7"/>
      <c r="Q23" s="2"/>
      <c r="R23" s="6">
        <f t="shared" si="4"/>
        <v>0</v>
      </c>
      <c r="S23" s="2"/>
      <c r="T23" s="7">
        <v>569.94000000000005</v>
      </c>
      <c r="U23" s="2"/>
      <c r="V23" s="6">
        <f t="shared" si="5"/>
        <v>0</v>
      </c>
      <c r="W23" s="2"/>
      <c r="X23" s="7">
        <f t="shared" si="6"/>
        <v>-569.94000000000005</v>
      </c>
      <c r="Y23" s="2"/>
      <c r="Z23" s="6">
        <f t="shared" si="7"/>
        <v>-1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691.3</v>
      </c>
      <c r="I24" s="2"/>
      <c r="J24" s="6">
        <f t="shared" si="1"/>
        <v>0</v>
      </c>
      <c r="K24" s="2"/>
      <c r="L24" s="7">
        <f t="shared" si="2"/>
        <v>-691.3</v>
      </c>
      <c r="M24" s="2"/>
      <c r="N24" s="6">
        <f t="shared" si="3"/>
        <v>-1</v>
      </c>
      <c r="O24" s="11"/>
      <c r="P24" s="7"/>
      <c r="Q24" s="2"/>
      <c r="R24" s="6">
        <f t="shared" si="4"/>
        <v>0</v>
      </c>
      <c r="S24" s="2"/>
      <c r="T24" s="7">
        <v>4428.42</v>
      </c>
      <c r="U24" s="2"/>
      <c r="V24" s="6">
        <f t="shared" si="5"/>
        <v>0</v>
      </c>
      <c r="W24" s="2"/>
      <c r="X24" s="7">
        <f t="shared" si="6"/>
        <v>-4428.42</v>
      </c>
      <c r="Y24" s="2"/>
      <c r="Z24" s="6">
        <f t="shared" si="7"/>
        <v>-1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-401.9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-401.9</v>
      </c>
      <c r="Y25" s="2"/>
      <c r="Z25" s="6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286.44</v>
      </c>
      <c r="I26" s="2"/>
      <c r="J26" s="6">
        <f t="shared" si="1"/>
        <v>0</v>
      </c>
      <c r="K26" s="2"/>
      <c r="L26" s="7">
        <f t="shared" si="2"/>
        <v>-286.44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2306.4299999999998</v>
      </c>
      <c r="U26" s="2"/>
      <c r="V26" s="6">
        <f t="shared" si="5"/>
        <v>0</v>
      </c>
      <c r="W26" s="2"/>
      <c r="X26" s="7">
        <f t="shared" si="6"/>
        <v>-2306.4299999999998</v>
      </c>
      <c r="Y26" s="2"/>
      <c r="Z26" s="6">
        <f t="shared" si="7"/>
        <v>-1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0"/>
        <v>0</v>
      </c>
      <c r="G27" s="2"/>
      <c r="H27" s="7">
        <v>374.44</v>
      </c>
      <c r="I27" s="2"/>
      <c r="J27" s="6">
        <f t="shared" si="1"/>
        <v>0</v>
      </c>
      <c r="K27" s="2"/>
      <c r="L27" s="7">
        <f t="shared" si="2"/>
        <v>-374.44</v>
      </c>
      <c r="M27" s="2"/>
      <c r="N27" s="6">
        <f t="shared" si="3"/>
        <v>-1</v>
      </c>
      <c r="O27" s="11"/>
      <c r="P27" s="7"/>
      <c r="Q27" s="2"/>
      <c r="R27" s="6">
        <f t="shared" si="4"/>
        <v>0</v>
      </c>
      <c r="S27" s="2"/>
      <c r="T27" s="7">
        <v>3312.49</v>
      </c>
      <c r="U27" s="2"/>
      <c r="V27" s="6">
        <f t="shared" si="5"/>
        <v>0</v>
      </c>
      <c r="W27" s="2"/>
      <c r="X27" s="7">
        <f t="shared" si="6"/>
        <v>-3312.49</v>
      </c>
      <c r="Y27" s="2"/>
      <c r="Z27" s="6">
        <f t="shared" si="7"/>
        <v>-1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>
        <v>345.84</v>
      </c>
      <c r="I28" s="2"/>
      <c r="J28" s="6">
        <f t="shared" si="1"/>
        <v>0</v>
      </c>
      <c r="K28" s="2"/>
      <c r="L28" s="7">
        <f t="shared" si="2"/>
        <v>-345.84</v>
      </c>
      <c r="M28" s="2"/>
      <c r="N28" s="6">
        <f t="shared" si="3"/>
        <v>-1</v>
      </c>
      <c r="O28" s="11"/>
      <c r="P28" s="7"/>
      <c r="Q28" s="2"/>
      <c r="R28" s="6">
        <f t="shared" si="4"/>
        <v>0</v>
      </c>
      <c r="S28" s="2"/>
      <c r="T28" s="7">
        <v>1904.1</v>
      </c>
      <c r="U28" s="2"/>
      <c r="V28" s="6">
        <f t="shared" si="5"/>
        <v>0</v>
      </c>
      <c r="W28" s="2"/>
      <c r="X28" s="7">
        <f t="shared" si="6"/>
        <v>-1904.1</v>
      </c>
      <c r="Y28" s="2"/>
      <c r="Z28" s="6">
        <f t="shared" si="7"/>
        <v>-1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0</v>
      </c>
      <c r="E29" s="1"/>
      <c r="F29" s="5">
        <f t="shared" ref="F29:F35" si="8">IF(D$12=0,0,D29/D$12)</f>
        <v>0</v>
      </c>
      <c r="G29" s="1"/>
      <c r="H29" s="1">
        <f>SUM(OSRRefH22_1x_0)</f>
        <v>31955.96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-31955.96</v>
      </c>
      <c r="M29" s="1"/>
      <c r="N29" s="5">
        <f t="shared" ref="N29:N35" si="11">IF(H29=0,0,L29/H29)</f>
        <v>-1</v>
      </c>
      <c r="O29" s="13"/>
      <c r="P29" s="1">
        <f>SUM(OSRRefP22_1x_0)</f>
        <v>0.23</v>
      </c>
      <c r="Q29" s="1"/>
      <c r="R29" s="5">
        <f t="shared" ref="R29:R35" si="12">IF(P$12=0,0,P29/P$12)</f>
        <v>0</v>
      </c>
      <c r="S29" s="1"/>
      <c r="T29" s="1">
        <f>SUM(OSRRefT22_1x_0)</f>
        <v>208746.55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-208746.31999999998</v>
      </c>
      <c r="Y29" s="1"/>
      <c r="Z29" s="5">
        <f t="shared" ref="Z29:Z35" si="15">IF(T29=0,0,X29/T29)</f>
        <v>-0.99999889818538312</v>
      </c>
    </row>
    <row r="30" spans="1:26" s="24" customFormat="1" hidden="1" outlineLevel="2" x14ac:dyDescent="0.25">
      <c r="A30" s="27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7783.22</v>
      </c>
      <c r="I30" s="2"/>
      <c r="J30" s="6">
        <f t="shared" si="9"/>
        <v>0</v>
      </c>
      <c r="K30" s="2"/>
      <c r="L30" s="7">
        <f t="shared" si="10"/>
        <v>-7783.22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50467.56</v>
      </c>
      <c r="U30" s="2"/>
      <c r="V30" s="6">
        <f t="shared" si="13"/>
        <v>0</v>
      </c>
      <c r="W30" s="2"/>
      <c r="X30" s="7">
        <f t="shared" si="14"/>
        <v>-50467.56</v>
      </c>
      <c r="Y30" s="2"/>
      <c r="Z30" s="6">
        <f t="shared" si="15"/>
        <v>-1</v>
      </c>
    </row>
    <row r="31" spans="1:26" s="24" customFormat="1" hidden="1" outlineLevel="2" x14ac:dyDescent="0.25">
      <c r="A31" s="27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0.23</v>
      </c>
      <c r="Q31" s="2"/>
      <c r="R31" s="6">
        <f t="shared" si="12"/>
        <v>0</v>
      </c>
      <c r="S31" s="2"/>
      <c r="T31" s="7"/>
      <c r="U31" s="2"/>
      <c r="V31" s="6">
        <f t="shared" si="13"/>
        <v>0</v>
      </c>
      <c r="W31" s="2"/>
      <c r="X31" s="7">
        <f t="shared" si="14"/>
        <v>0.23</v>
      </c>
      <c r="Y31" s="2"/>
      <c r="Z31" s="6">
        <f t="shared" si="15"/>
        <v>0</v>
      </c>
    </row>
    <row r="32" spans="1:26" s="24" customFormat="1" hidden="1" outlineLevel="2" x14ac:dyDescent="0.25">
      <c r="A32" s="27"/>
      <c r="B32" s="11" t="str">
        <f>CONCATENATE("          ", "6005", " - ", "TEMPORARY WAGES-HOURLY")</f>
        <v xml:space="preserve">          6005 - TEMPORARY WAGES-HOURLY</v>
      </c>
      <c r="C32" s="11"/>
      <c r="D32" s="7"/>
      <c r="E32" s="2"/>
      <c r="F32" s="6">
        <f t="shared" si="8"/>
        <v>0</v>
      </c>
      <c r="G32" s="2"/>
      <c r="H32" s="7">
        <v>1049.79</v>
      </c>
      <c r="I32" s="2"/>
      <c r="J32" s="6">
        <f t="shared" si="9"/>
        <v>0</v>
      </c>
      <c r="K32" s="2"/>
      <c r="L32" s="7">
        <f t="shared" si="10"/>
        <v>-1049.79</v>
      </c>
      <c r="M32" s="2"/>
      <c r="N32" s="6">
        <f t="shared" si="11"/>
        <v>-1</v>
      </c>
      <c r="O32" s="11"/>
      <c r="P32" s="7"/>
      <c r="Q32" s="2"/>
      <c r="R32" s="6">
        <f t="shared" si="12"/>
        <v>0</v>
      </c>
      <c r="S32" s="2"/>
      <c r="T32" s="7">
        <v>11089.38</v>
      </c>
      <c r="U32" s="2"/>
      <c r="V32" s="6">
        <f t="shared" si="13"/>
        <v>0</v>
      </c>
      <c r="W32" s="2"/>
      <c r="X32" s="7">
        <f t="shared" si="14"/>
        <v>-11089.38</v>
      </c>
      <c r="Y32" s="2"/>
      <c r="Z32" s="6">
        <f t="shared" si="15"/>
        <v>-1</v>
      </c>
    </row>
    <row r="33" spans="1:26" s="24" customFormat="1" hidden="1" outlineLevel="2" x14ac:dyDescent="0.25">
      <c r="A33" s="27"/>
      <c r="B33" s="11" t="str">
        <f>CONCATENATE("          ", "6006", " - ", "TEMPORARY PART TIME")</f>
        <v xml:space="preserve">          6006 - TEMPORARY PART TIME</v>
      </c>
      <c r="C33" s="11"/>
      <c r="D33" s="7"/>
      <c r="E33" s="2"/>
      <c r="F33" s="6">
        <f t="shared" si="8"/>
        <v>0</v>
      </c>
      <c r="G33" s="2"/>
      <c r="H33" s="7"/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9085.3700000000008</v>
      </c>
      <c r="U33" s="2"/>
      <c r="V33" s="6">
        <f t="shared" si="13"/>
        <v>0</v>
      </c>
      <c r="W33" s="2"/>
      <c r="X33" s="7">
        <f t="shared" si="14"/>
        <v>-9085.3700000000008</v>
      </c>
      <c r="Y33" s="2"/>
      <c r="Z33" s="6">
        <f t="shared" si="15"/>
        <v>-1</v>
      </c>
    </row>
    <row r="34" spans="1:26" s="24" customFormat="1" hidden="1" outlineLevel="2" x14ac:dyDescent="0.25">
      <c r="A34" s="27"/>
      <c r="B34" s="11" t="str">
        <f>CONCATENATE("          ", "6007", " - ", "STUDENT HOURLY")</f>
        <v xml:space="preserve">          6007 - STUDENT HOURLY</v>
      </c>
      <c r="C34" s="11"/>
      <c r="D34" s="7"/>
      <c r="E34" s="2"/>
      <c r="F34" s="6">
        <f t="shared" si="8"/>
        <v>0</v>
      </c>
      <c r="G34" s="2"/>
      <c r="H34" s="7">
        <v>21962.7</v>
      </c>
      <c r="I34" s="2"/>
      <c r="J34" s="6">
        <f t="shared" si="9"/>
        <v>0</v>
      </c>
      <c r="K34" s="2"/>
      <c r="L34" s="7">
        <f t="shared" si="10"/>
        <v>-21962.7</v>
      </c>
      <c r="M34" s="2"/>
      <c r="N34" s="6">
        <f t="shared" si="11"/>
        <v>-1</v>
      </c>
      <c r="O34" s="11"/>
      <c r="P34" s="7"/>
      <c r="Q34" s="2"/>
      <c r="R34" s="6">
        <f t="shared" si="12"/>
        <v>0</v>
      </c>
      <c r="S34" s="2"/>
      <c r="T34" s="7">
        <v>132407.99</v>
      </c>
      <c r="U34" s="2"/>
      <c r="V34" s="6">
        <f t="shared" si="13"/>
        <v>0</v>
      </c>
      <c r="W34" s="2"/>
      <c r="X34" s="7">
        <f t="shared" si="14"/>
        <v>-132407.99</v>
      </c>
      <c r="Y34" s="2"/>
      <c r="Z34" s="6">
        <f t="shared" si="15"/>
        <v>-1</v>
      </c>
    </row>
    <row r="35" spans="1:26" s="24" customFormat="1" hidden="1" outlineLevel="2" x14ac:dyDescent="0.25">
      <c r="A35" s="27"/>
      <c r="B35" s="11" t="str">
        <f>CONCATENATE("          ", "6008", " - ", "STUDENT HOURLY-FICA EXEMPT")</f>
        <v xml:space="preserve">          6008 - STUDENT HOURLY-FICA EXEMPT</v>
      </c>
      <c r="C35" s="11"/>
      <c r="D35" s="7"/>
      <c r="E35" s="2"/>
      <c r="F35" s="6">
        <f t="shared" si="8"/>
        <v>0</v>
      </c>
      <c r="G35" s="2"/>
      <c r="H35" s="7">
        <v>1160.25</v>
      </c>
      <c r="I35" s="2"/>
      <c r="J35" s="6">
        <f t="shared" si="9"/>
        <v>0</v>
      </c>
      <c r="K35" s="2"/>
      <c r="L35" s="7">
        <f t="shared" si="10"/>
        <v>-1160.25</v>
      </c>
      <c r="M35" s="2"/>
      <c r="N35" s="6">
        <f t="shared" si="11"/>
        <v>-1</v>
      </c>
      <c r="O35" s="11"/>
      <c r="P35" s="7"/>
      <c r="Q35" s="2"/>
      <c r="R35" s="6">
        <f t="shared" si="12"/>
        <v>0</v>
      </c>
      <c r="S35" s="2"/>
      <c r="T35" s="7">
        <v>5696.25</v>
      </c>
      <c r="U35" s="2"/>
      <c r="V35" s="6">
        <f t="shared" si="13"/>
        <v>0</v>
      </c>
      <c r="W35" s="2"/>
      <c r="X35" s="7">
        <f t="shared" si="14"/>
        <v>-5696.25</v>
      </c>
      <c r="Y35" s="2"/>
      <c r="Z35" s="6">
        <f t="shared" si="15"/>
        <v>-1</v>
      </c>
    </row>
    <row r="36" spans="1:26" s="25" customFormat="1" outlineLevel="1" collapsed="1" x14ac:dyDescent="0.25">
      <c r="A36" s="26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6" si="16">IF(D$12=0,0,D36/D$12)</f>
        <v>0</v>
      </c>
      <c r="G36" s="1"/>
      <c r="H36" s="1">
        <f>SUM(OSRRefH22_2x_0)</f>
        <v>36</v>
      </c>
      <c r="I36" s="1"/>
      <c r="J36" s="5">
        <f t="shared" ref="J36:J46" si="17">IF(H$12=0,0,H36/H$12)</f>
        <v>0</v>
      </c>
      <c r="K36" s="1"/>
      <c r="L36" s="1">
        <f t="shared" ref="L36:L46" si="18">+D36-H36</f>
        <v>-36</v>
      </c>
      <c r="M36" s="1"/>
      <c r="N36" s="5">
        <f t="shared" ref="N36:N46" si="19">IF(H36=0,0,L36/H36)</f>
        <v>-1</v>
      </c>
      <c r="O36" s="13"/>
      <c r="P36" s="1">
        <f>SUM(OSRRefP22_2x_0)</f>
        <v>0</v>
      </c>
      <c r="Q36" s="1"/>
      <c r="R36" s="5">
        <f t="shared" ref="R36:R46" si="20">IF(P$12=0,0,P36/P$12)</f>
        <v>0</v>
      </c>
      <c r="S36" s="1"/>
      <c r="T36" s="1">
        <f>SUM(OSRRefT22_2x_0)</f>
        <v>186</v>
      </c>
      <c r="U36" s="1"/>
      <c r="V36" s="5">
        <f t="shared" ref="V36:V46" si="21">IF(T$12=0,0,T36/T$12)</f>
        <v>0</v>
      </c>
      <c r="W36" s="1"/>
      <c r="X36" s="1">
        <f t="shared" ref="X36:X46" si="22">+P36-T36</f>
        <v>-186</v>
      </c>
      <c r="Y36" s="1"/>
      <c r="Z36" s="5">
        <f t="shared" ref="Z36:Z46" si="23">IF(T36=0,0,X36/T36)</f>
        <v>-1</v>
      </c>
    </row>
    <row r="37" spans="1:26" s="24" customFormat="1" hidden="1" outlineLevel="2" x14ac:dyDescent="0.25">
      <c r="A37" s="27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16"/>
        <v>0</v>
      </c>
      <c r="G37" s="2"/>
      <c r="H37" s="7">
        <v>36</v>
      </c>
      <c r="I37" s="2"/>
      <c r="J37" s="6">
        <f t="shared" si="17"/>
        <v>0</v>
      </c>
      <c r="K37" s="2"/>
      <c r="L37" s="7">
        <f t="shared" si="18"/>
        <v>-36</v>
      </c>
      <c r="M37" s="2"/>
      <c r="N37" s="6">
        <f t="shared" si="19"/>
        <v>-1</v>
      </c>
      <c r="O37" s="11"/>
      <c r="P37" s="7"/>
      <c r="Q37" s="2"/>
      <c r="R37" s="6">
        <f t="shared" si="20"/>
        <v>0</v>
      </c>
      <c r="S37" s="2"/>
      <c r="T37" s="7">
        <v>186</v>
      </c>
      <c r="U37" s="2"/>
      <c r="V37" s="6">
        <f t="shared" si="21"/>
        <v>0</v>
      </c>
      <c r="W37" s="2"/>
      <c r="X37" s="7">
        <f t="shared" si="22"/>
        <v>-186</v>
      </c>
      <c r="Y37" s="2"/>
      <c r="Z37" s="6">
        <f t="shared" si="23"/>
        <v>-1</v>
      </c>
    </row>
    <row r="38" spans="1:26" s="25" customFormat="1" outlineLevel="1" collapsed="1" x14ac:dyDescent="0.25">
      <c r="A38" s="26"/>
      <c r="B38" s="13" t="str">
        <f>CONCATENATE("     ","Equipment Rental                                  ")</f>
        <v xml:space="preserve">     Equipment Rental                                  </v>
      </c>
      <c r="C38" s="13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3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610.41999999999996</v>
      </c>
      <c r="U38" s="1"/>
      <c r="V38" s="5">
        <f t="shared" si="21"/>
        <v>0</v>
      </c>
      <c r="W38" s="1"/>
      <c r="X38" s="1">
        <f t="shared" si="22"/>
        <v>-610.41999999999996</v>
      </c>
      <c r="Y38" s="1"/>
      <c r="Z38" s="5">
        <f t="shared" si="23"/>
        <v>-1</v>
      </c>
    </row>
    <row r="39" spans="1:26" s="24" customFormat="1" hidden="1" outlineLevel="2" x14ac:dyDescent="0.25">
      <c r="A39" s="27"/>
      <c r="B39" s="11" t="str">
        <f>CONCATENATE("          ", "6351", " - ", "EQUIPMENT RENTAL")</f>
        <v xml:space="preserve">          6351 - EQUIPMENT RENTAL</v>
      </c>
      <c r="C39" s="11"/>
      <c r="D39" s="7"/>
      <c r="E39" s="2"/>
      <c r="F39" s="6">
        <f t="shared" si="16"/>
        <v>0</v>
      </c>
      <c r="G39" s="2"/>
      <c r="H39" s="7"/>
      <c r="I39" s="2"/>
      <c r="J39" s="6">
        <f t="shared" si="17"/>
        <v>0</v>
      </c>
      <c r="K39" s="2"/>
      <c r="L39" s="7">
        <f t="shared" si="18"/>
        <v>0</v>
      </c>
      <c r="M39" s="2"/>
      <c r="N39" s="6">
        <f t="shared" si="19"/>
        <v>0</v>
      </c>
      <c r="O39" s="11"/>
      <c r="P39" s="7"/>
      <c r="Q39" s="2"/>
      <c r="R39" s="6">
        <f t="shared" si="20"/>
        <v>0</v>
      </c>
      <c r="S39" s="2"/>
      <c r="T39" s="7">
        <v>610.41999999999996</v>
      </c>
      <c r="U39" s="2"/>
      <c r="V39" s="6">
        <f t="shared" si="21"/>
        <v>0</v>
      </c>
      <c r="W39" s="2"/>
      <c r="X39" s="7">
        <f t="shared" si="22"/>
        <v>-610.41999999999996</v>
      </c>
      <c r="Y39" s="2"/>
      <c r="Z39" s="6">
        <f t="shared" si="23"/>
        <v>-1</v>
      </c>
    </row>
    <row r="40" spans="1:26" s="25" customFormat="1" outlineLevel="1" collapsed="1" x14ac:dyDescent="0.25">
      <c r="A40" s="26"/>
      <c r="B40" s="13" t="str">
        <f>CONCATENATE("     ","Freight out/Postage                               ")</f>
        <v xml:space="preserve">     Freight out/Postage                               </v>
      </c>
      <c r="C40" s="13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0</v>
      </c>
      <c r="I40" s="1"/>
      <c r="J40" s="5">
        <f t="shared" si="17"/>
        <v>0</v>
      </c>
      <c r="K40" s="1"/>
      <c r="L40" s="1">
        <f t="shared" si="18"/>
        <v>0</v>
      </c>
      <c r="M40" s="1"/>
      <c r="N40" s="5">
        <f t="shared" si="19"/>
        <v>0</v>
      </c>
      <c r="O40" s="13"/>
      <c r="P40" s="1">
        <f>SUM(OSRRefP22_4x_0)</f>
        <v>0</v>
      </c>
      <c r="Q40" s="1"/>
      <c r="R40" s="5">
        <f t="shared" si="20"/>
        <v>0</v>
      </c>
      <c r="S40" s="1"/>
      <c r="T40" s="1">
        <f>SUM(OSRRefT22_4x_0)</f>
        <v>400</v>
      </c>
      <c r="U40" s="1"/>
      <c r="V40" s="5">
        <f t="shared" si="21"/>
        <v>0</v>
      </c>
      <c r="W40" s="1"/>
      <c r="X40" s="1">
        <f t="shared" si="22"/>
        <v>-400</v>
      </c>
      <c r="Y40" s="1"/>
      <c r="Z40" s="5">
        <f t="shared" si="23"/>
        <v>-1</v>
      </c>
    </row>
    <row r="41" spans="1:26" s="24" customFormat="1" hidden="1" outlineLevel="2" x14ac:dyDescent="0.25">
      <c r="A41" s="27"/>
      <c r="B41" s="11" t="str">
        <f>CONCATENATE("          ", "6307", " - ", "POSTAGE")</f>
        <v xml:space="preserve">          6307 - POSTAGE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/>
      <c r="Q41" s="2"/>
      <c r="R41" s="6">
        <f t="shared" si="20"/>
        <v>0</v>
      </c>
      <c r="S41" s="2"/>
      <c r="T41" s="7">
        <v>400</v>
      </c>
      <c r="U41" s="2"/>
      <c r="V41" s="6">
        <f t="shared" si="21"/>
        <v>0</v>
      </c>
      <c r="W41" s="2"/>
      <c r="X41" s="7">
        <f t="shared" si="22"/>
        <v>-400</v>
      </c>
      <c r="Y41" s="2"/>
      <c r="Z41" s="6">
        <f t="shared" si="23"/>
        <v>-1</v>
      </c>
    </row>
    <row r="42" spans="1:26" s="25" customFormat="1" outlineLevel="1" collapsed="1" x14ac:dyDescent="0.25">
      <c r="A42" s="26"/>
      <c r="B42" s="13" t="str">
        <f>CONCATENATE("     ","General                                           ")</f>
        <v xml:space="preserve">     General                                           </v>
      </c>
      <c r="C42" s="13"/>
      <c r="D42" s="1">
        <f>SUM(OSRRefD22_5x_0)</f>
        <v>0</v>
      </c>
      <c r="E42" s="1"/>
      <c r="F42" s="5">
        <f t="shared" si="16"/>
        <v>0</v>
      </c>
      <c r="G42" s="1"/>
      <c r="H42" s="1">
        <f>SUM(OSRRefH22_5x_0)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3"/>
      <c r="P42" s="1">
        <f>SUM(OSRRefP22_5x_0)</f>
        <v>0</v>
      </c>
      <c r="Q42" s="1"/>
      <c r="R42" s="5">
        <f t="shared" si="20"/>
        <v>0</v>
      </c>
      <c r="S42" s="1"/>
      <c r="T42" s="1">
        <f>SUM(OSRRefT22_5x_0)</f>
        <v>89.45</v>
      </c>
      <c r="U42" s="1"/>
      <c r="V42" s="5">
        <f t="shared" si="21"/>
        <v>0</v>
      </c>
      <c r="W42" s="1"/>
      <c r="X42" s="1">
        <f t="shared" si="22"/>
        <v>-89.45</v>
      </c>
      <c r="Y42" s="1"/>
      <c r="Z42" s="5">
        <f t="shared" si="23"/>
        <v>-1</v>
      </c>
    </row>
    <row r="43" spans="1:26" s="24" customFormat="1" hidden="1" outlineLevel="2" x14ac:dyDescent="0.25">
      <c r="A43" s="27"/>
      <c r="B43" s="11" t="str">
        <f>CONCATENATE("          ", "6279", " - ", "GENERAL EXPENSE")</f>
        <v xml:space="preserve">          6279 - GENERAL EXPENSE</v>
      </c>
      <c r="C43" s="11"/>
      <c r="D43" s="7"/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/>
      <c r="Q43" s="2"/>
      <c r="R43" s="6">
        <f t="shared" si="20"/>
        <v>0</v>
      </c>
      <c r="S43" s="2"/>
      <c r="T43" s="7">
        <v>89.45</v>
      </c>
      <c r="U43" s="2"/>
      <c r="V43" s="6">
        <f t="shared" si="21"/>
        <v>0</v>
      </c>
      <c r="W43" s="2"/>
      <c r="X43" s="7">
        <f t="shared" si="22"/>
        <v>-89.45</v>
      </c>
      <c r="Y43" s="2"/>
      <c r="Z43" s="6">
        <f t="shared" si="23"/>
        <v>-1</v>
      </c>
    </row>
    <row r="44" spans="1:26" s="25" customFormat="1" outlineLevel="1" collapsed="1" x14ac:dyDescent="0.25">
      <c r="A44" s="26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SUM(OSRRefD22_6x_0)</f>
        <v>0</v>
      </c>
      <c r="E44" s="1"/>
      <c r="F44" s="5">
        <f t="shared" si="16"/>
        <v>0</v>
      </c>
      <c r="G44" s="1"/>
      <c r="H44" s="1">
        <f>SUM(OSRRefH22_6x_0)</f>
        <v>9.14</v>
      </c>
      <c r="I44" s="1"/>
      <c r="J44" s="5">
        <f t="shared" si="17"/>
        <v>0</v>
      </c>
      <c r="K44" s="1"/>
      <c r="L44" s="1">
        <f t="shared" si="18"/>
        <v>-9.14</v>
      </c>
      <c r="M44" s="1"/>
      <c r="N44" s="5">
        <f t="shared" si="19"/>
        <v>-1</v>
      </c>
      <c r="O44" s="13"/>
      <c r="P44" s="1">
        <f>SUM(OSRRefP22_6x_0)</f>
        <v>0</v>
      </c>
      <c r="Q44" s="1"/>
      <c r="R44" s="5">
        <f t="shared" si="20"/>
        <v>0</v>
      </c>
      <c r="S44" s="1"/>
      <c r="T44" s="1">
        <f>SUM(OSRRefT22_6x_0)</f>
        <v>251.55</v>
      </c>
      <c r="U44" s="1"/>
      <c r="V44" s="5">
        <f t="shared" si="21"/>
        <v>0</v>
      </c>
      <c r="W44" s="1"/>
      <c r="X44" s="1">
        <f t="shared" si="22"/>
        <v>-251.55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1" t="str">
        <f>CONCATENATE("          ", "6373", " - ", "MAINTENANCE CONTRACTS")</f>
        <v xml:space="preserve">          6373 - MAINTENANCE CONTRACTS</v>
      </c>
      <c r="C45" s="11"/>
      <c r="D45" s="7"/>
      <c r="E45" s="2"/>
      <c r="F45" s="6">
        <f t="shared" si="16"/>
        <v>0</v>
      </c>
      <c r="G45" s="2"/>
      <c r="H45" s="7">
        <v>9.14</v>
      </c>
      <c r="I45" s="2"/>
      <c r="J45" s="6">
        <f t="shared" si="17"/>
        <v>0</v>
      </c>
      <c r="K45" s="2"/>
      <c r="L45" s="7">
        <f t="shared" si="18"/>
        <v>-9.14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59.22</v>
      </c>
      <c r="U45" s="2"/>
      <c r="V45" s="6">
        <f t="shared" si="21"/>
        <v>0</v>
      </c>
      <c r="W45" s="2"/>
      <c r="X45" s="7">
        <f t="shared" si="22"/>
        <v>-59.22</v>
      </c>
      <c r="Y45" s="2"/>
      <c r="Z45" s="6">
        <f t="shared" si="23"/>
        <v>-1</v>
      </c>
    </row>
    <row r="46" spans="1:26" s="24" customFormat="1" hidden="1" outlineLevel="2" x14ac:dyDescent="0.25">
      <c r="A46" s="27"/>
      <c r="B46" s="11" t="str">
        <f>CONCATENATE("          ", "6375", " - ", "OUTSIDE REPAIRS &amp; MAINTENANCE")</f>
        <v xml:space="preserve">          6375 - OUTSIDE REPAIRS &amp; MAINTENANCE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/>
      <c r="Q46" s="2"/>
      <c r="R46" s="6">
        <f t="shared" si="20"/>
        <v>0</v>
      </c>
      <c r="S46" s="2"/>
      <c r="T46" s="7">
        <v>192.33</v>
      </c>
      <c r="U46" s="2"/>
      <c r="V46" s="6">
        <f t="shared" si="21"/>
        <v>0</v>
      </c>
      <c r="W46" s="2"/>
      <c r="X46" s="7">
        <f t="shared" si="22"/>
        <v>-192.33</v>
      </c>
      <c r="Y46" s="2"/>
      <c r="Z46" s="6">
        <f t="shared" si="23"/>
        <v>-1</v>
      </c>
    </row>
    <row r="47" spans="1:26" s="25" customFormat="1" outlineLevel="1" collapsed="1" x14ac:dyDescent="0.25">
      <c r="A47" s="26"/>
      <c r="B47" s="13" t="str">
        <f>CONCATENATE("     ","Supplies                                          ")</f>
        <v xml:space="preserve">     Supplies                                          </v>
      </c>
      <c r="C47" s="13"/>
      <c r="D47" s="1">
        <f>SUM(OSRRefD22_7x_0)</f>
        <v>0</v>
      </c>
      <c r="E47" s="1"/>
      <c r="F47" s="5">
        <f t="shared" ref="F47:F50" si="24">IF(D$12=0,0,D47/D$12)</f>
        <v>0</v>
      </c>
      <c r="G47" s="1"/>
      <c r="H47" s="1">
        <f>SUM(OSRRefH22_7x_0)</f>
        <v>1224.78</v>
      </c>
      <c r="I47" s="1"/>
      <c r="J47" s="5">
        <f t="shared" ref="J47:J50" si="25">IF(H$12=0,0,H47/H$12)</f>
        <v>0</v>
      </c>
      <c r="K47" s="1"/>
      <c r="L47" s="1">
        <f t="shared" ref="L47:L50" si="26">+D47-H47</f>
        <v>-1224.78</v>
      </c>
      <c r="M47" s="1"/>
      <c r="N47" s="5">
        <f t="shared" ref="N47:N50" si="27">IF(H47=0,0,L47/H47)</f>
        <v>-1</v>
      </c>
      <c r="O47" s="13"/>
      <c r="P47" s="1">
        <f>SUM(OSRRefP22_7x_0)</f>
        <v>0</v>
      </c>
      <c r="Q47" s="1"/>
      <c r="R47" s="5">
        <f t="shared" ref="R47:R50" si="28">IF(P$12=0,0,P47/P$12)</f>
        <v>0</v>
      </c>
      <c r="S47" s="1"/>
      <c r="T47" s="1">
        <f>SUM(OSRRefT22_7x_0)</f>
        <v>2212.73</v>
      </c>
      <c r="U47" s="1"/>
      <c r="V47" s="5">
        <f t="shared" ref="V47:V50" si="29">IF(T$12=0,0,T47/T$12)</f>
        <v>0</v>
      </c>
      <c r="W47" s="1"/>
      <c r="X47" s="1">
        <f t="shared" ref="X47:X50" si="30">+P47-T47</f>
        <v>-2212.73</v>
      </c>
      <c r="Y47" s="1"/>
      <c r="Z47" s="5">
        <f t="shared" ref="Z47:Z50" si="31">IF(T47=0,0,X47/T47)</f>
        <v>-1</v>
      </c>
    </row>
    <row r="48" spans="1:26" s="24" customFormat="1" hidden="1" outlineLevel="2" x14ac:dyDescent="0.25">
      <c r="A48" s="27"/>
      <c r="B48" s="11" t="str">
        <f>CONCATENATE("          ", "6237", " - ", "JANITORIAL SUPPLIES")</f>
        <v xml:space="preserve">          6237 - JANITORIAL SUPPLIES</v>
      </c>
      <c r="C48" s="11"/>
      <c r="D48" s="7"/>
      <c r="E48" s="2"/>
      <c r="F48" s="6">
        <f t="shared" si="24"/>
        <v>0</v>
      </c>
      <c r="G48" s="2"/>
      <c r="H48" s="7"/>
      <c r="I48" s="2"/>
      <c r="J48" s="6">
        <f t="shared" si="25"/>
        <v>0</v>
      </c>
      <c r="K48" s="2"/>
      <c r="L48" s="7">
        <f t="shared" si="26"/>
        <v>0</v>
      </c>
      <c r="M48" s="2"/>
      <c r="N48" s="6">
        <f t="shared" si="27"/>
        <v>0</v>
      </c>
      <c r="O48" s="11"/>
      <c r="P48" s="7"/>
      <c r="Q48" s="2"/>
      <c r="R48" s="6">
        <f t="shared" si="28"/>
        <v>0</v>
      </c>
      <c r="S48" s="2"/>
      <c r="T48" s="7">
        <v>226.95</v>
      </c>
      <c r="U48" s="2"/>
      <c r="V48" s="6">
        <f t="shared" si="29"/>
        <v>0</v>
      </c>
      <c r="W48" s="2"/>
      <c r="X48" s="7">
        <f t="shared" si="30"/>
        <v>-226.95</v>
      </c>
      <c r="Y48" s="2"/>
      <c r="Z48" s="6">
        <f t="shared" si="31"/>
        <v>-1</v>
      </c>
    </row>
    <row r="49" spans="1:26" s="24" customFormat="1" hidden="1" outlineLevel="2" x14ac:dyDescent="0.25">
      <c r="A49" s="27"/>
      <c r="B49" s="11" t="str">
        <f>CONCATENATE("          ", "6241", " - ", "OFFICE EXPENSE")</f>
        <v xml:space="preserve">          6241 - OFFICE EXPENSE</v>
      </c>
      <c r="C49" s="11"/>
      <c r="D49" s="7"/>
      <c r="E49" s="2"/>
      <c r="F49" s="6">
        <f t="shared" si="24"/>
        <v>0</v>
      </c>
      <c r="G49" s="2"/>
      <c r="H49" s="7">
        <v>1037.18</v>
      </c>
      <c r="I49" s="2"/>
      <c r="J49" s="6">
        <f t="shared" si="25"/>
        <v>0</v>
      </c>
      <c r="K49" s="2"/>
      <c r="L49" s="7">
        <f t="shared" si="26"/>
        <v>-1037.18</v>
      </c>
      <c r="M49" s="2"/>
      <c r="N49" s="6">
        <f t="shared" si="27"/>
        <v>-1</v>
      </c>
      <c r="O49" s="11"/>
      <c r="P49" s="7"/>
      <c r="Q49" s="2"/>
      <c r="R49" s="6">
        <f t="shared" si="28"/>
        <v>0</v>
      </c>
      <c r="S49" s="2"/>
      <c r="T49" s="7">
        <v>1351.05</v>
      </c>
      <c r="U49" s="2"/>
      <c r="V49" s="6">
        <f t="shared" si="29"/>
        <v>0</v>
      </c>
      <c r="W49" s="2"/>
      <c r="X49" s="7">
        <f t="shared" si="30"/>
        <v>-1351.05</v>
      </c>
      <c r="Y49" s="2"/>
      <c r="Z49" s="6">
        <f t="shared" si="31"/>
        <v>-1</v>
      </c>
    </row>
    <row r="50" spans="1:26" s="24" customFormat="1" hidden="1" outlineLevel="2" x14ac:dyDescent="0.25">
      <c r="A50" s="27"/>
      <c r="B50" s="11" t="str">
        <f>CONCATENATE("          ", "6247", " - ", "STORE SUPPLIES")</f>
        <v xml:space="preserve">          6247 - STORE SUPPLIES</v>
      </c>
      <c r="C50" s="11"/>
      <c r="D50" s="7"/>
      <c r="E50" s="2"/>
      <c r="F50" s="6">
        <f t="shared" si="24"/>
        <v>0</v>
      </c>
      <c r="G50" s="2"/>
      <c r="H50" s="7">
        <v>187.6</v>
      </c>
      <c r="I50" s="2"/>
      <c r="J50" s="6">
        <f t="shared" si="25"/>
        <v>0</v>
      </c>
      <c r="K50" s="2"/>
      <c r="L50" s="7">
        <f t="shared" si="26"/>
        <v>-187.6</v>
      </c>
      <c r="M50" s="2"/>
      <c r="N50" s="6">
        <f t="shared" si="27"/>
        <v>-1</v>
      </c>
      <c r="O50" s="11"/>
      <c r="P50" s="7"/>
      <c r="Q50" s="2"/>
      <c r="R50" s="6">
        <f t="shared" si="28"/>
        <v>0</v>
      </c>
      <c r="S50" s="2"/>
      <c r="T50" s="7">
        <v>634.73</v>
      </c>
      <c r="U50" s="2"/>
      <c r="V50" s="6">
        <f t="shared" si="29"/>
        <v>0</v>
      </c>
      <c r="W50" s="2"/>
      <c r="X50" s="7">
        <f t="shared" si="30"/>
        <v>-634.73</v>
      </c>
      <c r="Y50" s="2"/>
      <c r="Z50" s="6">
        <f t="shared" si="31"/>
        <v>-1</v>
      </c>
    </row>
    <row r="51" spans="1:26" s="25" customFormat="1" outlineLevel="1" collapsed="1" x14ac:dyDescent="0.25">
      <c r="A51" s="26"/>
      <c r="B51" s="13" t="str">
        <f>CONCATENATE("     ","Telephone/Data Lines                              ")</f>
        <v xml:space="preserve">     Telephone/Data Lines                              </v>
      </c>
      <c r="C51" s="13"/>
      <c r="D51" s="1">
        <f>SUM(OSRRefD22_8x_0)</f>
        <v>0</v>
      </c>
      <c r="E51" s="1"/>
      <c r="F51" s="5">
        <f t="shared" ref="F51:F54" si="32">IF(D$12=0,0,D51/D$12)</f>
        <v>0</v>
      </c>
      <c r="G51" s="1"/>
      <c r="H51" s="1">
        <f>SUM(OSRRefH22_8x_0)</f>
        <v>159.69999999999999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-159.69999999999999</v>
      </c>
      <c r="M51" s="1"/>
      <c r="N51" s="5">
        <f t="shared" ref="N51:N54" si="35">IF(H51=0,0,L51/H51)</f>
        <v>-1</v>
      </c>
      <c r="O51" s="13"/>
      <c r="P51" s="1">
        <f>SUM(OSRRefP22_8x_0)</f>
        <v>0</v>
      </c>
      <c r="Q51" s="1"/>
      <c r="R51" s="5">
        <f t="shared" ref="R51:R54" si="36">IF(P$12=0,0,P51/P$12)</f>
        <v>0</v>
      </c>
      <c r="S51" s="1"/>
      <c r="T51" s="1">
        <f>SUM(OSRRefT22_8x_0)</f>
        <v>931.9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-931.9</v>
      </c>
      <c r="Y51" s="1"/>
      <c r="Z51" s="5">
        <f t="shared" ref="Z51:Z54" si="39">IF(T51=0,0,X51/T51)</f>
        <v>-1</v>
      </c>
    </row>
    <row r="52" spans="1:26" s="24" customFormat="1" hidden="1" outlineLevel="2" x14ac:dyDescent="0.25">
      <c r="A52" s="27"/>
      <c r="B52" s="11" t="str">
        <f>CONCATENATE("          ", "6309", " - ", "TELEPHONE")</f>
        <v xml:space="preserve">          6309 - TELEPHONE</v>
      </c>
      <c r="C52" s="11"/>
      <c r="D52" s="7"/>
      <c r="E52" s="2"/>
      <c r="F52" s="6">
        <f t="shared" si="32"/>
        <v>0</v>
      </c>
      <c r="G52" s="2"/>
      <c r="H52" s="7">
        <v>159.69999999999999</v>
      </c>
      <c r="I52" s="2"/>
      <c r="J52" s="6">
        <f t="shared" si="33"/>
        <v>0</v>
      </c>
      <c r="K52" s="2"/>
      <c r="L52" s="7">
        <f t="shared" si="34"/>
        <v>-159.69999999999999</v>
      </c>
      <c r="M52" s="2"/>
      <c r="N52" s="6">
        <f t="shared" si="35"/>
        <v>-1</v>
      </c>
      <c r="O52" s="11"/>
      <c r="P52" s="7"/>
      <c r="Q52" s="2"/>
      <c r="R52" s="6">
        <f t="shared" si="36"/>
        <v>0</v>
      </c>
      <c r="S52" s="2"/>
      <c r="T52" s="7">
        <v>931.9</v>
      </c>
      <c r="U52" s="2"/>
      <c r="V52" s="6">
        <f t="shared" si="37"/>
        <v>0</v>
      </c>
      <c r="W52" s="2"/>
      <c r="X52" s="7">
        <f t="shared" si="38"/>
        <v>-931.9</v>
      </c>
      <c r="Y52" s="2"/>
      <c r="Z52" s="6">
        <f t="shared" si="39"/>
        <v>-1</v>
      </c>
    </row>
    <row r="53" spans="1:26" s="25" customFormat="1" outlineLevel="1" collapsed="1" x14ac:dyDescent="0.25">
      <c r="A53" s="26"/>
      <c r="B53" s="13" t="str">
        <f>CONCATENATE("     ","Training                                          ")</f>
        <v xml:space="preserve">     Training                                          </v>
      </c>
      <c r="C53" s="13"/>
      <c r="D53" s="1">
        <f>SUM(OSRRefD22_9x_0)</f>
        <v>0</v>
      </c>
      <c r="E53" s="1"/>
      <c r="F53" s="5">
        <f t="shared" si="32"/>
        <v>0</v>
      </c>
      <c r="G53" s="1"/>
      <c r="H53" s="1">
        <f>SUM(OSRRefH22_9x_0)</f>
        <v>0</v>
      </c>
      <c r="I53" s="1"/>
      <c r="J53" s="5">
        <f t="shared" si="33"/>
        <v>0</v>
      </c>
      <c r="K53" s="1"/>
      <c r="L53" s="1">
        <f t="shared" si="34"/>
        <v>0</v>
      </c>
      <c r="M53" s="1"/>
      <c r="N53" s="5">
        <f t="shared" si="35"/>
        <v>0</v>
      </c>
      <c r="O53" s="13"/>
      <c r="P53" s="1">
        <f>SUM(OSRRefP22_9x_0)</f>
        <v>0</v>
      </c>
      <c r="Q53" s="1"/>
      <c r="R53" s="5">
        <f t="shared" si="36"/>
        <v>0</v>
      </c>
      <c r="S53" s="1"/>
      <c r="T53" s="1">
        <f>SUM(OSRRefT22_9x_0)</f>
        <v>80</v>
      </c>
      <c r="U53" s="1"/>
      <c r="V53" s="5">
        <f t="shared" si="37"/>
        <v>0</v>
      </c>
      <c r="W53" s="1"/>
      <c r="X53" s="1">
        <f t="shared" si="38"/>
        <v>-80</v>
      </c>
      <c r="Y53" s="1"/>
      <c r="Z53" s="5">
        <f t="shared" si="39"/>
        <v>-1</v>
      </c>
    </row>
    <row r="54" spans="1:26" s="24" customFormat="1" hidden="1" outlineLevel="2" x14ac:dyDescent="0.25">
      <c r="A54" s="27"/>
      <c r="B54" s="11" t="str">
        <f>CONCATENATE("          ", "6376", " - ", "TRAINING")</f>
        <v xml:space="preserve">          6376 - TRAINING</v>
      </c>
      <c r="C54" s="11"/>
      <c r="D54" s="7"/>
      <c r="E54" s="2"/>
      <c r="F54" s="6">
        <f t="shared" si="32"/>
        <v>0</v>
      </c>
      <c r="G54" s="2"/>
      <c r="H54" s="7"/>
      <c r="I54" s="2"/>
      <c r="J54" s="6">
        <f t="shared" si="33"/>
        <v>0</v>
      </c>
      <c r="K54" s="2"/>
      <c r="L54" s="7">
        <f t="shared" si="34"/>
        <v>0</v>
      </c>
      <c r="M54" s="2"/>
      <c r="N54" s="6">
        <f t="shared" si="35"/>
        <v>0</v>
      </c>
      <c r="O54" s="11"/>
      <c r="P54" s="7"/>
      <c r="Q54" s="2"/>
      <c r="R54" s="6">
        <f t="shared" si="36"/>
        <v>0</v>
      </c>
      <c r="S54" s="2"/>
      <c r="T54" s="7">
        <v>80</v>
      </c>
      <c r="U54" s="2"/>
      <c r="V54" s="6">
        <f t="shared" si="37"/>
        <v>0</v>
      </c>
      <c r="W54" s="2"/>
      <c r="X54" s="7">
        <f t="shared" si="38"/>
        <v>-80</v>
      </c>
      <c r="Y54" s="2"/>
      <c r="Z54" s="6">
        <f t="shared" si="39"/>
        <v>-1</v>
      </c>
    </row>
    <row r="55" spans="1:26" s="55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8" t="s">
        <v>3</v>
      </c>
      <c r="C58" s="28"/>
      <c r="D58" s="20">
        <f>+D16-D18+D56</f>
        <v>0</v>
      </c>
      <c r="E58" s="14"/>
      <c r="F58" s="21">
        <f>IF(D$12=0,0,D58/D$12)</f>
        <v>0</v>
      </c>
      <c r="G58" s="14"/>
      <c r="H58" s="20">
        <f>+H16-H18+H56</f>
        <v>-38670.5</v>
      </c>
      <c r="I58" s="14"/>
      <c r="J58" s="21">
        <f>IF(H$12=0,0,H58/H$12)</f>
        <v>0</v>
      </c>
      <c r="K58" s="15"/>
      <c r="L58" s="20">
        <f>+D58-H58</f>
        <v>38670.5</v>
      </c>
      <c r="M58" s="15"/>
      <c r="N58" s="21">
        <f>IF(H58=0,0,L58/H58)</f>
        <v>-1</v>
      </c>
      <c r="O58" s="29"/>
      <c r="P58" s="20">
        <f>+P16-P18+P56</f>
        <v>-0.37000000000004318</v>
      </c>
      <c r="Q58" s="14"/>
      <c r="R58" s="21">
        <f>IF(P$12=0,0,P58/P$12)</f>
        <v>0</v>
      </c>
      <c r="S58" s="14"/>
      <c r="T58" s="20">
        <f>+T16-T18+T56</f>
        <v>-251135.78</v>
      </c>
      <c r="U58" s="14"/>
      <c r="V58" s="21">
        <f>IF(T$12=0,0,T58/T$12)</f>
        <v>0</v>
      </c>
      <c r="W58" s="15"/>
      <c r="X58" s="20">
        <f>+P58-T58</f>
        <v>251135.41</v>
      </c>
      <c r="Y58" s="15"/>
      <c r="Z58" s="21">
        <f>IF(T58=0,0,X58/T58)</f>
        <v>-0.99999852669340861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1"/>
      <c r="B60" s="10" t="s">
        <v>13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8" t="s">
        <v>4</v>
      </c>
      <c r="C62" s="28"/>
      <c r="D62" s="33">
        <f>+D58-D60</f>
        <v>0</v>
      </c>
      <c r="E62" s="14"/>
      <c r="F62" s="34">
        <f>IF(D$12=0,0,D62/D$12)</f>
        <v>0</v>
      </c>
      <c r="G62" s="14"/>
      <c r="H62" s="33">
        <f>+H58-H60</f>
        <v>-38670.5</v>
      </c>
      <c r="I62" s="14"/>
      <c r="J62" s="34">
        <f>IF(H$12=0,0,H62/H$12)</f>
        <v>0</v>
      </c>
      <c r="K62" s="15"/>
      <c r="L62" s="33">
        <f>D62-H62</f>
        <v>38670.5</v>
      </c>
      <c r="M62" s="15"/>
      <c r="N62" s="34">
        <f>IF(H62=0,0,L62/H62)</f>
        <v>-1</v>
      </c>
      <c r="O62" s="29"/>
      <c r="P62" s="33">
        <f>+P58-P60</f>
        <v>-0.37000000000004318</v>
      </c>
      <c r="Q62" s="14"/>
      <c r="R62" s="34">
        <f>IF(P$12=0,0,P62/P$12)</f>
        <v>0</v>
      </c>
      <c r="S62" s="14"/>
      <c r="T62" s="33">
        <f>+T58-T60</f>
        <v>-251135.78</v>
      </c>
      <c r="U62" s="14"/>
      <c r="V62" s="34">
        <f>IF(T$12=0,0,T62/T$12)</f>
        <v>0</v>
      </c>
      <c r="W62" s="15"/>
      <c r="X62" s="33">
        <f>P62-T62</f>
        <v>251135.41</v>
      </c>
      <c r="Y62" s="15"/>
      <c r="Z62" s="34">
        <f>IF(T62=0,0,X62/T62)</f>
        <v>-0.99999852669340861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5</v>
      </c>
      <c r="C65" s="28"/>
      <c r="D65" s="30">
        <f>SUM(D62:D64)</f>
        <v>0</v>
      </c>
      <c r="E65" s="14"/>
      <c r="F65" s="32">
        <f>IF(D$12=0,0,D65/D$12)</f>
        <v>0</v>
      </c>
      <c r="G65" s="14"/>
      <c r="H65" s="30">
        <f>SUM(H62:H64)</f>
        <v>-38670.5</v>
      </c>
      <c r="I65" s="14"/>
      <c r="J65" s="32">
        <f>IF(H$12=0,0,H65/H$12)</f>
        <v>0</v>
      </c>
      <c r="K65" s="15"/>
      <c r="L65" s="30">
        <f>+D65-H65</f>
        <v>38670.5</v>
      </c>
      <c r="M65" s="15"/>
      <c r="N65" s="32">
        <f>IF(H65=0,0,L65/H65)</f>
        <v>-1</v>
      </c>
      <c r="O65" s="29"/>
      <c r="P65" s="30">
        <f>SUM(P62:P64)</f>
        <v>-0.37000000000004318</v>
      </c>
      <c r="Q65" s="14"/>
      <c r="R65" s="32">
        <f>IF(P$12=0,0,P65/P$12)</f>
        <v>0</v>
      </c>
      <c r="S65" s="14"/>
      <c r="T65" s="30">
        <f>SUM(T62:T64)</f>
        <v>-251135.78</v>
      </c>
      <c r="U65" s="14"/>
      <c r="V65" s="32">
        <f>IF(T$12=0,0,T65/T$12)</f>
        <v>0</v>
      </c>
      <c r="W65" s="15"/>
      <c r="X65" s="30">
        <f>+P65-T65</f>
        <v>251135.41</v>
      </c>
      <c r="Y65" s="15"/>
      <c r="Z65" s="32">
        <f>IF(T65=0,0,X65/T65)</f>
        <v>-0.99999852669340861</v>
      </c>
    </row>
    <row r="66" spans="1:26" ht="15.75" thickTop="1" x14ac:dyDescent="0.25">
      <c r="A66" s="9"/>
      <c r="C66" s="9"/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6" x14ac:dyDescent="0.25">
      <c r="A67" s="9"/>
      <c r="B67" s="58">
        <v>44209.521720983794</v>
      </c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  <row r="68" spans="1:26" x14ac:dyDescent="0.25">
      <c r="A68" s="9"/>
      <c r="B68" s="61" t="s">
        <v>313</v>
      </c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25">
      <c r="A69" s="9"/>
      <c r="B69" s="57"/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304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44196.45</v>
      </c>
      <c r="I12" s="4"/>
      <c r="J12" s="12"/>
      <c r="K12" s="4"/>
      <c r="L12" s="4">
        <f t="shared" ref="L12:L47" si="0">+D12-H12</f>
        <v>-44196.45</v>
      </c>
      <c r="M12" s="4"/>
      <c r="N12" s="12">
        <f t="shared" ref="N12:N47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515977.31000000017</v>
      </c>
      <c r="U12" s="4"/>
      <c r="V12" s="12"/>
      <c r="W12" s="4"/>
      <c r="X12" s="4">
        <f t="shared" ref="X12:X47" si="2">+P12-T12</f>
        <v>-494665.39000000019</v>
      </c>
      <c r="Y12" s="4"/>
      <c r="Z12" s="12">
        <f t="shared" ref="Z12:Z47" si="3">IF(T12=0,0,X12/T12)</f>
        <v>-0.95869601320259612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47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>
        <f>--10.98</f>
        <v>10.98</v>
      </c>
      <c r="I14" s="2"/>
      <c r="J14" s="19"/>
      <c r="K14" s="2"/>
      <c r="L14" s="2">
        <f t="shared" si="0"/>
        <v>-10.98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--242.14</f>
        <v>242.14</v>
      </c>
      <c r="U14" s="2"/>
      <c r="V14" s="19"/>
      <c r="W14" s="2"/>
      <c r="X14" s="2">
        <f t="shared" si="2"/>
        <v>-242.14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5"/>
        <v>0</v>
      </c>
      <c r="Q15" s="2"/>
      <c r="R15" s="19"/>
      <c r="S15" s="2"/>
      <c r="T15" s="2">
        <f>--33.88</f>
        <v>33.880000000000003</v>
      </c>
      <c r="U15" s="2"/>
      <c r="V15" s="19"/>
      <c r="W15" s="2"/>
      <c r="X15" s="2">
        <f t="shared" si="2"/>
        <v>-33.880000000000003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 t="shared" si="4"/>
        <v>0</v>
      </c>
      <c r="E16" s="2"/>
      <c r="F16" s="19"/>
      <c r="G16" s="2"/>
      <c r="H16" s="2">
        <f>--5588.38</f>
        <v>5588.38</v>
      </c>
      <c r="I16" s="2"/>
      <c r="J16" s="19"/>
      <c r="K16" s="2"/>
      <c r="L16" s="2">
        <f t="shared" si="0"/>
        <v>-5588.38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--35133.1</f>
        <v>35133.1</v>
      </c>
      <c r="U16" s="2"/>
      <c r="V16" s="19"/>
      <c r="W16" s="2"/>
      <c r="X16" s="2">
        <f t="shared" si="2"/>
        <v>-35133.1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 t="shared" si="4"/>
        <v>0</v>
      </c>
      <c r="E17" s="2"/>
      <c r="F17" s="19"/>
      <c r="G17" s="2"/>
      <c r="H17" s="2">
        <f>--6227.76</f>
        <v>6227.76</v>
      </c>
      <c r="I17" s="2"/>
      <c r="J17" s="19"/>
      <c r="K17" s="2"/>
      <c r="L17" s="2">
        <f t="shared" si="0"/>
        <v>-6227.76</v>
      </c>
      <c r="M17" s="2"/>
      <c r="N17" s="19">
        <f t="shared" si="1"/>
        <v>-1</v>
      </c>
      <c r="O17" s="11"/>
      <c r="P17" s="2">
        <f>--17.51</f>
        <v>17.510000000000002</v>
      </c>
      <c r="Q17" s="2"/>
      <c r="R17" s="19"/>
      <c r="S17" s="2"/>
      <c r="T17" s="2">
        <f>--49778.52</f>
        <v>49778.52</v>
      </c>
      <c r="U17" s="2"/>
      <c r="V17" s="19"/>
      <c r="W17" s="2"/>
      <c r="X17" s="2">
        <f t="shared" si="2"/>
        <v>-49761.009999999995</v>
      </c>
      <c r="Y17" s="2"/>
      <c r="Z17" s="19">
        <f t="shared" si="3"/>
        <v>-0.9996482418521081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 t="shared" si="4"/>
        <v>0</v>
      </c>
      <c r="E18" s="2"/>
      <c r="F18" s="19"/>
      <c r="G18" s="2"/>
      <c r="H18" s="2">
        <f>--10568.39</f>
        <v>10568.39</v>
      </c>
      <c r="I18" s="2"/>
      <c r="J18" s="19"/>
      <c r="K18" s="2"/>
      <c r="L18" s="2">
        <f t="shared" si="0"/>
        <v>-10568.39</v>
      </c>
      <c r="M18" s="2"/>
      <c r="N18" s="19">
        <f t="shared" si="1"/>
        <v>-1</v>
      </c>
      <c r="O18" s="11"/>
      <c r="P18" s="2">
        <f>--7990.32</f>
        <v>7990.32</v>
      </c>
      <c r="Q18" s="2"/>
      <c r="R18" s="19"/>
      <c r="S18" s="2"/>
      <c r="T18" s="2">
        <f>--165309.56</f>
        <v>165309.56</v>
      </c>
      <c r="U18" s="2"/>
      <c r="V18" s="19"/>
      <c r="W18" s="2"/>
      <c r="X18" s="2">
        <f t="shared" si="2"/>
        <v>-157319.24</v>
      </c>
      <c r="Y18" s="2"/>
      <c r="Z18" s="19">
        <f t="shared" si="3"/>
        <v>-0.95166450143597259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 t="shared" si="4"/>
        <v>0</v>
      </c>
      <c r="E19" s="2"/>
      <c r="F19" s="19"/>
      <c r="G19" s="2"/>
      <c r="H19" s="2">
        <f>--13684.86</f>
        <v>13684.86</v>
      </c>
      <c r="I19" s="2"/>
      <c r="J19" s="19"/>
      <c r="K19" s="2"/>
      <c r="L19" s="2">
        <f t="shared" si="0"/>
        <v>-13684.86</v>
      </c>
      <c r="M19" s="2"/>
      <c r="N19" s="19">
        <f t="shared" si="1"/>
        <v>-1</v>
      </c>
      <c r="O19" s="11"/>
      <c r="P19" s="2">
        <f>--12479.05</f>
        <v>12479.05</v>
      </c>
      <c r="Q19" s="2"/>
      <c r="R19" s="19"/>
      <c r="S19" s="2"/>
      <c r="T19" s="2">
        <f>--189637.57</f>
        <v>189637.57</v>
      </c>
      <c r="U19" s="2"/>
      <c r="V19" s="19"/>
      <c r="W19" s="2"/>
      <c r="X19" s="2">
        <f t="shared" si="2"/>
        <v>-177158.52000000002</v>
      </c>
      <c r="Y19" s="2"/>
      <c r="Z19" s="19">
        <f t="shared" si="3"/>
        <v>-0.93419526521036955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 t="shared" si="4"/>
        <v>0</v>
      </c>
      <c r="E20" s="2"/>
      <c r="F20" s="19"/>
      <c r="G20" s="2"/>
      <c r="H20" s="2">
        <f>--26.89</f>
        <v>26.89</v>
      </c>
      <c r="I20" s="2"/>
      <c r="J20" s="19"/>
      <c r="K20" s="2"/>
      <c r="L20" s="2">
        <f t="shared" si="0"/>
        <v>-26.89</v>
      </c>
      <c r="M20" s="2"/>
      <c r="N20" s="19">
        <f t="shared" si="1"/>
        <v>-1</v>
      </c>
      <c r="O20" s="11"/>
      <c r="P20" s="2">
        <f>--374.55</f>
        <v>374.55</v>
      </c>
      <c r="Q20" s="2"/>
      <c r="R20" s="19"/>
      <c r="S20" s="2"/>
      <c r="T20" s="2">
        <f>--306.94</f>
        <v>306.94</v>
      </c>
      <c r="U20" s="2"/>
      <c r="V20" s="19"/>
      <c r="W20" s="2"/>
      <c r="X20" s="2">
        <f t="shared" si="2"/>
        <v>67.610000000000014</v>
      </c>
      <c r="Y20" s="2"/>
      <c r="Z20" s="19">
        <f t="shared" si="3"/>
        <v>0.22027106274841993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 t="shared" si="4"/>
        <v>0</v>
      </c>
      <c r="E21" s="2"/>
      <c r="F21" s="19"/>
      <c r="G21" s="2"/>
      <c r="H21" s="2">
        <f>--203.26</f>
        <v>203.26</v>
      </c>
      <c r="I21" s="2"/>
      <c r="J21" s="19"/>
      <c r="K21" s="2"/>
      <c r="L21" s="2">
        <f t="shared" si="0"/>
        <v>-203.26</v>
      </c>
      <c r="M21" s="2"/>
      <c r="N21" s="19">
        <f t="shared" si="1"/>
        <v>-1</v>
      </c>
      <c r="O21" s="11"/>
      <c r="P21" s="2">
        <f t="shared" ref="P21:P25" si="6">0</f>
        <v>0</v>
      </c>
      <c r="Q21" s="2"/>
      <c r="R21" s="19"/>
      <c r="S21" s="2"/>
      <c r="T21" s="2">
        <f>--866.34</f>
        <v>866.34</v>
      </c>
      <c r="U21" s="2"/>
      <c r="V21" s="19"/>
      <c r="W21" s="2"/>
      <c r="X21" s="2">
        <f t="shared" si="2"/>
        <v>-866.34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 t="shared" si="4"/>
        <v>0</v>
      </c>
      <c r="E22" s="2"/>
      <c r="F22" s="19"/>
      <c r="G22" s="2"/>
      <c r="H22" s="2">
        <f>--22.41</f>
        <v>22.41</v>
      </c>
      <c r="I22" s="2"/>
      <c r="J22" s="19"/>
      <c r="K22" s="2"/>
      <c r="L22" s="2">
        <f t="shared" si="0"/>
        <v>-22.41</v>
      </c>
      <c r="M22" s="2"/>
      <c r="N22" s="19">
        <f t="shared" si="1"/>
        <v>-1</v>
      </c>
      <c r="O22" s="11"/>
      <c r="P22" s="2">
        <f t="shared" si="6"/>
        <v>0</v>
      </c>
      <c r="Q22" s="2"/>
      <c r="R22" s="19"/>
      <c r="S22" s="2"/>
      <c r="T22" s="2">
        <f>--131.02</f>
        <v>131.02000000000001</v>
      </c>
      <c r="U22" s="2"/>
      <c r="V22" s="19"/>
      <c r="W22" s="2"/>
      <c r="X22" s="2">
        <f t="shared" si="2"/>
        <v>-131.02000000000001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 t="shared" si="4"/>
        <v>0</v>
      </c>
      <c r="E23" s="2"/>
      <c r="F23" s="19"/>
      <c r="G23" s="2"/>
      <c r="H23" s="2">
        <f>--547.26</f>
        <v>547.26</v>
      </c>
      <c r="I23" s="2"/>
      <c r="J23" s="19"/>
      <c r="K23" s="2"/>
      <c r="L23" s="2">
        <f t="shared" si="0"/>
        <v>-547.26</v>
      </c>
      <c r="M23" s="2"/>
      <c r="N23" s="19">
        <f t="shared" si="1"/>
        <v>-1</v>
      </c>
      <c r="O23" s="11"/>
      <c r="P23" s="2">
        <f t="shared" si="6"/>
        <v>0</v>
      </c>
      <c r="Q23" s="2"/>
      <c r="R23" s="19"/>
      <c r="S23" s="2"/>
      <c r="T23" s="2">
        <f>--5271.51</f>
        <v>5271.51</v>
      </c>
      <c r="U23" s="2"/>
      <c r="V23" s="19"/>
      <c r="W23" s="2"/>
      <c r="X23" s="2">
        <f t="shared" si="2"/>
        <v>-5271.51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 t="shared" si="4"/>
        <v>0</v>
      </c>
      <c r="E24" s="2"/>
      <c r="F24" s="19"/>
      <c r="G24" s="2"/>
      <c r="H24" s="2">
        <f>--133.49</f>
        <v>133.49</v>
      </c>
      <c r="I24" s="2"/>
      <c r="J24" s="19"/>
      <c r="K24" s="2"/>
      <c r="L24" s="2">
        <f t="shared" si="0"/>
        <v>-133.49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--1267.09</f>
        <v>1267.0899999999999</v>
      </c>
      <c r="U24" s="2"/>
      <c r="V24" s="19"/>
      <c r="W24" s="2"/>
      <c r="X24" s="2">
        <f t="shared" si="2"/>
        <v>-1267.0899999999999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 t="shared" si="4"/>
        <v>0</v>
      </c>
      <c r="E25" s="2"/>
      <c r="F25" s="19"/>
      <c r="G25" s="2"/>
      <c r="H25" s="2">
        <f>--19.09</f>
        <v>19.09</v>
      </c>
      <c r="I25" s="2"/>
      <c r="J25" s="19"/>
      <c r="K25" s="2"/>
      <c r="L25" s="2">
        <f t="shared" si="0"/>
        <v>-19.09</v>
      </c>
      <c r="M25" s="2"/>
      <c r="N25" s="19">
        <f t="shared" si="1"/>
        <v>-1</v>
      </c>
      <c r="O25" s="11"/>
      <c r="P25" s="2">
        <f t="shared" si="6"/>
        <v>0</v>
      </c>
      <c r="Q25" s="2"/>
      <c r="R25" s="19"/>
      <c r="S25" s="2"/>
      <c r="T25" s="2">
        <f>--396.26</f>
        <v>396.26</v>
      </c>
      <c r="U25" s="2"/>
      <c r="V25" s="19"/>
      <c r="W25" s="2"/>
      <c r="X25" s="2">
        <f t="shared" si="2"/>
        <v>-396.26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"4081", " - ", "TAXABLE SALES-ELECTRONICS")</f>
        <v xml:space="preserve">          4081 - TAXABLE SALES-ELECTRONICS</v>
      </c>
      <c r="C26" s="11"/>
      <c r="D26" s="2">
        <f t="shared" si="4"/>
        <v>0</v>
      </c>
      <c r="E26" s="2"/>
      <c r="F26" s="19"/>
      <c r="G26" s="2"/>
      <c r="H26" s="2">
        <f>--310.76</f>
        <v>310.76</v>
      </c>
      <c r="I26" s="2"/>
      <c r="J26" s="19"/>
      <c r="K26" s="2"/>
      <c r="L26" s="2">
        <f t="shared" si="0"/>
        <v>-310.76</v>
      </c>
      <c r="M26" s="2"/>
      <c r="N26" s="19">
        <f t="shared" si="1"/>
        <v>-1</v>
      </c>
      <c r="O26" s="11"/>
      <c r="P26" s="2">
        <f>--71.95</f>
        <v>71.95</v>
      </c>
      <c r="Q26" s="2"/>
      <c r="R26" s="19"/>
      <c r="S26" s="2"/>
      <c r="T26" s="2">
        <f>--2534.43</f>
        <v>2534.4299999999998</v>
      </c>
      <c r="U26" s="2"/>
      <c r="V26" s="19"/>
      <c r="W26" s="2"/>
      <c r="X26" s="2">
        <f t="shared" si="2"/>
        <v>-2462.48</v>
      </c>
      <c r="Y26" s="2"/>
      <c r="Z26" s="19">
        <f t="shared" si="3"/>
        <v>-0.97161097367060845</v>
      </c>
    </row>
    <row r="27" spans="1:26" s="24" customFormat="1" hidden="1" outlineLevel="1" x14ac:dyDescent="0.25">
      <c r="A27" s="44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 t="shared" si="4"/>
        <v>0</v>
      </c>
      <c r="E27" s="2"/>
      <c r="F27" s="19"/>
      <c r="G27" s="2"/>
      <c r="H27" s="2">
        <f>--19</f>
        <v>19</v>
      </c>
      <c r="I27" s="2"/>
      <c r="J27" s="19"/>
      <c r="K27" s="2"/>
      <c r="L27" s="2">
        <f t="shared" si="0"/>
        <v>-19</v>
      </c>
      <c r="M27" s="2"/>
      <c r="N27" s="19">
        <f t="shared" si="1"/>
        <v>-1</v>
      </c>
      <c r="O27" s="11"/>
      <c r="P27" s="2">
        <f>0</f>
        <v>0</v>
      </c>
      <c r="Q27" s="2"/>
      <c r="R27" s="19"/>
      <c r="S27" s="2"/>
      <c r="T27" s="2">
        <f>--181</f>
        <v>181</v>
      </c>
      <c r="U27" s="2"/>
      <c r="V27" s="19"/>
      <c r="W27" s="2"/>
      <c r="X27" s="2">
        <f t="shared" si="2"/>
        <v>-181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 t="shared" si="4"/>
        <v>0</v>
      </c>
      <c r="E28" s="2"/>
      <c r="F28" s="19"/>
      <c r="G28" s="2"/>
      <c r="H28" s="2">
        <f>--129.88</f>
        <v>129.88</v>
      </c>
      <c r="I28" s="2"/>
      <c r="J28" s="19"/>
      <c r="K28" s="2"/>
      <c r="L28" s="2">
        <f t="shared" si="0"/>
        <v>-129.88</v>
      </c>
      <c r="M28" s="2"/>
      <c r="N28" s="19">
        <f t="shared" si="1"/>
        <v>-1</v>
      </c>
      <c r="O28" s="11"/>
      <c r="P28" s="2">
        <f>--9.99</f>
        <v>9.99</v>
      </c>
      <c r="Q28" s="2"/>
      <c r="R28" s="19"/>
      <c r="S28" s="2"/>
      <c r="T28" s="2">
        <f>--699.48</f>
        <v>699.48</v>
      </c>
      <c r="U28" s="2"/>
      <c r="V28" s="19"/>
      <c r="W28" s="2"/>
      <c r="X28" s="2">
        <f t="shared" si="2"/>
        <v>-689.49</v>
      </c>
      <c r="Y28" s="2"/>
      <c r="Z28" s="19">
        <f t="shared" si="3"/>
        <v>-0.98571796191456507</v>
      </c>
    </row>
    <row r="29" spans="1:26" s="24" customFormat="1" hidden="1" outlineLevel="1" x14ac:dyDescent="0.25">
      <c r="A29" s="44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 t="shared" si="4"/>
        <v>0</v>
      </c>
      <c r="E29" s="2"/>
      <c r="F29" s="19"/>
      <c r="G29" s="2"/>
      <c r="H29" s="2">
        <f>--58.98</f>
        <v>58.98</v>
      </c>
      <c r="I29" s="2"/>
      <c r="J29" s="19"/>
      <c r="K29" s="2"/>
      <c r="L29" s="2">
        <f t="shared" si="0"/>
        <v>-58.98</v>
      </c>
      <c r="M29" s="2"/>
      <c r="N29" s="19">
        <f t="shared" si="1"/>
        <v>-1</v>
      </c>
      <c r="O29" s="11"/>
      <c r="P29" s="2">
        <f t="shared" ref="P29:P33" si="7">0</f>
        <v>0</v>
      </c>
      <c r="Q29" s="2"/>
      <c r="R29" s="19"/>
      <c r="S29" s="2"/>
      <c r="T29" s="2">
        <f>--698.77</f>
        <v>698.77</v>
      </c>
      <c r="U29" s="2"/>
      <c r="V29" s="19"/>
      <c r="W29" s="2"/>
      <c r="X29" s="2">
        <f t="shared" si="2"/>
        <v>-698.77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"4125", " - ", "NON-TAXABLE SALES-TEST FORMS")</f>
        <v xml:space="preserve">          4125 - NON-TAXABLE SALES-TEST FORMS</v>
      </c>
      <c r="C30" s="11"/>
      <c r="D30" s="2">
        <f t="shared" si="4"/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7"/>
        <v>0</v>
      </c>
      <c r="Q30" s="2"/>
      <c r="R30" s="19"/>
      <c r="S30" s="2"/>
      <c r="T30" s="2">
        <f>--124.18</f>
        <v>124.18</v>
      </c>
      <c r="U30" s="2"/>
      <c r="V30" s="19"/>
      <c r="W30" s="2"/>
      <c r="X30" s="2">
        <f t="shared" si="2"/>
        <v>-124.18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"4126", " - ", "NON-TAXABLE SALES-WRITING INST")</f>
        <v xml:space="preserve">          4126 - NON-TAXABLE SALES-WRITING INST</v>
      </c>
      <c r="C31" s="11"/>
      <c r="D31" s="2">
        <f t="shared" si="4"/>
        <v>0</v>
      </c>
      <c r="E31" s="2"/>
      <c r="F31" s="19"/>
      <c r="G31" s="2"/>
      <c r="H31" s="2">
        <f>--38.73</f>
        <v>38.729999999999997</v>
      </c>
      <c r="I31" s="2"/>
      <c r="J31" s="19"/>
      <c r="K31" s="2"/>
      <c r="L31" s="2">
        <f t="shared" si="0"/>
        <v>-38.729999999999997</v>
      </c>
      <c r="M31" s="2"/>
      <c r="N31" s="19">
        <f t="shared" si="1"/>
        <v>-1</v>
      </c>
      <c r="O31" s="11"/>
      <c r="P31" s="2">
        <f t="shared" si="7"/>
        <v>0</v>
      </c>
      <c r="Q31" s="2"/>
      <c r="R31" s="19"/>
      <c r="S31" s="2"/>
      <c r="T31" s="2">
        <f>--1509.11</f>
        <v>1509.11</v>
      </c>
      <c r="U31" s="2"/>
      <c r="V31" s="19"/>
      <c r="W31" s="2"/>
      <c r="X31" s="2">
        <f t="shared" si="2"/>
        <v>-1509.11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"4127", " - ", "NON-TAXABLE SALES-SCHOOL SUPPL")</f>
        <v xml:space="preserve">          4127 - NON-TAXABLE SALES-SCHOOL SUPPL</v>
      </c>
      <c r="C32" s="11"/>
      <c r="D32" s="2">
        <f t="shared" si="4"/>
        <v>0</v>
      </c>
      <c r="E32" s="2"/>
      <c r="F32" s="19"/>
      <c r="G32" s="2"/>
      <c r="H32" s="2">
        <f t="shared" ref="H32:H33" si="8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7"/>
        <v>0</v>
      </c>
      <c r="Q32" s="2"/>
      <c r="R32" s="19"/>
      <c r="S32" s="2"/>
      <c r="T32" s="2">
        <f>--2603.4</f>
        <v>2603.4</v>
      </c>
      <c r="U32" s="2"/>
      <c r="V32" s="19"/>
      <c r="W32" s="2"/>
      <c r="X32" s="2">
        <f t="shared" si="2"/>
        <v>-2603.4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"4128", " - ", "NON-TAXABLE SALES-ART/TECH")</f>
        <v xml:space="preserve">          4128 - NON-TAXABLE SALES-ART/TECH</v>
      </c>
      <c r="C33" s="11"/>
      <c r="D33" s="2">
        <f t="shared" si="4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7"/>
        <v>0</v>
      </c>
      <c r="Q33" s="2"/>
      <c r="R33" s="19"/>
      <c r="S33" s="2"/>
      <c r="T33" s="2">
        <f>--348.72</f>
        <v>348.72</v>
      </c>
      <c r="U33" s="2"/>
      <c r="V33" s="19"/>
      <c r="W33" s="2"/>
      <c r="X33" s="2">
        <f t="shared" si="2"/>
        <v>-348.72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"4131", " - ", "NON-TAXABLE SALES-FOOD")</f>
        <v xml:space="preserve">          4131 - NON-TAXABLE SALES-FOOD</v>
      </c>
      <c r="C34" s="11"/>
      <c r="D34" s="2">
        <f t="shared" si="4"/>
        <v>0</v>
      </c>
      <c r="E34" s="2"/>
      <c r="F34" s="19"/>
      <c r="G34" s="2"/>
      <c r="H34" s="2">
        <f>--4058.22</f>
        <v>4058.22</v>
      </c>
      <c r="I34" s="2"/>
      <c r="J34" s="19"/>
      <c r="K34" s="2"/>
      <c r="L34" s="2">
        <f t="shared" si="0"/>
        <v>-4058.22</v>
      </c>
      <c r="M34" s="2"/>
      <c r="N34" s="19">
        <f t="shared" si="1"/>
        <v>-1</v>
      </c>
      <c r="O34" s="11"/>
      <c r="P34" s="2">
        <f>--1847.16</f>
        <v>1847.16</v>
      </c>
      <c r="Q34" s="2"/>
      <c r="R34" s="19"/>
      <c r="S34" s="2"/>
      <c r="T34" s="2">
        <f>--39085.73</f>
        <v>39085.730000000003</v>
      </c>
      <c r="U34" s="2"/>
      <c r="V34" s="19"/>
      <c r="W34" s="2"/>
      <c r="X34" s="2">
        <f t="shared" si="2"/>
        <v>-37238.57</v>
      </c>
      <c r="Y34" s="2"/>
      <c r="Z34" s="19">
        <f t="shared" si="3"/>
        <v>-0.95274080847409004</v>
      </c>
    </row>
    <row r="35" spans="1:26" s="24" customFormat="1" hidden="1" outlineLevel="1" x14ac:dyDescent="0.25">
      <c r="A35" s="44"/>
      <c r="B35" s="11" t="str">
        <f>CONCATENATE("          ", "4132", " - ", "NON-TAXABLE SALES-JUICE")</f>
        <v xml:space="preserve">          4132 - NON-TAXABLE SALES-JUICE</v>
      </c>
      <c r="C35" s="11"/>
      <c r="D35" s="2">
        <f t="shared" si="4"/>
        <v>0</v>
      </c>
      <c r="E35" s="2"/>
      <c r="F35" s="19"/>
      <c r="G35" s="2"/>
      <c r="H35" s="2">
        <f>--1170.81</f>
        <v>1170.81</v>
      </c>
      <c r="I35" s="2"/>
      <c r="J35" s="19"/>
      <c r="K35" s="2"/>
      <c r="L35" s="2">
        <f t="shared" si="0"/>
        <v>-1170.81</v>
      </c>
      <c r="M35" s="2"/>
      <c r="N35" s="19">
        <f t="shared" si="1"/>
        <v>-1</v>
      </c>
      <c r="O35" s="11"/>
      <c r="P35" s="2">
        <f t="shared" ref="P35:P42" si="9">0</f>
        <v>0</v>
      </c>
      <c r="Q35" s="2"/>
      <c r="R35" s="19"/>
      <c r="S35" s="2"/>
      <c r="T35" s="2">
        <f>--11445.2</f>
        <v>11445.2</v>
      </c>
      <c r="U35" s="2"/>
      <c r="V35" s="19"/>
      <c r="W35" s="2"/>
      <c r="X35" s="2">
        <f t="shared" si="2"/>
        <v>-11445.2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"4133", " - ", "NON-TAXABLE SALES-CANDY")</f>
        <v xml:space="preserve">          4133 - NON-TAXABLE SALES-CANDY</v>
      </c>
      <c r="C36" s="11"/>
      <c r="D36" s="2">
        <f t="shared" si="4"/>
        <v>0</v>
      </c>
      <c r="E36" s="2"/>
      <c r="F36" s="19"/>
      <c r="G36" s="2"/>
      <c r="H36" s="2">
        <f>--1305.22</f>
        <v>1305.22</v>
      </c>
      <c r="I36" s="2"/>
      <c r="J36" s="19"/>
      <c r="K36" s="2"/>
      <c r="L36" s="2">
        <f t="shared" si="0"/>
        <v>-1305.22</v>
      </c>
      <c r="M36" s="2"/>
      <c r="N36" s="19">
        <f t="shared" si="1"/>
        <v>-1</v>
      </c>
      <c r="O36" s="11"/>
      <c r="P36" s="2">
        <f t="shared" si="9"/>
        <v>0</v>
      </c>
      <c r="Q36" s="2"/>
      <c r="R36" s="19"/>
      <c r="S36" s="2"/>
      <c r="T36" s="2">
        <f>--12121.78</f>
        <v>12121.78</v>
      </c>
      <c r="U36" s="2"/>
      <c r="V36" s="19"/>
      <c r="W36" s="2"/>
      <c r="X36" s="2">
        <f t="shared" si="2"/>
        <v>-12121.78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"4135", " - ", "NON-TAXABLE SALES")</f>
        <v xml:space="preserve">          4135 - NON-TAXABLE SALES</v>
      </c>
      <c r="C37" s="11"/>
      <c r="D37" s="2">
        <f t="shared" si="4"/>
        <v>0</v>
      </c>
      <c r="E37" s="2"/>
      <c r="F37" s="19"/>
      <c r="G37" s="2"/>
      <c r="H37" s="2">
        <f>--3.59</f>
        <v>3.59</v>
      </c>
      <c r="I37" s="2"/>
      <c r="J37" s="19"/>
      <c r="K37" s="2"/>
      <c r="L37" s="2">
        <f t="shared" si="0"/>
        <v>-3.59</v>
      </c>
      <c r="M37" s="2"/>
      <c r="N37" s="19">
        <f t="shared" si="1"/>
        <v>-1</v>
      </c>
      <c r="O37" s="11"/>
      <c r="P37" s="2">
        <f t="shared" si="9"/>
        <v>0</v>
      </c>
      <c r="Q37" s="2"/>
      <c r="R37" s="19"/>
      <c r="S37" s="2"/>
      <c r="T37" s="2">
        <f>--118.32</f>
        <v>118.32</v>
      </c>
      <c r="U37" s="2"/>
      <c r="V37" s="19"/>
      <c r="W37" s="2"/>
      <c r="X37" s="2">
        <f t="shared" si="2"/>
        <v>-118.32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"4137", " - ", "NON-TAXABLE SALES-WATER")</f>
        <v xml:space="preserve">          4137 - NON-TAXABLE SALES-WATER</v>
      </c>
      <c r="C38" s="11"/>
      <c r="D38" s="2">
        <f t="shared" si="4"/>
        <v>0</v>
      </c>
      <c r="E38" s="2"/>
      <c r="F38" s="19"/>
      <c r="G38" s="2"/>
      <c r="H38" s="2">
        <f>--617.73</f>
        <v>617.73</v>
      </c>
      <c r="I38" s="2"/>
      <c r="J38" s="19"/>
      <c r="K38" s="2"/>
      <c r="L38" s="2">
        <f t="shared" si="0"/>
        <v>-617.73</v>
      </c>
      <c r="M38" s="2"/>
      <c r="N38" s="19">
        <f t="shared" si="1"/>
        <v>-1</v>
      </c>
      <c r="O38" s="11"/>
      <c r="P38" s="2">
        <f t="shared" si="9"/>
        <v>0</v>
      </c>
      <c r="Q38" s="2"/>
      <c r="R38" s="19"/>
      <c r="S38" s="2"/>
      <c r="T38" s="2">
        <f>--5820.07</f>
        <v>5820.07</v>
      </c>
      <c r="U38" s="2"/>
      <c r="V38" s="19"/>
      <c r="W38" s="2"/>
      <c r="X38" s="2">
        <f t="shared" si="2"/>
        <v>-5820.07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"4186", " - ", "NON-TAXABLE SALES-COMPUTER SUP")</f>
        <v xml:space="preserve">          4186 - NON-TAXABLE SALES-COMPUTER SUP</v>
      </c>
      <c r="C39" s="11"/>
      <c r="D39" s="2">
        <f t="shared" si="4"/>
        <v>0</v>
      </c>
      <c r="E39" s="2"/>
      <c r="F39" s="19"/>
      <c r="G39" s="2"/>
      <c r="H39" s="2">
        <f t="shared" ref="H39:H40" si="10"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 t="shared" si="9"/>
        <v>0</v>
      </c>
      <c r="Q39" s="2"/>
      <c r="R39" s="19"/>
      <c r="S39" s="2"/>
      <c r="T39" s="2">
        <f>-30.97</f>
        <v>-30.97</v>
      </c>
      <c r="U39" s="2"/>
      <c r="V39" s="19"/>
      <c r="W39" s="2"/>
      <c r="X39" s="2">
        <f t="shared" si="2"/>
        <v>30.97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"4217", " - ", "NON-TAXABLE SALES-DORM/HOUSEWA")</f>
        <v xml:space="preserve">          4217 - NON-TAXABLE SALES-DORM/HOUSEWA</v>
      </c>
      <c r="C40" s="11"/>
      <c r="D40" s="2">
        <f t="shared" si="4"/>
        <v>0</v>
      </c>
      <c r="E40" s="2"/>
      <c r="F40" s="19"/>
      <c r="G40" s="2"/>
      <c r="H40" s="2">
        <f t="shared" si="10"/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 t="shared" si="9"/>
        <v>0</v>
      </c>
      <c r="Q40" s="2"/>
      <c r="R40" s="19"/>
      <c r="S40" s="2"/>
      <c r="T40" s="2">
        <f>-2.98</f>
        <v>-2.98</v>
      </c>
      <c r="U40" s="2"/>
      <c r="V40" s="19"/>
      <c r="W40" s="2"/>
      <c r="X40" s="2">
        <f t="shared" si="2"/>
        <v>2.98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"4225", " - ", "SALES RETURN TAXABLE-TEST FORM")</f>
        <v xml:space="preserve">          4225 - SALES RETURN TAXABLE-TEST FORM</v>
      </c>
      <c r="C41" s="11"/>
      <c r="D41" s="2">
        <f t="shared" si="4"/>
        <v>0</v>
      </c>
      <c r="E41" s="2"/>
      <c r="F41" s="19"/>
      <c r="G41" s="2"/>
      <c r="H41" s="2">
        <f>-15.51</f>
        <v>-15.51</v>
      </c>
      <c r="I41" s="2"/>
      <c r="J41" s="19"/>
      <c r="K41" s="2"/>
      <c r="L41" s="2">
        <f t="shared" si="0"/>
        <v>15.51</v>
      </c>
      <c r="M41" s="2"/>
      <c r="N41" s="19">
        <f t="shared" si="1"/>
        <v>-1</v>
      </c>
      <c r="O41" s="11"/>
      <c r="P41" s="2">
        <f t="shared" si="9"/>
        <v>0</v>
      </c>
      <c r="Q41" s="2"/>
      <c r="R41" s="19"/>
      <c r="S41" s="2"/>
      <c r="T41" s="2">
        <f>-80.97</f>
        <v>-80.97</v>
      </c>
      <c r="U41" s="2"/>
      <c r="V41" s="19"/>
      <c r="W41" s="2"/>
      <c r="X41" s="2">
        <f t="shared" si="2"/>
        <v>80.97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"4226", " - ", "SALES RETURN TAXABLE-WRITING I")</f>
        <v xml:space="preserve">          4226 - SALES RETURN TAXABLE-WRITING I</v>
      </c>
      <c r="C42" s="11"/>
      <c r="D42" s="2">
        <f t="shared" si="4"/>
        <v>0</v>
      </c>
      <c r="E42" s="2"/>
      <c r="F42" s="19"/>
      <c r="G42" s="2"/>
      <c r="H42" s="2">
        <f>-41.65</f>
        <v>-41.65</v>
      </c>
      <c r="I42" s="2"/>
      <c r="J42" s="19"/>
      <c r="K42" s="2"/>
      <c r="L42" s="2">
        <f t="shared" si="0"/>
        <v>41.65</v>
      </c>
      <c r="M42" s="2"/>
      <c r="N42" s="19">
        <f t="shared" si="1"/>
        <v>-1</v>
      </c>
      <c r="O42" s="11"/>
      <c r="P42" s="2">
        <f t="shared" si="9"/>
        <v>0</v>
      </c>
      <c r="Q42" s="2"/>
      <c r="R42" s="19"/>
      <c r="S42" s="2"/>
      <c r="T42" s="2">
        <f>-396.56</f>
        <v>-396.56</v>
      </c>
      <c r="U42" s="2"/>
      <c r="V42" s="19"/>
      <c r="W42" s="2"/>
      <c r="X42" s="2">
        <f t="shared" si="2"/>
        <v>396.56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"4227", " - ", "SALES RETURN TAXABLE-SCHOOL SU")</f>
        <v xml:space="preserve">          4227 - SALES RETURN TAXABLE-SCHOOL SU</v>
      </c>
      <c r="C43" s="11"/>
      <c r="D43" s="2">
        <f t="shared" si="4"/>
        <v>0</v>
      </c>
      <c r="E43" s="2"/>
      <c r="F43" s="19"/>
      <c r="G43" s="2"/>
      <c r="H43" s="2">
        <f>-204.76</f>
        <v>-204.76</v>
      </c>
      <c r="I43" s="2"/>
      <c r="J43" s="19"/>
      <c r="K43" s="2"/>
      <c r="L43" s="2">
        <f t="shared" si="0"/>
        <v>204.76</v>
      </c>
      <c r="M43" s="2"/>
      <c r="N43" s="19">
        <f t="shared" si="1"/>
        <v>-1</v>
      </c>
      <c r="O43" s="11"/>
      <c r="P43" s="2">
        <f>-159.97</f>
        <v>-159.97</v>
      </c>
      <c r="Q43" s="2"/>
      <c r="R43" s="19"/>
      <c r="S43" s="2"/>
      <c r="T43" s="2">
        <f>-5948.58</f>
        <v>-5948.58</v>
      </c>
      <c r="U43" s="2"/>
      <c r="V43" s="19"/>
      <c r="W43" s="2"/>
      <c r="X43" s="2">
        <f t="shared" si="2"/>
        <v>5788.61</v>
      </c>
      <c r="Y43" s="2"/>
      <c r="Z43" s="19">
        <f t="shared" si="3"/>
        <v>-0.97310786776003677</v>
      </c>
    </row>
    <row r="44" spans="1:26" s="24" customFormat="1" hidden="1" outlineLevel="1" x14ac:dyDescent="0.25">
      <c r="A44" s="44"/>
      <c r="B44" s="11" t="str">
        <f>CONCATENATE("          ", "4228", " - ", "SALES RETURN TAXABLE-ART/TECH")</f>
        <v xml:space="preserve">          4228 - SALES RETURN TAXABLE-ART/TECH</v>
      </c>
      <c r="C44" s="11"/>
      <c r="D44" s="2">
        <f t="shared" si="4"/>
        <v>0</v>
      </c>
      <c r="E44" s="2"/>
      <c r="F44" s="19"/>
      <c r="G44" s="2"/>
      <c r="H44" s="2">
        <f>-277.33</f>
        <v>-277.33</v>
      </c>
      <c r="I44" s="2"/>
      <c r="J44" s="19"/>
      <c r="K44" s="2"/>
      <c r="L44" s="2">
        <f t="shared" si="0"/>
        <v>277.33</v>
      </c>
      <c r="M44" s="2"/>
      <c r="N44" s="19">
        <f t="shared" si="1"/>
        <v>-1</v>
      </c>
      <c r="O44" s="11"/>
      <c r="P44" s="2">
        <f>-222.2</f>
        <v>-222.2</v>
      </c>
      <c r="Q44" s="2"/>
      <c r="R44" s="19"/>
      <c r="S44" s="2"/>
      <c r="T44" s="2">
        <f>-3148.62</f>
        <v>-3148.62</v>
      </c>
      <c r="U44" s="2"/>
      <c r="V44" s="19"/>
      <c r="W44" s="2"/>
      <c r="X44" s="2">
        <f t="shared" si="2"/>
        <v>2926.42</v>
      </c>
      <c r="Y44" s="2"/>
      <c r="Z44" s="19">
        <f t="shared" si="3"/>
        <v>-0.92942940081686587</v>
      </c>
    </row>
    <row r="45" spans="1:26" s="24" customFormat="1" hidden="1" outlineLevel="1" x14ac:dyDescent="0.25">
      <c r="A45" s="44"/>
      <c r="B45" s="11" t="str">
        <f>CONCATENATE("          ", "4233", " - ", "SALES RETURN TAXABLE-CANDY")</f>
        <v xml:space="preserve">          4233 - SALES RETURN TAXABLE-CANDY</v>
      </c>
      <c r="C45" s="11"/>
      <c r="D45" s="2">
        <f t="shared" si="4"/>
        <v>0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 t="shared" ref="P45:P47" si="11">0</f>
        <v>0</v>
      </c>
      <c r="Q45" s="2"/>
      <c r="R45" s="19"/>
      <c r="S45" s="2"/>
      <c r="T45" s="2">
        <f>-1.29</f>
        <v>-1.29</v>
      </c>
      <c r="U45" s="2"/>
      <c r="V45" s="19"/>
      <c r="W45" s="2"/>
      <c r="X45" s="2">
        <f t="shared" si="2"/>
        <v>1.29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"4281", " - ", "SALES RETURN TAXABLE-ELECTRONI")</f>
        <v xml:space="preserve">          4281 - SALES RETURN TAXABLE-ELECTRONI</v>
      </c>
      <c r="C46" s="11"/>
      <c r="D46" s="2">
        <f t="shared" si="4"/>
        <v>0</v>
      </c>
      <c r="E46" s="2"/>
      <c r="F46" s="19"/>
      <c r="G46" s="2"/>
      <c r="H46" s="2">
        <f>-9.99</f>
        <v>-9.99</v>
      </c>
      <c r="I46" s="2"/>
      <c r="J46" s="19"/>
      <c r="K46" s="2"/>
      <c r="L46" s="2">
        <f t="shared" si="0"/>
        <v>9.99</v>
      </c>
      <c r="M46" s="2"/>
      <c r="N46" s="19">
        <f t="shared" si="1"/>
        <v>-1</v>
      </c>
      <c r="O46" s="11"/>
      <c r="P46" s="2">
        <f t="shared" si="11"/>
        <v>0</v>
      </c>
      <c r="Q46" s="2"/>
      <c r="R46" s="19"/>
      <c r="S46" s="2"/>
      <c r="T46" s="2">
        <f>-54.97</f>
        <v>-54.97</v>
      </c>
      <c r="U46" s="2"/>
      <c r="V46" s="19"/>
      <c r="W46" s="2"/>
      <c r="X46" s="2">
        <f t="shared" si="2"/>
        <v>54.97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"4327", " - ", "SALES RETURN NON TAXABLE-SCHOO")</f>
        <v xml:space="preserve">          4327 - SALES RETURN NON TAXABLE-SCHOO</v>
      </c>
      <c r="C47" s="11"/>
      <c r="D47" s="2">
        <f t="shared" si="4"/>
        <v>0</v>
      </c>
      <c r="E47" s="2"/>
      <c r="F47" s="19"/>
      <c r="G47" s="2"/>
      <c r="H47" s="2">
        <f>0</f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11"/>
        <v>0</v>
      </c>
      <c r="Q47" s="2"/>
      <c r="R47" s="19"/>
      <c r="S47" s="2"/>
      <c r="T47" s="2">
        <f>-21.87</f>
        <v>-21.87</v>
      </c>
      <c r="U47" s="2"/>
      <c r="V47" s="19"/>
      <c r="W47" s="2"/>
      <c r="X47" s="2">
        <f t="shared" si="2"/>
        <v>21.87</v>
      </c>
      <c r="Y47" s="2"/>
      <c r="Z47" s="19">
        <f t="shared" si="3"/>
        <v>-1</v>
      </c>
    </row>
    <row r="48" spans="1:26" x14ac:dyDescent="0.25">
      <c r="A48" s="9"/>
      <c r="B48" s="10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collapsed="1" x14ac:dyDescent="0.25">
      <c r="A49" s="10"/>
      <c r="B49" s="29" t="s">
        <v>8</v>
      </c>
      <c r="C49" s="10"/>
      <c r="D49" s="4">
        <f>SUM(OSRRefD16x_0)</f>
        <v>-488.92</v>
      </c>
      <c r="E49" s="4"/>
      <c r="F49" s="12">
        <f t="shared" ref="F49:F72" si="12">IF(D$12=0,0,D49/D$12)</f>
        <v>0</v>
      </c>
      <c r="G49" s="4"/>
      <c r="H49" s="4">
        <f>SUM(OSRRefH16x_0)</f>
        <v>22262.880000000001</v>
      </c>
      <c r="I49" s="4"/>
      <c r="J49" s="12">
        <f t="shared" ref="J49:J72" si="13">IF(H$12=0,0,H49/H$12)</f>
        <v>0.50372552546641192</v>
      </c>
      <c r="K49" s="4"/>
      <c r="L49" s="4">
        <f t="shared" ref="L49:L72" si="14">+D49-H49</f>
        <v>-22751.8</v>
      </c>
      <c r="M49" s="4"/>
      <c r="N49" s="12">
        <f t="shared" ref="N49:N72" si="15">IF(H49=0,0,L49/H49)</f>
        <v>-1.0219612197523411</v>
      </c>
      <c r="O49" s="10"/>
      <c r="P49" s="4">
        <f>SUM(OSRRefP16x_0)</f>
        <v>13711.739999999994</v>
      </c>
      <c r="Q49" s="4"/>
      <c r="R49" s="12">
        <f t="shared" ref="R49:R72" si="16">IF(P$12=0,0,P49/P$12)</f>
        <v>0.64338360879733014</v>
      </c>
      <c r="S49" s="4"/>
      <c r="T49" s="4">
        <f>SUM(OSRRefT16x_0)</f>
        <v>256592.71000000005</v>
      </c>
      <c r="U49" s="4"/>
      <c r="V49" s="12">
        <f t="shared" ref="V49:V72" si="17">IF(T$12=0,0,T49/T$12)</f>
        <v>0.49729456126665716</v>
      </c>
      <c r="W49" s="4"/>
      <c r="X49" s="4">
        <f t="shared" ref="X49:X72" si="18">+P49-T49</f>
        <v>-242880.97000000006</v>
      </c>
      <c r="Y49" s="4"/>
      <c r="Z49" s="12">
        <f t="shared" ref="Z49:Z72" si="19">IF(T49=0,0,X49/T49)</f>
        <v>-0.94656223865440292</v>
      </c>
    </row>
    <row r="50" spans="1:26" s="24" customFormat="1" hidden="1" outlineLevel="1" x14ac:dyDescent="0.25">
      <c r="A50" s="44"/>
      <c r="B50" s="11" t="str">
        <f>CONCATENATE("          ", "5014", " - ", "PURCHASES @ COST-REMAINDERS")</f>
        <v xml:space="preserve">          5014 - PURCHASES @ COST-REMAINDERS</v>
      </c>
      <c r="C50" s="11"/>
      <c r="D50" s="2"/>
      <c r="E50" s="2"/>
      <c r="F50" s="19">
        <f t="shared" si="12"/>
        <v>0</v>
      </c>
      <c r="G50" s="2"/>
      <c r="H50" s="2"/>
      <c r="I50" s="2"/>
      <c r="J50" s="19">
        <f t="shared" si="13"/>
        <v>0</v>
      </c>
      <c r="K50" s="2"/>
      <c r="L50" s="2">
        <f t="shared" si="14"/>
        <v>0</v>
      </c>
      <c r="M50" s="2"/>
      <c r="N50" s="19">
        <f t="shared" si="15"/>
        <v>0</v>
      </c>
      <c r="O50" s="11"/>
      <c r="P50" s="2"/>
      <c r="Q50" s="2"/>
      <c r="R50" s="19">
        <f t="shared" si="16"/>
        <v>0</v>
      </c>
      <c r="S50" s="2"/>
      <c r="T50" s="2">
        <v>14.46</v>
      </c>
      <c r="U50" s="2"/>
      <c r="V50" s="19">
        <f t="shared" si="17"/>
        <v>2.8024488131076918E-5</v>
      </c>
      <c r="W50" s="2"/>
      <c r="X50" s="2">
        <f t="shared" si="18"/>
        <v>-14.46</v>
      </c>
      <c r="Y50" s="2"/>
      <c r="Z50" s="19">
        <f t="shared" si="19"/>
        <v>-1</v>
      </c>
    </row>
    <row r="51" spans="1:26" s="24" customFormat="1" hidden="1" outlineLevel="1" x14ac:dyDescent="0.25">
      <c r="A51" s="44"/>
      <c r="B51" s="11" t="str">
        <f>CONCATENATE("          ", "5017", " - ", "PURCHASES @ COST-DORM/HOUSEWAR")</f>
        <v xml:space="preserve">          5017 - PURCHASES @ COST-DORM/HOUSEWAR</v>
      </c>
      <c r="C51" s="11"/>
      <c r="D51" s="2"/>
      <c r="E51" s="2"/>
      <c r="F51" s="19">
        <f t="shared" si="12"/>
        <v>0</v>
      </c>
      <c r="G51" s="2"/>
      <c r="H51" s="2"/>
      <c r="I51" s="2"/>
      <c r="J51" s="19">
        <f t="shared" si="13"/>
        <v>0</v>
      </c>
      <c r="K51" s="2"/>
      <c r="L51" s="2">
        <f t="shared" si="14"/>
        <v>0</v>
      </c>
      <c r="M51" s="2"/>
      <c r="N51" s="19">
        <f t="shared" si="15"/>
        <v>0</v>
      </c>
      <c r="O51" s="11"/>
      <c r="P51" s="2"/>
      <c r="Q51" s="2"/>
      <c r="R51" s="19">
        <f t="shared" si="16"/>
        <v>0</v>
      </c>
      <c r="S51" s="2"/>
      <c r="T51" s="2">
        <v>0</v>
      </c>
      <c r="U51" s="2"/>
      <c r="V51" s="19">
        <f t="shared" si="17"/>
        <v>0</v>
      </c>
      <c r="W51" s="2"/>
      <c r="X51" s="2">
        <f t="shared" si="18"/>
        <v>0</v>
      </c>
      <c r="Y51" s="2"/>
      <c r="Z51" s="19">
        <f t="shared" si="19"/>
        <v>0</v>
      </c>
    </row>
    <row r="52" spans="1:26" s="24" customFormat="1" hidden="1" outlineLevel="1" x14ac:dyDescent="0.25">
      <c r="A52" s="44"/>
      <c r="B52" s="11" t="str">
        <f>CONCATENATE("          ", "5025", " - ", "PURCHASES @ COST-TEST FORMS")</f>
        <v xml:space="preserve">          5025 - PURCHASES @ COST-TEST FORMS</v>
      </c>
      <c r="C52" s="11"/>
      <c r="D52" s="2"/>
      <c r="E52" s="2"/>
      <c r="F52" s="19">
        <f t="shared" si="12"/>
        <v>0</v>
      </c>
      <c r="G52" s="2"/>
      <c r="H52" s="2">
        <v>0</v>
      </c>
      <c r="I52" s="2"/>
      <c r="J52" s="19">
        <f t="shared" si="13"/>
        <v>0</v>
      </c>
      <c r="K52" s="2"/>
      <c r="L52" s="2">
        <f t="shared" si="14"/>
        <v>0</v>
      </c>
      <c r="M52" s="2"/>
      <c r="N52" s="19">
        <f t="shared" si="15"/>
        <v>0</v>
      </c>
      <c r="O52" s="11"/>
      <c r="P52" s="2"/>
      <c r="Q52" s="2"/>
      <c r="R52" s="19">
        <f t="shared" si="16"/>
        <v>0</v>
      </c>
      <c r="S52" s="2"/>
      <c r="T52" s="2">
        <v>22098.390000000003</v>
      </c>
      <c r="U52" s="2"/>
      <c r="V52" s="19">
        <f t="shared" si="17"/>
        <v>4.2828220488997849E-2</v>
      </c>
      <c r="W52" s="2"/>
      <c r="X52" s="2">
        <f t="shared" si="18"/>
        <v>-22098.390000000003</v>
      </c>
      <c r="Y52" s="2"/>
      <c r="Z52" s="19">
        <f t="shared" si="19"/>
        <v>-1</v>
      </c>
    </row>
    <row r="53" spans="1:26" s="24" customFormat="1" hidden="1" outlineLevel="1" x14ac:dyDescent="0.25">
      <c r="A53" s="44"/>
      <c r="B53" s="11" t="str">
        <f>CONCATENATE("          ", "5026", " - ", "PURCHASES @ COST-WRITING INSTR")</f>
        <v xml:space="preserve">          5026 - PURCHASES @ COST-WRITING INSTR</v>
      </c>
      <c r="C53" s="11"/>
      <c r="D53" s="2">
        <v>-5.1100000000000003</v>
      </c>
      <c r="E53" s="2"/>
      <c r="F53" s="19">
        <f t="shared" si="12"/>
        <v>0</v>
      </c>
      <c r="G53" s="2"/>
      <c r="H53" s="2">
        <v>4328.17</v>
      </c>
      <c r="I53" s="2"/>
      <c r="J53" s="19">
        <f t="shared" si="13"/>
        <v>9.7930263629771183E-2</v>
      </c>
      <c r="K53" s="2"/>
      <c r="L53" s="2">
        <f t="shared" si="14"/>
        <v>-4333.28</v>
      </c>
      <c r="M53" s="2"/>
      <c r="N53" s="19">
        <f t="shared" si="15"/>
        <v>-1.0011806375442738</v>
      </c>
      <c r="O53" s="11"/>
      <c r="P53" s="2">
        <v>364.91</v>
      </c>
      <c r="Q53" s="2"/>
      <c r="R53" s="19">
        <f t="shared" si="16"/>
        <v>1.7122342801587094E-2</v>
      </c>
      <c r="S53" s="2"/>
      <c r="T53" s="2">
        <v>34316.009999999995</v>
      </c>
      <c r="U53" s="2"/>
      <c r="V53" s="19">
        <f t="shared" si="17"/>
        <v>6.6506819844461731E-2</v>
      </c>
      <c r="W53" s="2"/>
      <c r="X53" s="2">
        <f t="shared" si="18"/>
        <v>-33951.099999999991</v>
      </c>
      <c r="Y53" s="2"/>
      <c r="Z53" s="19">
        <f t="shared" si="19"/>
        <v>-0.98936618796882259</v>
      </c>
    </row>
    <row r="54" spans="1:26" s="24" customFormat="1" hidden="1" outlineLevel="1" x14ac:dyDescent="0.25">
      <c r="A54" s="44"/>
      <c r="B54" s="11" t="str">
        <f>CONCATENATE("          ", "5027", " - ", "PURCHASES @ COST-SCHOOL SUPPLI")</f>
        <v xml:space="preserve">          5027 - PURCHASES @ COST-SCHOOL SUPPLI</v>
      </c>
      <c r="C54" s="11"/>
      <c r="D54" s="2"/>
      <c r="E54" s="2"/>
      <c r="F54" s="19">
        <f t="shared" si="12"/>
        <v>0</v>
      </c>
      <c r="G54" s="2"/>
      <c r="H54" s="2">
        <v>2493.64</v>
      </c>
      <c r="I54" s="2"/>
      <c r="J54" s="19">
        <f t="shared" si="13"/>
        <v>5.6421726179365084E-2</v>
      </c>
      <c r="K54" s="2"/>
      <c r="L54" s="2">
        <f t="shared" si="14"/>
        <v>-2493.64</v>
      </c>
      <c r="M54" s="2"/>
      <c r="N54" s="19">
        <f t="shared" si="15"/>
        <v>-1</v>
      </c>
      <c r="O54" s="11"/>
      <c r="P54" s="2">
        <v>895.47</v>
      </c>
      <c r="Q54" s="2"/>
      <c r="R54" s="19">
        <f t="shared" si="16"/>
        <v>4.201733114613794E-2</v>
      </c>
      <c r="S54" s="2"/>
      <c r="T54" s="2">
        <v>77948.710000000006</v>
      </c>
      <c r="U54" s="2"/>
      <c r="V54" s="19">
        <f t="shared" si="17"/>
        <v>0.15107003445558484</v>
      </c>
      <c r="W54" s="2"/>
      <c r="X54" s="2">
        <f t="shared" si="18"/>
        <v>-77053.240000000005</v>
      </c>
      <c r="Y54" s="2"/>
      <c r="Z54" s="19">
        <f t="shared" si="19"/>
        <v>-0.98851206132853253</v>
      </c>
    </row>
    <row r="55" spans="1:26" s="24" customFormat="1" hidden="1" outlineLevel="1" x14ac:dyDescent="0.25">
      <c r="A55" s="44"/>
      <c r="B55" s="11" t="str">
        <f>CONCATENATE("          ", "5028", " - ", "PURCHASES @ COST-ART/TECH")</f>
        <v xml:space="preserve">          5028 - PURCHASES @ COST-ART/TECH</v>
      </c>
      <c r="C55" s="11"/>
      <c r="D55" s="2"/>
      <c r="E55" s="2"/>
      <c r="F55" s="19">
        <f t="shared" si="12"/>
        <v>0</v>
      </c>
      <c r="G55" s="2"/>
      <c r="H55" s="2">
        <v>7730.31</v>
      </c>
      <c r="I55" s="2"/>
      <c r="J55" s="19">
        <f t="shared" si="13"/>
        <v>0.17490793943857483</v>
      </c>
      <c r="K55" s="2"/>
      <c r="L55" s="2">
        <f t="shared" si="14"/>
        <v>-7730.31</v>
      </c>
      <c r="M55" s="2"/>
      <c r="N55" s="19">
        <f t="shared" si="15"/>
        <v>-1</v>
      </c>
      <c r="O55" s="11"/>
      <c r="P55" s="2">
        <v>41441.85</v>
      </c>
      <c r="Q55" s="2"/>
      <c r="R55" s="19">
        <f t="shared" si="16"/>
        <v>1.9445385493188789</v>
      </c>
      <c r="S55" s="2"/>
      <c r="T55" s="2">
        <v>103000.81999999999</v>
      </c>
      <c r="U55" s="2"/>
      <c r="V55" s="19">
        <f t="shared" si="17"/>
        <v>0.19962277023383054</v>
      </c>
      <c r="W55" s="2"/>
      <c r="X55" s="2">
        <f t="shared" si="18"/>
        <v>-61558.969999999994</v>
      </c>
      <c r="Y55" s="2"/>
      <c r="Z55" s="19">
        <f t="shared" si="19"/>
        <v>-0.59765514488137084</v>
      </c>
    </row>
    <row r="56" spans="1:26" s="24" customFormat="1" hidden="1" outlineLevel="1" x14ac:dyDescent="0.25">
      <c r="A56" s="44"/>
      <c r="B56" s="11" t="str">
        <f>CONCATENATE("          ", "5031", " - ", "PURCHASES @ COST-FOOD")</f>
        <v xml:space="preserve">          5031 - PURCHASES @ COST-FOOD</v>
      </c>
      <c r="C56" s="11"/>
      <c r="D56" s="2">
        <v>-488.1</v>
      </c>
      <c r="E56" s="2"/>
      <c r="F56" s="19">
        <f t="shared" si="12"/>
        <v>0</v>
      </c>
      <c r="G56" s="2"/>
      <c r="H56" s="2">
        <v>1695.24</v>
      </c>
      <c r="I56" s="2"/>
      <c r="J56" s="19">
        <f t="shared" si="13"/>
        <v>3.8356926857247585E-2</v>
      </c>
      <c r="K56" s="2"/>
      <c r="L56" s="2">
        <f t="shared" si="14"/>
        <v>-2183.34</v>
      </c>
      <c r="M56" s="2"/>
      <c r="N56" s="19">
        <f t="shared" si="15"/>
        <v>-1.2879238337934453</v>
      </c>
      <c r="O56" s="11"/>
      <c r="P56" s="2">
        <v>2441.5700000000002</v>
      </c>
      <c r="Q56" s="2"/>
      <c r="R56" s="19">
        <f t="shared" si="16"/>
        <v>0.11456358695040149</v>
      </c>
      <c r="S56" s="2"/>
      <c r="T56" s="2">
        <v>22509.73</v>
      </c>
      <c r="U56" s="2"/>
      <c r="V56" s="19">
        <f t="shared" si="17"/>
        <v>4.3625426087050209E-2</v>
      </c>
      <c r="W56" s="2"/>
      <c r="X56" s="2">
        <f t="shared" si="18"/>
        <v>-20068.16</v>
      </c>
      <c r="Y56" s="2"/>
      <c r="Z56" s="19">
        <f t="shared" si="19"/>
        <v>-0.89153268386604367</v>
      </c>
    </row>
    <row r="57" spans="1:26" s="24" customFormat="1" hidden="1" outlineLevel="1" x14ac:dyDescent="0.25">
      <c r="A57" s="44"/>
      <c r="B57" s="11" t="str">
        <f>CONCATENATE("          ", "5032", " - ", "PURCHASES @ COST-JUICE")</f>
        <v xml:space="preserve">          5032 - PURCHASES @ COST-JUICE</v>
      </c>
      <c r="C57" s="11"/>
      <c r="D57" s="2"/>
      <c r="E57" s="2"/>
      <c r="F57" s="19">
        <f t="shared" si="12"/>
        <v>0</v>
      </c>
      <c r="G57" s="2"/>
      <c r="H57" s="2">
        <v>358.99</v>
      </c>
      <c r="I57" s="2"/>
      <c r="J57" s="19">
        <f t="shared" si="13"/>
        <v>8.1225980819726474E-3</v>
      </c>
      <c r="K57" s="2"/>
      <c r="L57" s="2">
        <f t="shared" si="14"/>
        <v>-358.99</v>
      </c>
      <c r="M57" s="2"/>
      <c r="N57" s="19">
        <f t="shared" si="15"/>
        <v>-1</v>
      </c>
      <c r="O57" s="11"/>
      <c r="P57" s="2"/>
      <c r="Q57" s="2"/>
      <c r="R57" s="19">
        <f t="shared" si="16"/>
        <v>0</v>
      </c>
      <c r="S57" s="2"/>
      <c r="T57" s="2">
        <v>5021.4799999999996</v>
      </c>
      <c r="U57" s="2"/>
      <c r="V57" s="19">
        <f t="shared" si="17"/>
        <v>9.7319783305975169E-3</v>
      </c>
      <c r="W57" s="2"/>
      <c r="X57" s="2">
        <f t="shared" si="18"/>
        <v>-5021.4799999999996</v>
      </c>
      <c r="Y57" s="2"/>
      <c r="Z57" s="19">
        <f t="shared" si="19"/>
        <v>-1</v>
      </c>
    </row>
    <row r="58" spans="1:26" s="24" customFormat="1" hidden="1" outlineLevel="1" x14ac:dyDescent="0.25">
      <c r="A58" s="44"/>
      <c r="B58" s="11" t="str">
        <f>CONCATENATE("          ", "5033", " - ", "PURCHASES @ COST-CANDY")</f>
        <v xml:space="preserve">          5033 - PURCHASES @ COST-CANDY</v>
      </c>
      <c r="C58" s="11"/>
      <c r="D58" s="2"/>
      <c r="E58" s="2"/>
      <c r="F58" s="19">
        <f t="shared" si="12"/>
        <v>0</v>
      </c>
      <c r="G58" s="2"/>
      <c r="H58" s="2">
        <v>260.19</v>
      </c>
      <c r="I58" s="2"/>
      <c r="J58" s="19">
        <f t="shared" si="13"/>
        <v>5.8871244183639187E-3</v>
      </c>
      <c r="K58" s="2"/>
      <c r="L58" s="2">
        <f t="shared" si="14"/>
        <v>-260.19</v>
      </c>
      <c r="M58" s="2"/>
      <c r="N58" s="19">
        <f t="shared" si="15"/>
        <v>-1</v>
      </c>
      <c r="O58" s="11"/>
      <c r="P58" s="2"/>
      <c r="Q58" s="2"/>
      <c r="R58" s="19">
        <f t="shared" si="16"/>
        <v>0</v>
      </c>
      <c r="S58" s="2"/>
      <c r="T58" s="2">
        <v>6197.93</v>
      </c>
      <c r="U58" s="2"/>
      <c r="V58" s="19">
        <f t="shared" si="17"/>
        <v>1.2012020451054328E-2</v>
      </c>
      <c r="W58" s="2"/>
      <c r="X58" s="2">
        <f t="shared" si="18"/>
        <v>-6197.93</v>
      </c>
      <c r="Y58" s="2"/>
      <c r="Z58" s="19">
        <f t="shared" si="19"/>
        <v>-1</v>
      </c>
    </row>
    <row r="59" spans="1:26" s="24" customFormat="1" hidden="1" outlineLevel="1" x14ac:dyDescent="0.25">
      <c r="A59" s="44"/>
      <c r="B59" s="11" t="str">
        <f>CONCATENATE("          ", "5034", " - ", "PURCHASES @ COST-SODA")</f>
        <v xml:space="preserve">          5034 - PURCHASES @ COST-SODA</v>
      </c>
      <c r="C59" s="11"/>
      <c r="D59" s="2"/>
      <c r="E59" s="2"/>
      <c r="F59" s="19">
        <f t="shared" si="12"/>
        <v>0</v>
      </c>
      <c r="G59" s="2"/>
      <c r="H59" s="2">
        <v>42.24</v>
      </c>
      <c r="I59" s="2"/>
      <c r="J59" s="19">
        <f t="shared" si="13"/>
        <v>9.5573286994769953E-4</v>
      </c>
      <c r="K59" s="2"/>
      <c r="L59" s="2">
        <f t="shared" si="14"/>
        <v>-42.24</v>
      </c>
      <c r="M59" s="2"/>
      <c r="N59" s="19">
        <f t="shared" si="15"/>
        <v>-1</v>
      </c>
      <c r="O59" s="11"/>
      <c r="P59" s="2"/>
      <c r="Q59" s="2"/>
      <c r="R59" s="19">
        <f t="shared" si="16"/>
        <v>0</v>
      </c>
      <c r="S59" s="2"/>
      <c r="T59" s="2">
        <v>2124.16</v>
      </c>
      <c r="U59" s="2"/>
      <c r="V59" s="19">
        <f t="shared" si="17"/>
        <v>4.1167701734791387E-3</v>
      </c>
      <c r="W59" s="2"/>
      <c r="X59" s="2">
        <f t="shared" si="18"/>
        <v>-2124.16</v>
      </c>
      <c r="Y59" s="2"/>
      <c r="Z59" s="19">
        <f t="shared" si="19"/>
        <v>-1</v>
      </c>
    </row>
    <row r="60" spans="1:26" s="24" customFormat="1" hidden="1" outlineLevel="1" x14ac:dyDescent="0.25">
      <c r="A60" s="44"/>
      <c r="B60" s="11" t="str">
        <f>CONCATENATE("          ", "5035", " - ", "PURCHASES @ COST-HEALTH &amp; BEAU")</f>
        <v xml:space="preserve">          5035 - PURCHASES @ COST-HEALTH &amp; BEAU</v>
      </c>
      <c r="C60" s="11"/>
      <c r="D60" s="2"/>
      <c r="E60" s="2"/>
      <c r="F60" s="19">
        <f t="shared" si="12"/>
        <v>0</v>
      </c>
      <c r="G60" s="2"/>
      <c r="H60" s="2">
        <v>23.17</v>
      </c>
      <c r="I60" s="2"/>
      <c r="J60" s="19">
        <f t="shared" si="13"/>
        <v>5.2425025086856526E-4</v>
      </c>
      <c r="K60" s="2"/>
      <c r="L60" s="2">
        <f t="shared" si="14"/>
        <v>-23.17</v>
      </c>
      <c r="M60" s="2"/>
      <c r="N60" s="19">
        <f t="shared" si="15"/>
        <v>-1</v>
      </c>
      <c r="O60" s="11"/>
      <c r="P60" s="2"/>
      <c r="Q60" s="2"/>
      <c r="R60" s="19">
        <f t="shared" si="16"/>
        <v>0</v>
      </c>
      <c r="S60" s="2"/>
      <c r="T60" s="2">
        <v>824.38</v>
      </c>
      <c r="U60" s="2"/>
      <c r="V60" s="19">
        <f t="shared" si="17"/>
        <v>1.5977059146263617E-3</v>
      </c>
      <c r="W60" s="2"/>
      <c r="X60" s="2">
        <f t="shared" si="18"/>
        <v>-824.38</v>
      </c>
      <c r="Y60" s="2"/>
      <c r="Z60" s="19">
        <f t="shared" si="19"/>
        <v>-1</v>
      </c>
    </row>
    <row r="61" spans="1:26" s="24" customFormat="1" hidden="1" outlineLevel="1" x14ac:dyDescent="0.25">
      <c r="A61" s="44"/>
      <c r="B61" s="11" t="str">
        <f>CONCATENATE("          ", "5037", " - ", "PURCHASES @ COST-WATER")</f>
        <v xml:space="preserve">          5037 - PURCHASES @ COST-WATER</v>
      </c>
      <c r="C61" s="11"/>
      <c r="D61" s="2"/>
      <c r="E61" s="2"/>
      <c r="F61" s="19">
        <f t="shared" si="12"/>
        <v>0</v>
      </c>
      <c r="G61" s="2"/>
      <c r="H61" s="2">
        <v>235.9</v>
      </c>
      <c r="I61" s="2"/>
      <c r="J61" s="19">
        <f t="shared" si="13"/>
        <v>5.3375327656406801E-3</v>
      </c>
      <c r="K61" s="2"/>
      <c r="L61" s="2">
        <f t="shared" si="14"/>
        <v>-235.9</v>
      </c>
      <c r="M61" s="2"/>
      <c r="N61" s="19">
        <f t="shared" si="15"/>
        <v>-1</v>
      </c>
      <c r="O61" s="11"/>
      <c r="P61" s="2"/>
      <c r="Q61" s="2"/>
      <c r="R61" s="19">
        <f t="shared" si="16"/>
        <v>0</v>
      </c>
      <c r="S61" s="2"/>
      <c r="T61" s="2">
        <v>3729.51</v>
      </c>
      <c r="U61" s="2"/>
      <c r="V61" s="19">
        <f t="shared" si="17"/>
        <v>7.2280503962470731E-3</v>
      </c>
      <c r="W61" s="2"/>
      <c r="X61" s="2">
        <f t="shared" si="18"/>
        <v>-3729.51</v>
      </c>
      <c r="Y61" s="2"/>
      <c r="Z61" s="19">
        <f t="shared" si="19"/>
        <v>-1</v>
      </c>
    </row>
    <row r="62" spans="1:26" s="24" customFormat="1" hidden="1" outlineLevel="1" x14ac:dyDescent="0.25">
      <c r="A62" s="44"/>
      <c r="B62" s="11" t="str">
        <f>CONCATENATE("          ", "5081", " - ", "PURCHASES @ COST-ELECTRONICS")</f>
        <v xml:space="preserve">          5081 - PURCHASES @ COST-ELECTRONICS</v>
      </c>
      <c r="C62" s="11"/>
      <c r="D62" s="2"/>
      <c r="E62" s="2"/>
      <c r="F62" s="19">
        <f t="shared" si="12"/>
        <v>0</v>
      </c>
      <c r="G62" s="2"/>
      <c r="H62" s="2">
        <v>526.74</v>
      </c>
      <c r="I62" s="2"/>
      <c r="J62" s="19">
        <f t="shared" si="13"/>
        <v>1.1918151797259736E-2</v>
      </c>
      <c r="K62" s="2"/>
      <c r="L62" s="2">
        <f t="shared" si="14"/>
        <v>-526.74</v>
      </c>
      <c r="M62" s="2"/>
      <c r="N62" s="19">
        <f t="shared" si="15"/>
        <v>-1</v>
      </c>
      <c r="O62" s="11"/>
      <c r="P62" s="2"/>
      <c r="Q62" s="2"/>
      <c r="R62" s="19">
        <f t="shared" si="16"/>
        <v>0</v>
      </c>
      <c r="S62" s="2"/>
      <c r="T62" s="2">
        <v>1771.55</v>
      </c>
      <c r="U62" s="2"/>
      <c r="V62" s="19">
        <f t="shared" si="17"/>
        <v>3.4333874100006441E-3</v>
      </c>
      <c r="W62" s="2"/>
      <c r="X62" s="2">
        <f t="shared" si="18"/>
        <v>-1771.55</v>
      </c>
      <c r="Y62" s="2"/>
      <c r="Z62" s="19">
        <f t="shared" si="19"/>
        <v>-1</v>
      </c>
    </row>
    <row r="63" spans="1:26" s="24" customFormat="1" hidden="1" outlineLevel="1" x14ac:dyDescent="0.25">
      <c r="A63" s="44"/>
      <c r="B63" s="11" t="str">
        <f>CONCATENATE("          ", "5082", " - ", "PURCHASES @ COST-COMPUTER HARD")</f>
        <v xml:space="preserve">          5082 - PURCHASES @ COST-COMPUTER HARD</v>
      </c>
      <c r="C63" s="11"/>
      <c r="D63" s="2"/>
      <c r="E63" s="2"/>
      <c r="F63" s="19">
        <f t="shared" si="12"/>
        <v>0</v>
      </c>
      <c r="G63" s="2"/>
      <c r="H63" s="2">
        <v>105</v>
      </c>
      <c r="I63" s="2"/>
      <c r="J63" s="19">
        <f t="shared" si="13"/>
        <v>2.3757564238756734E-3</v>
      </c>
      <c r="K63" s="2"/>
      <c r="L63" s="2">
        <f t="shared" si="14"/>
        <v>-105</v>
      </c>
      <c r="M63" s="2"/>
      <c r="N63" s="19">
        <f t="shared" si="15"/>
        <v>-1</v>
      </c>
      <c r="O63" s="11"/>
      <c r="P63" s="2"/>
      <c r="Q63" s="2"/>
      <c r="R63" s="19">
        <f t="shared" si="16"/>
        <v>0</v>
      </c>
      <c r="S63" s="2"/>
      <c r="T63" s="2">
        <v>349.6</v>
      </c>
      <c r="U63" s="2"/>
      <c r="V63" s="19">
        <f t="shared" si="17"/>
        <v>6.7754917362548351E-4</v>
      </c>
      <c r="W63" s="2"/>
      <c r="X63" s="2">
        <f t="shared" si="18"/>
        <v>-349.6</v>
      </c>
      <c r="Y63" s="2"/>
      <c r="Z63" s="19">
        <f t="shared" si="19"/>
        <v>-1</v>
      </c>
    </row>
    <row r="64" spans="1:26" s="24" customFormat="1" hidden="1" outlineLevel="1" x14ac:dyDescent="0.25">
      <c r="A64" s="44"/>
      <c r="B64" s="11" t="str">
        <f>CONCATENATE("          ", "5083", " - ", "PURCHASES @ COST-COMPUTER EQUI")</f>
        <v xml:space="preserve">          5083 - PURCHASES @ COST-COMPUTER EQUI</v>
      </c>
      <c r="C64" s="11"/>
      <c r="D64" s="2"/>
      <c r="E64" s="2"/>
      <c r="F64" s="19">
        <f t="shared" si="12"/>
        <v>0</v>
      </c>
      <c r="G64" s="2"/>
      <c r="H64" s="2">
        <v>147.19999999999999</v>
      </c>
      <c r="I64" s="2"/>
      <c r="J64" s="19">
        <f t="shared" si="13"/>
        <v>3.3305842437571344E-3</v>
      </c>
      <c r="K64" s="2"/>
      <c r="L64" s="2">
        <f t="shared" si="14"/>
        <v>-147.19999999999999</v>
      </c>
      <c r="M64" s="2"/>
      <c r="N64" s="19">
        <f t="shared" si="15"/>
        <v>-1</v>
      </c>
      <c r="O64" s="11"/>
      <c r="P64" s="2"/>
      <c r="Q64" s="2"/>
      <c r="R64" s="19">
        <f t="shared" si="16"/>
        <v>0</v>
      </c>
      <c r="S64" s="2"/>
      <c r="T64" s="2">
        <v>339.4</v>
      </c>
      <c r="U64" s="2"/>
      <c r="V64" s="19">
        <f t="shared" si="17"/>
        <v>6.5778086249567813E-4</v>
      </c>
      <c r="W64" s="2"/>
      <c r="X64" s="2">
        <f t="shared" si="18"/>
        <v>-339.4</v>
      </c>
      <c r="Y64" s="2"/>
      <c r="Z64" s="19">
        <f t="shared" si="19"/>
        <v>-1</v>
      </c>
    </row>
    <row r="65" spans="1:26" s="24" customFormat="1" hidden="1" outlineLevel="1" x14ac:dyDescent="0.25">
      <c r="A65" s="44"/>
      <c r="B65" s="11" t="str">
        <f>CONCATENATE("          ", "5086", " - ", "PURCHASES @ COST-COMPUTER SUPP")</f>
        <v xml:space="preserve">          5086 - PURCHASES @ COST-COMPUTER SUPP</v>
      </c>
      <c r="C65" s="11"/>
      <c r="D65" s="2"/>
      <c r="E65" s="2"/>
      <c r="F65" s="19">
        <f t="shared" si="12"/>
        <v>0</v>
      </c>
      <c r="G65" s="2"/>
      <c r="H65" s="2">
        <v>151.26</v>
      </c>
      <c r="I65" s="2"/>
      <c r="J65" s="19">
        <f t="shared" si="13"/>
        <v>3.4224468254803269E-3</v>
      </c>
      <c r="K65" s="2"/>
      <c r="L65" s="2">
        <f t="shared" si="14"/>
        <v>-151.26</v>
      </c>
      <c r="M65" s="2"/>
      <c r="N65" s="19">
        <f t="shared" si="15"/>
        <v>-1</v>
      </c>
      <c r="O65" s="11"/>
      <c r="P65" s="2"/>
      <c r="Q65" s="2"/>
      <c r="R65" s="19">
        <f t="shared" si="16"/>
        <v>0</v>
      </c>
      <c r="S65" s="2"/>
      <c r="T65" s="2">
        <v>379.26</v>
      </c>
      <c r="U65" s="2"/>
      <c r="V65" s="19">
        <f t="shared" si="17"/>
        <v>7.3503232147940738E-4</v>
      </c>
      <c r="W65" s="2"/>
      <c r="X65" s="2">
        <f t="shared" si="18"/>
        <v>-379.26</v>
      </c>
      <c r="Y65" s="2"/>
      <c r="Z65" s="19">
        <f t="shared" si="19"/>
        <v>-1</v>
      </c>
    </row>
    <row r="66" spans="1:26" s="24" customFormat="1" hidden="1" outlineLevel="1" x14ac:dyDescent="0.25">
      <c r="A66" s="44"/>
      <c r="B66" s="11" t="str">
        <f>CONCATENATE("          ", "5200", " - ", "PURCHASES OFFSET")</f>
        <v xml:space="preserve">          5200 - PURCHASES OFFSET</v>
      </c>
      <c r="C66" s="11"/>
      <c r="D66" s="2"/>
      <c r="E66" s="2"/>
      <c r="F66" s="19">
        <f t="shared" si="12"/>
        <v>0</v>
      </c>
      <c r="G66" s="2"/>
      <c r="H66" s="2">
        <v>-18600</v>
      </c>
      <c r="I66" s="2"/>
      <c r="J66" s="19">
        <f t="shared" si="13"/>
        <v>-0.42084828080083359</v>
      </c>
      <c r="K66" s="2"/>
      <c r="L66" s="2">
        <f t="shared" si="14"/>
        <v>18600</v>
      </c>
      <c r="M66" s="2"/>
      <c r="N66" s="19">
        <f t="shared" si="15"/>
        <v>-1</v>
      </c>
      <c r="O66" s="11"/>
      <c r="P66" s="2">
        <v>-45863.33</v>
      </c>
      <c r="Q66" s="2"/>
      <c r="R66" s="19">
        <f t="shared" si="16"/>
        <v>-2.1520036674311842</v>
      </c>
      <c r="S66" s="2"/>
      <c r="T66" s="2">
        <v>-283520</v>
      </c>
      <c r="U66" s="2"/>
      <c r="V66" s="19">
        <f t="shared" si="17"/>
        <v>-0.54948152661984284</v>
      </c>
      <c r="W66" s="2"/>
      <c r="X66" s="2">
        <f t="shared" si="18"/>
        <v>237656.66999999998</v>
      </c>
      <c r="Y66" s="2"/>
      <c r="Z66" s="19">
        <f t="shared" si="19"/>
        <v>-0.8382359974604966</v>
      </c>
    </row>
    <row r="67" spans="1:26" s="24" customFormat="1" hidden="1" outlineLevel="1" x14ac:dyDescent="0.25">
      <c r="A67" s="44"/>
      <c r="B67" s="11" t="str">
        <f>CONCATENATE("          ", "5300", " - ", "COG$ OFFSET")</f>
        <v xml:space="preserve">          5300 - COG$ OFFSET</v>
      </c>
      <c r="C67" s="11"/>
      <c r="D67" s="2"/>
      <c r="E67" s="2"/>
      <c r="F67" s="19">
        <f t="shared" si="12"/>
        <v>0</v>
      </c>
      <c r="G67" s="2"/>
      <c r="H67" s="2">
        <v>22182</v>
      </c>
      <c r="I67" s="2"/>
      <c r="J67" s="19">
        <f t="shared" si="13"/>
        <v>0.50189551423247802</v>
      </c>
      <c r="K67" s="2"/>
      <c r="L67" s="2">
        <f t="shared" si="14"/>
        <v>-22182</v>
      </c>
      <c r="M67" s="2"/>
      <c r="N67" s="19">
        <f t="shared" si="15"/>
        <v>-1</v>
      </c>
      <c r="O67" s="11"/>
      <c r="P67" s="2">
        <v>14145</v>
      </c>
      <c r="Q67" s="2"/>
      <c r="R67" s="19">
        <f t="shared" si="16"/>
        <v>0.66371307700103988</v>
      </c>
      <c r="S67" s="2"/>
      <c r="T67" s="2">
        <v>256510</v>
      </c>
      <c r="U67" s="2"/>
      <c r="V67" s="19">
        <f t="shared" si="17"/>
        <v>0.49713426352023099</v>
      </c>
      <c r="W67" s="2"/>
      <c r="X67" s="2">
        <f t="shared" si="18"/>
        <v>-242365</v>
      </c>
      <c r="Y67" s="2"/>
      <c r="Z67" s="19">
        <f t="shared" si="19"/>
        <v>-0.94485595103504738</v>
      </c>
    </row>
    <row r="68" spans="1:26" s="24" customFormat="1" hidden="1" outlineLevel="1" x14ac:dyDescent="0.25">
      <c r="A68" s="44"/>
      <c r="B68" s="11" t="str">
        <f>CONCATENATE("          ", "5500", " - ", "FREIGHT-IN")</f>
        <v xml:space="preserve">          5500 - FREIGHT-IN</v>
      </c>
      <c r="C68" s="11"/>
      <c r="D68" s="2"/>
      <c r="E68" s="2"/>
      <c r="F68" s="19">
        <f t="shared" si="12"/>
        <v>0</v>
      </c>
      <c r="G68" s="2"/>
      <c r="H68" s="2">
        <v>80</v>
      </c>
      <c r="I68" s="2"/>
      <c r="J68" s="19">
        <f t="shared" si="13"/>
        <v>1.8101001324767035E-3</v>
      </c>
      <c r="K68" s="2"/>
      <c r="L68" s="2">
        <f t="shared" si="14"/>
        <v>-80</v>
      </c>
      <c r="M68" s="2"/>
      <c r="N68" s="19">
        <f t="shared" si="15"/>
        <v>-1</v>
      </c>
      <c r="O68" s="11"/>
      <c r="P68" s="2"/>
      <c r="Q68" s="2"/>
      <c r="R68" s="19">
        <f t="shared" si="16"/>
        <v>0</v>
      </c>
      <c r="S68" s="2"/>
      <c r="T68" s="2">
        <v>86</v>
      </c>
      <c r="U68" s="2"/>
      <c r="V68" s="19">
        <f t="shared" si="17"/>
        <v>1.6667399580031915E-4</v>
      </c>
      <c r="W68" s="2"/>
      <c r="X68" s="2">
        <f t="shared" si="18"/>
        <v>-86</v>
      </c>
      <c r="Y68" s="2"/>
      <c r="Z68" s="19">
        <f t="shared" si="19"/>
        <v>-1</v>
      </c>
    </row>
    <row r="69" spans="1:26" s="24" customFormat="1" hidden="1" outlineLevel="1" x14ac:dyDescent="0.25">
      <c r="A69" s="44"/>
      <c r="B69" s="11" t="str">
        <f>CONCATENATE("          ", "5525", " - ", "FREIGHT-IN-TEST FORMS")</f>
        <v xml:space="preserve">          5525 - FREIGHT-IN-TEST FORMS</v>
      </c>
      <c r="C69" s="11"/>
      <c r="D69" s="2"/>
      <c r="E69" s="2"/>
      <c r="F69" s="19">
        <f t="shared" si="12"/>
        <v>0</v>
      </c>
      <c r="G69" s="2"/>
      <c r="H69" s="2">
        <v>247.49</v>
      </c>
      <c r="I69" s="2"/>
      <c r="J69" s="19">
        <f t="shared" si="13"/>
        <v>5.5997710223332419E-3</v>
      </c>
      <c r="K69" s="2"/>
      <c r="L69" s="2">
        <f t="shared" si="14"/>
        <v>-247.49</v>
      </c>
      <c r="M69" s="2"/>
      <c r="N69" s="19">
        <f t="shared" si="15"/>
        <v>-1</v>
      </c>
      <c r="O69" s="11"/>
      <c r="P69" s="2"/>
      <c r="Q69" s="2"/>
      <c r="R69" s="19">
        <f t="shared" si="16"/>
        <v>0</v>
      </c>
      <c r="S69" s="2"/>
      <c r="T69" s="2">
        <v>622.41</v>
      </c>
      <c r="U69" s="2"/>
      <c r="V69" s="19">
        <f t="shared" si="17"/>
        <v>1.2062739735590306E-3</v>
      </c>
      <c r="W69" s="2"/>
      <c r="X69" s="2">
        <f t="shared" si="18"/>
        <v>-622.41</v>
      </c>
      <c r="Y69" s="2"/>
      <c r="Z69" s="19">
        <f t="shared" si="19"/>
        <v>-1</v>
      </c>
    </row>
    <row r="70" spans="1:26" s="24" customFormat="1" hidden="1" outlineLevel="1" x14ac:dyDescent="0.25">
      <c r="A70" s="44"/>
      <c r="B70" s="11" t="str">
        <f>CONCATENATE("          ", "5526", " - ", "FREIGHT-IN-WRITING INSTRUMENTS")</f>
        <v xml:space="preserve">          5526 - FREIGHT-IN-WRITING INSTRUMENTS</v>
      </c>
      <c r="C70" s="11"/>
      <c r="D70" s="2"/>
      <c r="E70" s="2"/>
      <c r="F70" s="19">
        <f t="shared" si="12"/>
        <v>0</v>
      </c>
      <c r="G70" s="2"/>
      <c r="H70" s="2">
        <v>42.86</v>
      </c>
      <c r="I70" s="2"/>
      <c r="J70" s="19">
        <f t="shared" si="13"/>
        <v>9.697611459743939E-4</v>
      </c>
      <c r="K70" s="2"/>
      <c r="L70" s="2">
        <f t="shared" si="14"/>
        <v>-42.86</v>
      </c>
      <c r="M70" s="2"/>
      <c r="N70" s="19">
        <f t="shared" si="15"/>
        <v>-1</v>
      </c>
      <c r="O70" s="11"/>
      <c r="P70" s="2"/>
      <c r="Q70" s="2"/>
      <c r="R70" s="19">
        <f t="shared" si="16"/>
        <v>0</v>
      </c>
      <c r="S70" s="2"/>
      <c r="T70" s="2">
        <v>260.35000000000002</v>
      </c>
      <c r="U70" s="2"/>
      <c r="V70" s="19">
        <f t="shared" si="17"/>
        <v>5.0457645123968718E-4</v>
      </c>
      <c r="W70" s="2"/>
      <c r="X70" s="2">
        <f t="shared" si="18"/>
        <v>-260.35000000000002</v>
      </c>
      <c r="Y70" s="2"/>
      <c r="Z70" s="19">
        <f t="shared" si="19"/>
        <v>-1</v>
      </c>
    </row>
    <row r="71" spans="1:26" s="24" customFormat="1" hidden="1" outlineLevel="1" x14ac:dyDescent="0.25">
      <c r="A71" s="44"/>
      <c r="B71" s="11" t="str">
        <f>CONCATENATE("          ", "5527", " - ", "FREIGHT-IN-SCHOOL SUPPLIES")</f>
        <v xml:space="preserve">          5527 - FREIGHT-IN-SCHOOL SUPPLIES</v>
      </c>
      <c r="C71" s="11"/>
      <c r="D71" s="2"/>
      <c r="E71" s="2"/>
      <c r="F71" s="19">
        <f t="shared" si="12"/>
        <v>0</v>
      </c>
      <c r="G71" s="2"/>
      <c r="H71" s="2">
        <v>25.34</v>
      </c>
      <c r="I71" s="2"/>
      <c r="J71" s="19">
        <f t="shared" si="13"/>
        <v>5.733492169619958E-4</v>
      </c>
      <c r="K71" s="2"/>
      <c r="L71" s="2">
        <f t="shared" si="14"/>
        <v>-25.34</v>
      </c>
      <c r="M71" s="2"/>
      <c r="N71" s="19">
        <f t="shared" si="15"/>
        <v>-1</v>
      </c>
      <c r="O71" s="11"/>
      <c r="P71" s="2"/>
      <c r="Q71" s="2"/>
      <c r="R71" s="19">
        <f t="shared" si="16"/>
        <v>0</v>
      </c>
      <c r="S71" s="2"/>
      <c r="T71" s="2">
        <v>897.92</v>
      </c>
      <c r="U71" s="2"/>
      <c r="V71" s="19">
        <f t="shared" si="17"/>
        <v>1.7402315617328205E-3</v>
      </c>
      <c r="W71" s="2"/>
      <c r="X71" s="2">
        <f t="shared" si="18"/>
        <v>-897.92</v>
      </c>
      <c r="Y71" s="2"/>
      <c r="Z71" s="19">
        <f t="shared" si="19"/>
        <v>-1</v>
      </c>
    </row>
    <row r="72" spans="1:26" s="24" customFormat="1" hidden="1" outlineLevel="1" x14ac:dyDescent="0.25">
      <c r="A72" s="44"/>
      <c r="B72" s="11" t="str">
        <f>CONCATENATE("          ", "5528", " - ", "FREIGHT-IN-ART/TECH")</f>
        <v xml:space="preserve">          5528 - FREIGHT-IN-ART/TECH</v>
      </c>
      <c r="C72" s="11"/>
      <c r="D72" s="2">
        <v>4.29</v>
      </c>
      <c r="E72" s="2"/>
      <c r="F72" s="19">
        <f t="shared" si="12"/>
        <v>0</v>
      </c>
      <c r="G72" s="2"/>
      <c r="H72" s="2">
        <v>187.14</v>
      </c>
      <c r="I72" s="2"/>
      <c r="J72" s="19">
        <f t="shared" si="13"/>
        <v>4.2342767348961287E-3</v>
      </c>
      <c r="K72" s="2"/>
      <c r="L72" s="2">
        <f t="shared" si="14"/>
        <v>-182.85</v>
      </c>
      <c r="M72" s="2"/>
      <c r="N72" s="19">
        <f t="shared" si="15"/>
        <v>-0.97707598589291444</v>
      </c>
      <c r="O72" s="11"/>
      <c r="P72" s="2">
        <v>286.27</v>
      </c>
      <c r="Q72" s="2"/>
      <c r="R72" s="19">
        <f t="shared" si="16"/>
        <v>1.3432389010469259E-2</v>
      </c>
      <c r="S72" s="2"/>
      <c r="T72" s="2">
        <v>1110.6400000000001</v>
      </c>
      <c r="U72" s="2"/>
      <c r="V72" s="19">
        <f t="shared" si="17"/>
        <v>2.1524977522751915E-3</v>
      </c>
      <c r="W72" s="2"/>
      <c r="X72" s="2">
        <f t="shared" si="18"/>
        <v>-824.37000000000012</v>
      </c>
      <c r="Y72" s="2"/>
      <c r="Z72" s="19">
        <f t="shared" si="19"/>
        <v>-0.74224771303032488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6</v>
      </c>
      <c r="C74" s="28"/>
      <c r="D74" s="20">
        <f>D12-D49</f>
        <v>488.92</v>
      </c>
      <c r="E74" s="14"/>
      <c r="F74" s="21">
        <f>IF(D$12=0,0,D74/D$12)</f>
        <v>0</v>
      </c>
      <c r="G74" s="14"/>
      <c r="H74" s="20">
        <f>H12-H49</f>
        <v>21933.569999999996</v>
      </c>
      <c r="I74" s="14"/>
      <c r="J74" s="21">
        <f>IF(H$12=0,0,H74/H$12)</f>
        <v>0.49627447453358803</v>
      </c>
      <c r="K74" s="15"/>
      <c r="L74" s="20">
        <f>+D74-H74</f>
        <v>-21444.649999999998</v>
      </c>
      <c r="M74" s="15"/>
      <c r="N74" s="21">
        <f>IF(H74=0,0,L74/H74)</f>
        <v>-0.9777090551150589</v>
      </c>
      <c r="O74" s="29"/>
      <c r="P74" s="20">
        <f>P12-P49</f>
        <v>7600.1800000000039</v>
      </c>
      <c r="Q74" s="14"/>
      <c r="R74" s="21">
        <f>IF(P$12=0,0,P74/P$12)</f>
        <v>0.35661639120266991</v>
      </c>
      <c r="S74" s="14"/>
      <c r="T74" s="20">
        <f>T12-T49</f>
        <v>259384.60000000012</v>
      </c>
      <c r="U74" s="14"/>
      <c r="V74" s="21">
        <f>IF(T$12=0,0,T74/T$12)</f>
        <v>0.50270543873334284</v>
      </c>
      <c r="W74" s="15"/>
      <c r="X74" s="20">
        <f>+P74-T74</f>
        <v>-251784.42000000013</v>
      </c>
      <c r="Y74" s="15"/>
      <c r="Z74" s="21">
        <f>IF(T74=0,0,X74/T74)</f>
        <v>-0.97069918568797076</v>
      </c>
    </row>
    <row r="75" spans="1:26" x14ac:dyDescent="0.25">
      <c r="A75" s="9"/>
      <c r="B75" s="10"/>
      <c r="C75" s="9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9" t="s">
        <v>9</v>
      </c>
      <c r="C76" s="10"/>
      <c r="D76" s="22">
        <f>SUM(OSRRefD22x_0)</f>
        <v>274.11</v>
      </c>
      <c r="E76" s="22"/>
      <c r="F76" s="36">
        <f t="shared" ref="F76:F85" si="20">IF(D$12=0,0,D76/D$12)</f>
        <v>0</v>
      </c>
      <c r="G76" s="22"/>
      <c r="H76" s="22">
        <f>SUM(OSRRefH22x_0)</f>
        <v>18784.78</v>
      </c>
      <c r="I76" s="22"/>
      <c r="J76" s="36">
        <f t="shared" ref="J76:J85" si="21">IF(H$12=0,0,H76/H$12)</f>
        <v>0.42502915958182164</v>
      </c>
      <c r="K76" s="4"/>
      <c r="L76" s="22">
        <f t="shared" ref="L76:L85" si="22">+D76-H76</f>
        <v>-18510.669999999998</v>
      </c>
      <c r="M76" s="4"/>
      <c r="N76" s="36">
        <f t="shared" ref="N76:N85" si="23">IF(H76=0,0,L76/H76)</f>
        <v>-0.98540786743310271</v>
      </c>
      <c r="O76" s="10"/>
      <c r="P76" s="22">
        <f>SUM(OSRRefP22x_0)</f>
        <v>12427.749999999996</v>
      </c>
      <c r="Q76" s="22"/>
      <c r="R76" s="36">
        <f t="shared" ref="R76:R85" si="24">IF(P$12=0,0,P76/P$12)</f>
        <v>0.58313610411450478</v>
      </c>
      <c r="S76" s="22"/>
      <c r="T76" s="22">
        <f>SUM(OSRRefT22x_0)</f>
        <v>130249.16000000002</v>
      </c>
      <c r="U76" s="22"/>
      <c r="V76" s="36">
        <f t="shared" ref="V76:V85" si="25">IF(T$12=0,0,T76/T$12)</f>
        <v>0.25243195287017556</v>
      </c>
      <c r="W76" s="4"/>
      <c r="X76" s="22">
        <f t="shared" ref="X76:X85" si="26">+P76-T76</f>
        <v>-117821.41000000002</v>
      </c>
      <c r="Y76" s="4"/>
      <c r="Z76" s="36">
        <f t="shared" ref="Z76:Z85" si="27">IF(T76=0,0,X76/T76)</f>
        <v>-0.90458479732230135</v>
      </c>
    </row>
    <row r="77" spans="1:26" s="25" customFormat="1" outlineLevel="1" collapsed="1" x14ac:dyDescent="0.25">
      <c r="A77" s="26"/>
      <c r="B77" s="13" t="str">
        <f>CONCATENATE("     ","*Benefits                                         ")</f>
        <v xml:space="preserve">     *Benefits                                         </v>
      </c>
      <c r="C77" s="13"/>
      <c r="D77" s="1">
        <f>SUM(OSRRefD22_0x_0)</f>
        <v>0</v>
      </c>
      <c r="E77" s="1"/>
      <c r="F77" s="5">
        <f t="shared" si="20"/>
        <v>0</v>
      </c>
      <c r="G77" s="1"/>
      <c r="H77" s="1">
        <f>SUM(OSRRefH22_0x_0)</f>
        <v>4145.38</v>
      </c>
      <c r="I77" s="1"/>
      <c r="J77" s="5">
        <f t="shared" si="21"/>
        <v>9.3794411089578464E-2</v>
      </c>
      <c r="K77" s="1"/>
      <c r="L77" s="1">
        <f t="shared" si="22"/>
        <v>-4145.38</v>
      </c>
      <c r="M77" s="1"/>
      <c r="N77" s="5">
        <f t="shared" si="23"/>
        <v>-1</v>
      </c>
      <c r="O77" s="13"/>
      <c r="P77" s="1">
        <f>SUM(OSRRefP22_0x_0)</f>
        <v>778.2</v>
      </c>
      <c r="Q77" s="1"/>
      <c r="R77" s="5">
        <f t="shared" si="24"/>
        <v>3.6514776707119778E-2</v>
      </c>
      <c r="S77" s="1"/>
      <c r="T77" s="1">
        <f>SUM(OSRRefT22_0x_0)</f>
        <v>22243.99</v>
      </c>
      <c r="U77" s="1"/>
      <c r="V77" s="5">
        <f t="shared" si="25"/>
        <v>4.3110403440027228E-2</v>
      </c>
      <c r="W77" s="1"/>
      <c r="X77" s="1">
        <f t="shared" si="26"/>
        <v>-21465.79</v>
      </c>
      <c r="Y77" s="1"/>
      <c r="Z77" s="5">
        <f t="shared" si="27"/>
        <v>-0.965015269292964</v>
      </c>
    </row>
    <row r="78" spans="1:26" s="24" customFormat="1" hidden="1" outlineLevel="2" x14ac:dyDescent="0.25">
      <c r="A78" s="27"/>
      <c r="B78" s="11" t="str">
        <f>CONCATENATE("          ", "6111", " - ", "F.I.C.A.")</f>
        <v xml:space="preserve">          6111 - F.I.C.A.</v>
      </c>
      <c r="C78" s="11"/>
      <c r="D78" s="7"/>
      <c r="E78" s="2"/>
      <c r="F78" s="6">
        <f t="shared" si="20"/>
        <v>0</v>
      </c>
      <c r="G78" s="2"/>
      <c r="H78" s="7">
        <v>509.28</v>
      </c>
      <c r="I78" s="2"/>
      <c r="J78" s="6">
        <f t="shared" si="21"/>
        <v>1.1523097443346694E-2</v>
      </c>
      <c r="K78" s="2"/>
      <c r="L78" s="7">
        <f t="shared" si="22"/>
        <v>-509.28</v>
      </c>
      <c r="M78" s="2"/>
      <c r="N78" s="6">
        <f t="shared" si="23"/>
        <v>-1</v>
      </c>
      <c r="O78" s="11"/>
      <c r="P78" s="7">
        <v>484.61</v>
      </c>
      <c r="Q78" s="2"/>
      <c r="R78" s="6">
        <f t="shared" si="24"/>
        <v>2.2738917938881154E-2</v>
      </c>
      <c r="S78" s="2"/>
      <c r="T78" s="7">
        <v>3447.1</v>
      </c>
      <c r="U78" s="2"/>
      <c r="V78" s="6">
        <f t="shared" si="25"/>
        <v>6.680720127014885E-3</v>
      </c>
      <c r="W78" s="2"/>
      <c r="X78" s="7">
        <f t="shared" si="26"/>
        <v>-2962.49</v>
      </c>
      <c r="Y78" s="2"/>
      <c r="Z78" s="6">
        <f t="shared" si="27"/>
        <v>-0.8594151605697542</v>
      </c>
    </row>
    <row r="79" spans="1:26" s="24" customFormat="1" hidden="1" outlineLevel="2" x14ac:dyDescent="0.25">
      <c r="A79" s="27"/>
      <c r="B79" s="11" t="str">
        <f>CONCATENATE("          ", "6112", " - ", "COMPENSATION INSURANCE")</f>
        <v xml:space="preserve">          6112 - COMPENSATION INSURANCE</v>
      </c>
      <c r="C79" s="11"/>
      <c r="D79" s="7"/>
      <c r="E79" s="2"/>
      <c r="F79" s="6">
        <f t="shared" si="20"/>
        <v>0</v>
      </c>
      <c r="G79" s="2"/>
      <c r="H79" s="7">
        <v>404.73</v>
      </c>
      <c r="I79" s="2"/>
      <c r="J79" s="6">
        <f t="shared" si="21"/>
        <v>9.1575228327162028E-3</v>
      </c>
      <c r="K79" s="2"/>
      <c r="L79" s="7">
        <f t="shared" si="22"/>
        <v>-404.73</v>
      </c>
      <c r="M79" s="2"/>
      <c r="N79" s="6">
        <f t="shared" si="23"/>
        <v>-1</v>
      </c>
      <c r="O79" s="11"/>
      <c r="P79" s="7">
        <v>255.57</v>
      </c>
      <c r="Q79" s="2"/>
      <c r="R79" s="6">
        <f t="shared" si="24"/>
        <v>1.1991880600152403E-2</v>
      </c>
      <c r="S79" s="2"/>
      <c r="T79" s="7">
        <v>1515.85</v>
      </c>
      <c r="U79" s="2"/>
      <c r="V79" s="6">
        <f t="shared" si="25"/>
        <v>2.9378229829524856E-3</v>
      </c>
      <c r="W79" s="2"/>
      <c r="X79" s="7">
        <f t="shared" si="26"/>
        <v>-1260.28</v>
      </c>
      <c r="Y79" s="2"/>
      <c r="Z79" s="6">
        <f t="shared" si="27"/>
        <v>-0.83140152389748334</v>
      </c>
    </row>
    <row r="80" spans="1:26" s="24" customFormat="1" hidden="1" outlineLevel="2" x14ac:dyDescent="0.25">
      <c r="A80" s="27"/>
      <c r="B80" s="11" t="str">
        <f>CONCATENATE("          ", "6113", " - ", "GROUP INSURANCE")</f>
        <v xml:space="preserve">          6113 - GROUP INSURANCE</v>
      </c>
      <c r="C80" s="11"/>
      <c r="D80" s="7"/>
      <c r="E80" s="2"/>
      <c r="F80" s="6">
        <f t="shared" si="20"/>
        <v>0</v>
      </c>
      <c r="G80" s="2"/>
      <c r="H80" s="7">
        <v>2104.73</v>
      </c>
      <c r="I80" s="2"/>
      <c r="J80" s="6">
        <f t="shared" si="21"/>
        <v>4.7622150647846154E-2</v>
      </c>
      <c r="K80" s="2"/>
      <c r="L80" s="7">
        <f t="shared" si="22"/>
        <v>-2104.73</v>
      </c>
      <c r="M80" s="2"/>
      <c r="N80" s="6">
        <f t="shared" si="23"/>
        <v>-1</v>
      </c>
      <c r="O80" s="11"/>
      <c r="P80" s="7"/>
      <c r="Q80" s="2"/>
      <c r="R80" s="6">
        <f t="shared" si="24"/>
        <v>0</v>
      </c>
      <c r="S80" s="2"/>
      <c r="T80" s="7">
        <v>10080.24</v>
      </c>
      <c r="U80" s="2"/>
      <c r="V80" s="6">
        <f t="shared" si="25"/>
        <v>1.9536207900304758E-2</v>
      </c>
      <c r="W80" s="2"/>
      <c r="X80" s="7">
        <f t="shared" si="26"/>
        <v>-10080.24</v>
      </c>
      <c r="Y80" s="2"/>
      <c r="Z80" s="6">
        <f t="shared" si="27"/>
        <v>-1</v>
      </c>
    </row>
    <row r="81" spans="1:26" s="24" customFormat="1" hidden="1" outlineLevel="2" x14ac:dyDescent="0.25">
      <c r="A81" s="27"/>
      <c r="B81" s="11" t="str">
        <f>CONCATENATE("          ", "6114", " - ", "STATE UNEMPLOYMENT INSURANCE")</f>
        <v xml:space="preserve">          6114 - STATE UNEMPLOYMENT INSURANCE</v>
      </c>
      <c r="C81" s="11"/>
      <c r="D81" s="7"/>
      <c r="E81" s="2"/>
      <c r="F81" s="6">
        <f t="shared" si="20"/>
        <v>0</v>
      </c>
      <c r="G81" s="2"/>
      <c r="H81" s="7">
        <v>55.38</v>
      </c>
      <c r="I81" s="2"/>
      <c r="J81" s="6">
        <f t="shared" si="21"/>
        <v>1.2530418167069981E-3</v>
      </c>
      <c r="K81" s="2"/>
      <c r="L81" s="7">
        <f t="shared" si="22"/>
        <v>-55.38</v>
      </c>
      <c r="M81" s="2"/>
      <c r="N81" s="6">
        <f t="shared" si="23"/>
        <v>-1</v>
      </c>
      <c r="O81" s="11"/>
      <c r="P81" s="7">
        <v>38.020000000000003</v>
      </c>
      <c r="Q81" s="2"/>
      <c r="R81" s="6">
        <f t="shared" si="24"/>
        <v>1.7839781680862169E-3</v>
      </c>
      <c r="S81" s="2"/>
      <c r="T81" s="7">
        <v>249.4</v>
      </c>
      <c r="U81" s="2"/>
      <c r="V81" s="6">
        <f t="shared" si="25"/>
        <v>4.8335458782092553E-4</v>
      </c>
      <c r="W81" s="2"/>
      <c r="X81" s="7">
        <f t="shared" si="26"/>
        <v>-211.38</v>
      </c>
      <c r="Y81" s="2"/>
      <c r="Z81" s="6">
        <f t="shared" si="27"/>
        <v>-0.84755412991178825</v>
      </c>
    </row>
    <row r="82" spans="1:26" s="24" customFormat="1" hidden="1" outlineLevel="2" x14ac:dyDescent="0.25">
      <c r="A82" s="27"/>
      <c r="B82" s="11" t="str">
        <f>CONCATENATE("          ", "6115", " - ", "P.E.R.S.")</f>
        <v xml:space="preserve">          6115 - P.E.R.S.</v>
      </c>
      <c r="C82" s="11"/>
      <c r="D82" s="7"/>
      <c r="E82" s="2"/>
      <c r="F82" s="6">
        <f t="shared" si="20"/>
        <v>0</v>
      </c>
      <c r="G82" s="2"/>
      <c r="H82" s="7">
        <v>438.35</v>
      </c>
      <c r="I82" s="2"/>
      <c r="J82" s="6">
        <f t="shared" si="21"/>
        <v>9.9182174133895379E-3</v>
      </c>
      <c r="K82" s="2"/>
      <c r="L82" s="7">
        <f t="shared" si="22"/>
        <v>-438.35</v>
      </c>
      <c r="M82" s="2"/>
      <c r="N82" s="6">
        <f t="shared" si="23"/>
        <v>-1</v>
      </c>
      <c r="O82" s="11"/>
      <c r="P82" s="7"/>
      <c r="Q82" s="2"/>
      <c r="R82" s="6">
        <f t="shared" si="24"/>
        <v>0</v>
      </c>
      <c r="S82" s="2"/>
      <c r="T82" s="7">
        <v>2270.64</v>
      </c>
      <c r="U82" s="2"/>
      <c r="V82" s="6">
        <f t="shared" si="25"/>
        <v>4.4006586258608909E-3</v>
      </c>
      <c r="W82" s="2"/>
      <c r="X82" s="7">
        <f t="shared" si="26"/>
        <v>-2270.64</v>
      </c>
      <c r="Y82" s="2"/>
      <c r="Z82" s="6">
        <f t="shared" si="27"/>
        <v>-1</v>
      </c>
    </row>
    <row r="83" spans="1:26" s="24" customFormat="1" hidden="1" outlineLevel="2" x14ac:dyDescent="0.25">
      <c r="A83" s="27"/>
      <c r="B83" s="11" t="str">
        <f>CONCATENATE("          ", "6118", " - ", "VACATION")</f>
        <v xml:space="preserve">          6118 - VACATION</v>
      </c>
      <c r="C83" s="11"/>
      <c r="D83" s="7"/>
      <c r="E83" s="2"/>
      <c r="F83" s="6">
        <f t="shared" si="20"/>
        <v>0</v>
      </c>
      <c r="G83" s="2"/>
      <c r="H83" s="7">
        <v>208.6</v>
      </c>
      <c r="I83" s="2"/>
      <c r="J83" s="6">
        <f t="shared" si="21"/>
        <v>4.7198360954330042E-3</v>
      </c>
      <c r="K83" s="2"/>
      <c r="L83" s="7">
        <f t="shared" si="22"/>
        <v>-208.6</v>
      </c>
      <c r="M83" s="2"/>
      <c r="N83" s="6">
        <f t="shared" si="23"/>
        <v>-1</v>
      </c>
      <c r="O83" s="11"/>
      <c r="P83" s="7"/>
      <c r="Q83" s="2"/>
      <c r="R83" s="6">
        <f t="shared" si="24"/>
        <v>0</v>
      </c>
      <c r="S83" s="2"/>
      <c r="T83" s="7">
        <v>2247.1799999999998</v>
      </c>
      <c r="U83" s="2"/>
      <c r="V83" s="6">
        <f t="shared" si="25"/>
        <v>4.3551915102623389E-3</v>
      </c>
      <c r="W83" s="2"/>
      <c r="X83" s="7">
        <f t="shared" si="26"/>
        <v>-2247.1799999999998</v>
      </c>
      <c r="Y83" s="2"/>
      <c r="Z83" s="6">
        <f t="shared" si="27"/>
        <v>-1</v>
      </c>
    </row>
    <row r="84" spans="1:26" s="24" customFormat="1" hidden="1" outlineLevel="2" x14ac:dyDescent="0.25">
      <c r="A84" s="27"/>
      <c r="B84" s="11" t="str">
        <f>CONCATENATE("          ", "6119", " - ", "SICK LEAVE")</f>
        <v xml:space="preserve">          6119 - SICK LEAVE</v>
      </c>
      <c r="C84" s="11"/>
      <c r="D84" s="7"/>
      <c r="E84" s="2"/>
      <c r="F84" s="6">
        <f t="shared" si="20"/>
        <v>0</v>
      </c>
      <c r="G84" s="2"/>
      <c r="H84" s="7">
        <v>256.25</v>
      </c>
      <c r="I84" s="2"/>
      <c r="J84" s="6">
        <f t="shared" si="21"/>
        <v>5.7979769868394407E-3</v>
      </c>
      <c r="K84" s="2"/>
      <c r="L84" s="7">
        <f t="shared" si="22"/>
        <v>-256.25</v>
      </c>
      <c r="M84" s="2"/>
      <c r="N84" s="6">
        <f t="shared" si="23"/>
        <v>-1</v>
      </c>
      <c r="O84" s="11"/>
      <c r="P84" s="7"/>
      <c r="Q84" s="2"/>
      <c r="R84" s="6">
        <f t="shared" si="24"/>
        <v>0</v>
      </c>
      <c r="S84" s="2"/>
      <c r="T84" s="7">
        <v>1481.52</v>
      </c>
      <c r="U84" s="2"/>
      <c r="V84" s="6">
        <f t="shared" si="25"/>
        <v>2.8712890495126609E-3</v>
      </c>
      <c r="W84" s="2"/>
      <c r="X84" s="7">
        <f t="shared" si="26"/>
        <v>-1481.52</v>
      </c>
      <c r="Y84" s="2"/>
      <c r="Z84" s="6">
        <f t="shared" si="27"/>
        <v>-1</v>
      </c>
    </row>
    <row r="85" spans="1:26" s="24" customFormat="1" hidden="1" outlineLevel="2" x14ac:dyDescent="0.25">
      <c r="A85" s="27"/>
      <c r="B85" s="11" t="str">
        <f>CONCATENATE("          ", "6156", " - ", "EMPLOYEE MEALS")</f>
        <v xml:space="preserve">          6156 - EMPLOYEE MEALS</v>
      </c>
      <c r="C85" s="11"/>
      <c r="D85" s="7"/>
      <c r="E85" s="2"/>
      <c r="F85" s="6">
        <f t="shared" si="20"/>
        <v>0</v>
      </c>
      <c r="G85" s="2"/>
      <c r="H85" s="7">
        <v>168.06</v>
      </c>
      <c r="I85" s="2"/>
      <c r="J85" s="6">
        <f t="shared" si="21"/>
        <v>3.8025678533004353E-3</v>
      </c>
      <c r="K85" s="2"/>
      <c r="L85" s="7">
        <f t="shared" si="22"/>
        <v>-168.06</v>
      </c>
      <c r="M85" s="2"/>
      <c r="N85" s="6">
        <f t="shared" si="23"/>
        <v>-1</v>
      </c>
      <c r="O85" s="11"/>
      <c r="P85" s="7"/>
      <c r="Q85" s="2"/>
      <c r="R85" s="6">
        <f t="shared" si="24"/>
        <v>0</v>
      </c>
      <c r="S85" s="2"/>
      <c r="T85" s="7">
        <v>952.06</v>
      </c>
      <c r="U85" s="2"/>
      <c r="V85" s="6">
        <f t="shared" si="25"/>
        <v>1.8451586562982772E-3</v>
      </c>
      <c r="W85" s="2"/>
      <c r="X85" s="7">
        <f t="shared" si="26"/>
        <v>-952.06</v>
      </c>
      <c r="Y85" s="2"/>
      <c r="Z85" s="6">
        <f t="shared" si="27"/>
        <v>-1</v>
      </c>
    </row>
    <row r="86" spans="1:26" s="25" customFormat="1" outlineLevel="1" collapsed="1" x14ac:dyDescent="0.25">
      <c r="A86" s="26"/>
      <c r="B86" s="13" t="str">
        <f>CONCATENATE("     ","*Payroll                                          ")</f>
        <v xml:space="preserve">     *Payroll                                          </v>
      </c>
      <c r="C86" s="13"/>
      <c r="D86" s="1">
        <f>SUM(OSRRefD22_1x_0)</f>
        <v>0</v>
      </c>
      <c r="E86" s="1"/>
      <c r="F86" s="5">
        <f t="shared" ref="F86:F91" si="28">IF(D$12=0,0,D86/D$12)</f>
        <v>0</v>
      </c>
      <c r="G86" s="1"/>
      <c r="H86" s="1">
        <f>SUM(OSRRefH22_1x_0)</f>
        <v>12863.720000000001</v>
      </c>
      <c r="I86" s="1"/>
      <c r="J86" s="5">
        <f t="shared" ref="J86:J91" si="29">IF(H$12=0,0,H86/H$12)</f>
        <v>0.29105776595179028</v>
      </c>
      <c r="K86" s="1"/>
      <c r="L86" s="1">
        <f t="shared" ref="L86:L91" si="30">+D86-H86</f>
        <v>-12863.720000000001</v>
      </c>
      <c r="M86" s="1"/>
      <c r="N86" s="5">
        <f t="shared" ref="N86:N91" si="31">IF(H86=0,0,L86/H86)</f>
        <v>-1</v>
      </c>
      <c r="O86" s="13"/>
      <c r="P86" s="1">
        <f>SUM(OSRRefP22_1x_0)</f>
        <v>8152.5399999999991</v>
      </c>
      <c r="Q86" s="1"/>
      <c r="R86" s="5">
        <f t="shared" ref="R86:R91" si="32">IF(P$12=0,0,P86/P$12)</f>
        <v>0.38253428128483963</v>
      </c>
      <c r="S86" s="1"/>
      <c r="T86" s="1">
        <f>SUM(OSRRefT22_1x_0)</f>
        <v>89547.99</v>
      </c>
      <c r="U86" s="1"/>
      <c r="V86" s="5">
        <f t="shared" ref="V86:V91" si="33">IF(T$12=0,0,T86/T$12)</f>
        <v>0.17355024778124445</v>
      </c>
      <c r="W86" s="1"/>
      <c r="X86" s="1">
        <f t="shared" ref="X86:X91" si="34">+P86-T86</f>
        <v>-81395.450000000012</v>
      </c>
      <c r="Y86" s="1"/>
      <c r="Z86" s="5">
        <f t="shared" ref="Z86:Z91" si="35">IF(T86=0,0,X86/T86)</f>
        <v>-0.90895898389232421</v>
      </c>
    </row>
    <row r="87" spans="1:26" s="24" customFormat="1" hidden="1" outlineLevel="2" x14ac:dyDescent="0.25">
      <c r="A87" s="27"/>
      <c r="B87" s="11" t="str">
        <f>CONCATENATE("          ", "6002", " - ", "STAFF SALARIES")</f>
        <v xml:space="preserve">          6002 - STAFF SALARIES</v>
      </c>
      <c r="C87" s="11"/>
      <c r="D87" s="7"/>
      <c r="E87" s="2"/>
      <c r="F87" s="6">
        <f t="shared" si="28"/>
        <v>0</v>
      </c>
      <c r="G87" s="2"/>
      <c r="H87" s="7">
        <v>5124.97</v>
      </c>
      <c r="I87" s="2"/>
      <c r="J87" s="6">
        <f t="shared" si="29"/>
        <v>0.11595886094923914</v>
      </c>
      <c r="K87" s="2"/>
      <c r="L87" s="7">
        <f t="shared" si="30"/>
        <v>-5124.97</v>
      </c>
      <c r="M87" s="2"/>
      <c r="N87" s="6">
        <f t="shared" si="31"/>
        <v>-1</v>
      </c>
      <c r="O87" s="11"/>
      <c r="P87" s="7"/>
      <c r="Q87" s="2"/>
      <c r="R87" s="6">
        <f t="shared" si="32"/>
        <v>0</v>
      </c>
      <c r="S87" s="2"/>
      <c r="T87" s="7">
        <v>30061.73</v>
      </c>
      <c r="U87" s="2"/>
      <c r="V87" s="6">
        <f t="shared" si="33"/>
        <v>5.8261728601980561E-2</v>
      </c>
      <c r="W87" s="2"/>
      <c r="X87" s="7">
        <f t="shared" si="34"/>
        <v>-30061.73</v>
      </c>
      <c r="Y87" s="2"/>
      <c r="Z87" s="6">
        <f t="shared" si="35"/>
        <v>-1</v>
      </c>
    </row>
    <row r="88" spans="1:26" s="24" customFormat="1" hidden="1" outlineLevel="2" x14ac:dyDescent="0.25">
      <c r="A88" s="27"/>
      <c r="B88" s="11" t="str">
        <f>CONCATENATE("          ", "6004", " - ", "STAFF HOURLY")</f>
        <v xml:space="preserve">          6004 - STAFF HOURLY</v>
      </c>
      <c r="C88" s="11"/>
      <c r="D88" s="7"/>
      <c r="E88" s="2"/>
      <c r="F88" s="6">
        <f t="shared" si="28"/>
        <v>0</v>
      </c>
      <c r="G88" s="2"/>
      <c r="H88" s="7"/>
      <c r="I88" s="2"/>
      <c r="J88" s="6">
        <f t="shared" si="29"/>
        <v>0</v>
      </c>
      <c r="K88" s="2"/>
      <c r="L88" s="7">
        <f t="shared" si="30"/>
        <v>0</v>
      </c>
      <c r="M88" s="2"/>
      <c r="N88" s="6">
        <f t="shared" si="31"/>
        <v>0</v>
      </c>
      <c r="O88" s="11"/>
      <c r="P88" s="7"/>
      <c r="Q88" s="2"/>
      <c r="R88" s="6">
        <f t="shared" si="32"/>
        <v>0</v>
      </c>
      <c r="S88" s="2"/>
      <c r="T88" s="7">
        <v>-48</v>
      </c>
      <c r="U88" s="2"/>
      <c r="V88" s="6">
        <f t="shared" si="33"/>
        <v>-9.3027346493201388E-5</v>
      </c>
      <c r="W88" s="2"/>
      <c r="X88" s="7">
        <f t="shared" si="34"/>
        <v>48</v>
      </c>
      <c r="Y88" s="2"/>
      <c r="Z88" s="6">
        <f t="shared" si="35"/>
        <v>-1</v>
      </c>
    </row>
    <row r="89" spans="1:26" s="24" customFormat="1" hidden="1" outlineLevel="2" x14ac:dyDescent="0.25">
      <c r="A89" s="27"/>
      <c r="B89" s="11" t="str">
        <f>CONCATENATE("          ", "6005", " - ", "TEMPORARY WAGES-HOURLY")</f>
        <v xml:space="preserve">          6005 - TEMPORARY WAGES-HOURLY</v>
      </c>
      <c r="C89" s="11"/>
      <c r="D89" s="7"/>
      <c r="E89" s="2"/>
      <c r="F89" s="6">
        <f t="shared" si="28"/>
        <v>0</v>
      </c>
      <c r="G89" s="2"/>
      <c r="H89" s="7">
        <v>1094.76</v>
      </c>
      <c r="I89" s="2"/>
      <c r="J89" s="6">
        <f t="shared" si="29"/>
        <v>2.477031526287745E-2</v>
      </c>
      <c r="K89" s="2"/>
      <c r="L89" s="7">
        <f t="shared" si="30"/>
        <v>-1094.76</v>
      </c>
      <c r="M89" s="2"/>
      <c r="N89" s="6">
        <f t="shared" si="31"/>
        <v>-1</v>
      </c>
      <c r="O89" s="11"/>
      <c r="P89" s="7">
        <v>5379.19</v>
      </c>
      <c r="Q89" s="2"/>
      <c r="R89" s="6">
        <f t="shared" si="32"/>
        <v>0.25240288064144384</v>
      </c>
      <c r="S89" s="2"/>
      <c r="T89" s="7">
        <v>2776.77</v>
      </c>
      <c r="U89" s="2"/>
      <c r="V89" s="6">
        <f t="shared" si="33"/>
        <v>5.3815738525401415E-3</v>
      </c>
      <c r="W89" s="2"/>
      <c r="X89" s="7">
        <f t="shared" si="34"/>
        <v>2602.4199999999996</v>
      </c>
      <c r="Y89" s="2"/>
      <c r="Z89" s="6">
        <f t="shared" si="35"/>
        <v>0.93721122023069958</v>
      </c>
    </row>
    <row r="90" spans="1:26" s="24" customFormat="1" hidden="1" outlineLevel="2" x14ac:dyDescent="0.25">
      <c r="A90" s="27"/>
      <c r="B90" s="11" t="str">
        <f>CONCATENATE("          ", "6006", " - ", "TEMPORARY PART TIME")</f>
        <v xml:space="preserve">          6006 - TEMPORARY PART TIME</v>
      </c>
      <c r="C90" s="11"/>
      <c r="D90" s="7"/>
      <c r="E90" s="2"/>
      <c r="F90" s="6">
        <f t="shared" si="28"/>
        <v>0</v>
      </c>
      <c r="G90" s="2"/>
      <c r="H90" s="7"/>
      <c r="I90" s="2"/>
      <c r="J90" s="6">
        <f t="shared" si="29"/>
        <v>0</v>
      </c>
      <c r="K90" s="2"/>
      <c r="L90" s="7">
        <f t="shared" si="30"/>
        <v>0</v>
      </c>
      <c r="M90" s="2"/>
      <c r="N90" s="6">
        <f t="shared" si="31"/>
        <v>0</v>
      </c>
      <c r="O90" s="11"/>
      <c r="P90" s="7"/>
      <c r="Q90" s="2"/>
      <c r="R90" s="6">
        <f t="shared" si="32"/>
        <v>0</v>
      </c>
      <c r="S90" s="2"/>
      <c r="T90" s="7">
        <v>25.5</v>
      </c>
      <c r="U90" s="2"/>
      <c r="V90" s="6">
        <f t="shared" si="33"/>
        <v>4.9420777824513238E-5</v>
      </c>
      <c r="W90" s="2"/>
      <c r="X90" s="7">
        <f t="shared" si="34"/>
        <v>-25.5</v>
      </c>
      <c r="Y90" s="2"/>
      <c r="Z90" s="6">
        <f t="shared" si="35"/>
        <v>-1</v>
      </c>
    </row>
    <row r="91" spans="1:26" s="24" customFormat="1" hidden="1" outlineLevel="2" x14ac:dyDescent="0.25">
      <c r="A91" s="27"/>
      <c r="B91" s="11" t="str">
        <f>CONCATENATE("          ", "6007", " - ", "STUDENT HOURLY")</f>
        <v xml:space="preserve">          6007 - STUDENT HOURLY</v>
      </c>
      <c r="C91" s="11"/>
      <c r="D91" s="7"/>
      <c r="E91" s="2"/>
      <c r="F91" s="6">
        <f t="shared" si="28"/>
        <v>0</v>
      </c>
      <c r="G91" s="2"/>
      <c r="H91" s="7">
        <v>6643.99</v>
      </c>
      <c r="I91" s="2"/>
      <c r="J91" s="6">
        <f t="shared" si="29"/>
        <v>0.15032858973967367</v>
      </c>
      <c r="K91" s="2"/>
      <c r="L91" s="7">
        <f t="shared" si="30"/>
        <v>-6643.99</v>
      </c>
      <c r="M91" s="2"/>
      <c r="N91" s="6">
        <f t="shared" si="31"/>
        <v>-1</v>
      </c>
      <c r="O91" s="11"/>
      <c r="P91" s="7">
        <v>2773.35</v>
      </c>
      <c r="Q91" s="2"/>
      <c r="R91" s="6">
        <f t="shared" si="32"/>
        <v>0.13013140064339582</v>
      </c>
      <c r="S91" s="2"/>
      <c r="T91" s="7">
        <v>56731.990000000005</v>
      </c>
      <c r="U91" s="2"/>
      <c r="V91" s="6">
        <f t="shared" si="33"/>
        <v>0.10995055189539243</v>
      </c>
      <c r="W91" s="2"/>
      <c r="X91" s="7">
        <f t="shared" si="34"/>
        <v>-53958.640000000007</v>
      </c>
      <c r="Y91" s="2"/>
      <c r="Z91" s="6">
        <f t="shared" si="35"/>
        <v>-0.95111488244991937</v>
      </c>
    </row>
    <row r="92" spans="1:26" s="25" customFormat="1" outlineLevel="1" collapsed="1" x14ac:dyDescent="0.25">
      <c r="A92" s="26"/>
      <c r="B92" s="13" t="str">
        <f>CONCATENATE("     ","Advertising/Promo                                 ")</f>
        <v xml:space="preserve">     Advertising/Promo                                 </v>
      </c>
      <c r="C92" s="13"/>
      <c r="D92" s="1">
        <f>SUM(OSRRefD22_2x_0)</f>
        <v>0</v>
      </c>
      <c r="E92" s="1"/>
      <c r="F92" s="5">
        <f t="shared" ref="F92:F98" si="36">IF(D$12=0,0,D92/D$12)</f>
        <v>0</v>
      </c>
      <c r="G92" s="1"/>
      <c r="H92" s="1">
        <f>SUM(OSRRefH22_2x_0)</f>
        <v>258.51</v>
      </c>
      <c r="I92" s="1"/>
      <c r="J92" s="5">
        <f t="shared" ref="J92:J98" si="37">IF(H$12=0,0,H92/H$12)</f>
        <v>5.8491123155819079E-3</v>
      </c>
      <c r="K92" s="1"/>
      <c r="L92" s="1">
        <f t="shared" ref="L92:L98" si="38">+D92-H92</f>
        <v>-258.51</v>
      </c>
      <c r="M92" s="1"/>
      <c r="N92" s="5">
        <f t="shared" ref="N92:N98" si="39">IF(H92=0,0,L92/H92)</f>
        <v>-1</v>
      </c>
      <c r="O92" s="13"/>
      <c r="P92" s="1">
        <f>SUM(OSRRefP22_2x_0)</f>
        <v>124.72</v>
      </c>
      <c r="Q92" s="1"/>
      <c r="R92" s="5">
        <f t="shared" ref="R92:R98" si="40">IF(P$12=0,0,P92/P$12)</f>
        <v>5.8521240695347957E-3</v>
      </c>
      <c r="S92" s="1"/>
      <c r="T92" s="1">
        <f>SUM(OSRRefT22_2x_0)</f>
        <v>2103.9899999999998</v>
      </c>
      <c r="U92" s="1"/>
      <c r="V92" s="5">
        <f t="shared" ref="V92:V98" si="41">IF(T$12=0,0,T92/T$12)</f>
        <v>4.0776793072548074E-3</v>
      </c>
      <c r="W92" s="1"/>
      <c r="X92" s="1">
        <f t="shared" ref="X92:X98" si="42">+P92-T92</f>
        <v>-1979.2699999999998</v>
      </c>
      <c r="Y92" s="1"/>
      <c r="Z92" s="5">
        <f t="shared" ref="Z92:Z98" si="43">IF(T92=0,0,X92/T92)</f>
        <v>-0.9407221517212534</v>
      </c>
    </row>
    <row r="93" spans="1:26" s="24" customFormat="1" hidden="1" outlineLevel="2" x14ac:dyDescent="0.25">
      <c r="A93" s="27"/>
      <c r="B93" s="11" t="str">
        <f>CONCATENATE("          ", "6362", " - ", "ADVERTISING EXPENSE")</f>
        <v xml:space="preserve">          6362 - ADVERTISING EXPENSE</v>
      </c>
      <c r="C93" s="11"/>
      <c r="D93" s="7"/>
      <c r="E93" s="2"/>
      <c r="F93" s="6">
        <f t="shared" si="36"/>
        <v>0</v>
      </c>
      <c r="G93" s="2"/>
      <c r="H93" s="7">
        <v>258.51</v>
      </c>
      <c r="I93" s="2"/>
      <c r="J93" s="6">
        <f t="shared" si="37"/>
        <v>5.8491123155819079E-3</v>
      </c>
      <c r="K93" s="2"/>
      <c r="L93" s="7">
        <f t="shared" si="38"/>
        <v>-258.51</v>
      </c>
      <c r="M93" s="2"/>
      <c r="N93" s="6">
        <f t="shared" si="39"/>
        <v>-1</v>
      </c>
      <c r="O93" s="11"/>
      <c r="P93" s="7">
        <v>124.72</v>
      </c>
      <c r="Q93" s="2"/>
      <c r="R93" s="6">
        <f t="shared" si="40"/>
        <v>5.8521240695347957E-3</v>
      </c>
      <c r="S93" s="2"/>
      <c r="T93" s="7">
        <v>2103.9899999999998</v>
      </c>
      <c r="U93" s="2"/>
      <c r="V93" s="6">
        <f t="shared" si="41"/>
        <v>4.0776793072548074E-3</v>
      </c>
      <c r="W93" s="2"/>
      <c r="X93" s="7">
        <f t="shared" si="42"/>
        <v>-1979.2699999999998</v>
      </c>
      <c r="Y93" s="2"/>
      <c r="Z93" s="6">
        <f t="shared" si="43"/>
        <v>-0.9407221517212534</v>
      </c>
    </row>
    <row r="94" spans="1:26" s="25" customFormat="1" outlineLevel="1" collapsed="1" x14ac:dyDescent="0.25">
      <c r="A94" s="26"/>
      <c r="B94" s="13" t="str">
        <f>CONCATENATE("     ","Bad Debts/Over/Short                              ")</f>
        <v xml:space="preserve">     Bad Debts/Over/Short                              </v>
      </c>
      <c r="C94" s="13"/>
      <c r="D94" s="1">
        <f>SUM(OSRRefD22_3x_0)</f>
        <v>0</v>
      </c>
      <c r="E94" s="1"/>
      <c r="F94" s="5">
        <f t="shared" si="36"/>
        <v>0</v>
      </c>
      <c r="G94" s="1"/>
      <c r="H94" s="1">
        <f>SUM(OSRRefH22_3x_0)</f>
        <v>0.23</v>
      </c>
      <c r="I94" s="1"/>
      <c r="J94" s="5">
        <f t="shared" si="37"/>
        <v>5.2040378808705227E-6</v>
      </c>
      <c r="K94" s="1"/>
      <c r="L94" s="1">
        <f t="shared" si="38"/>
        <v>-0.23</v>
      </c>
      <c r="M94" s="1"/>
      <c r="N94" s="5">
        <f t="shared" si="39"/>
        <v>-1</v>
      </c>
      <c r="O94" s="13"/>
      <c r="P94" s="1">
        <f>SUM(OSRRefP22_3x_0)</f>
        <v>1.1000000000000001</v>
      </c>
      <c r="Q94" s="1"/>
      <c r="R94" s="5">
        <f t="shared" si="40"/>
        <v>5.1614307861516002E-5</v>
      </c>
      <c r="S94" s="1"/>
      <c r="T94" s="1">
        <f>SUM(OSRRefT22_3x_0)</f>
        <v>-46.98</v>
      </c>
      <c r="U94" s="1"/>
      <c r="V94" s="5">
        <f t="shared" si="41"/>
        <v>-9.1050515380220845E-5</v>
      </c>
      <c r="W94" s="1"/>
      <c r="X94" s="1">
        <f t="shared" si="42"/>
        <v>48.08</v>
      </c>
      <c r="Y94" s="1"/>
      <c r="Z94" s="5">
        <f t="shared" si="43"/>
        <v>-1.0234142188165176</v>
      </c>
    </row>
    <row r="95" spans="1:26" s="24" customFormat="1" hidden="1" outlineLevel="2" x14ac:dyDescent="0.25">
      <c r="A95" s="27"/>
      <c r="B95" s="11" t="str">
        <f>CONCATENATE("          ", "6272", " - ", "CASH (OVER/SHORT)")</f>
        <v xml:space="preserve">          6272 - CASH (OVER/SHORT)</v>
      </c>
      <c r="C95" s="11"/>
      <c r="D95" s="7"/>
      <c r="E95" s="2"/>
      <c r="F95" s="6">
        <f t="shared" si="36"/>
        <v>0</v>
      </c>
      <c r="G95" s="2"/>
      <c r="H95" s="7">
        <v>0.23</v>
      </c>
      <c r="I95" s="2"/>
      <c r="J95" s="6">
        <f t="shared" si="37"/>
        <v>5.2040378808705227E-6</v>
      </c>
      <c r="K95" s="2"/>
      <c r="L95" s="7">
        <f t="shared" si="38"/>
        <v>-0.23</v>
      </c>
      <c r="M95" s="2"/>
      <c r="N95" s="6">
        <f t="shared" si="39"/>
        <v>-1</v>
      </c>
      <c r="O95" s="11"/>
      <c r="P95" s="7">
        <v>1.1000000000000001</v>
      </c>
      <c r="Q95" s="2"/>
      <c r="R95" s="6">
        <f t="shared" si="40"/>
        <v>5.1614307861516002E-5</v>
      </c>
      <c r="S95" s="2"/>
      <c r="T95" s="7">
        <v>-46.98</v>
      </c>
      <c r="U95" s="2"/>
      <c r="V95" s="6">
        <f t="shared" si="41"/>
        <v>-9.1050515380220845E-5</v>
      </c>
      <c r="W95" s="2"/>
      <c r="X95" s="7">
        <f t="shared" si="42"/>
        <v>48.08</v>
      </c>
      <c r="Y95" s="2"/>
      <c r="Z95" s="6">
        <f t="shared" si="43"/>
        <v>-1.0234142188165176</v>
      </c>
    </row>
    <row r="96" spans="1:26" s="25" customFormat="1" outlineLevel="1" collapsed="1" x14ac:dyDescent="0.25">
      <c r="A96" s="26"/>
      <c r="B96" s="13" t="str">
        <f>CONCATENATE("     ","Discounts and Markdowns                           ")</f>
        <v xml:space="preserve">     Discounts and Markdowns                           </v>
      </c>
      <c r="C96" s="13"/>
      <c r="D96" s="1">
        <f>SUM(OSRRefD22_4x_0)</f>
        <v>0</v>
      </c>
      <c r="E96" s="1"/>
      <c r="F96" s="5">
        <f t="shared" si="36"/>
        <v>0</v>
      </c>
      <c r="G96" s="1"/>
      <c r="H96" s="1">
        <f>SUM(OSRRefH22_4x_0)</f>
        <v>1149.53</v>
      </c>
      <c r="I96" s="1"/>
      <c r="J96" s="5">
        <f t="shared" si="37"/>
        <v>2.6009555066074313E-2</v>
      </c>
      <c r="K96" s="1"/>
      <c r="L96" s="1">
        <f t="shared" si="38"/>
        <v>-1149.53</v>
      </c>
      <c r="M96" s="1"/>
      <c r="N96" s="5">
        <f t="shared" si="39"/>
        <v>-1</v>
      </c>
      <c r="O96" s="13"/>
      <c r="P96" s="1">
        <f>SUM(OSRRefP22_4x_0)</f>
        <v>0</v>
      </c>
      <c r="Q96" s="1"/>
      <c r="R96" s="5">
        <f t="shared" si="40"/>
        <v>0</v>
      </c>
      <c r="S96" s="1"/>
      <c r="T96" s="1">
        <f>SUM(OSRRefT22_4x_0)</f>
        <v>11374.71</v>
      </c>
      <c r="U96" s="1"/>
      <c r="V96" s="5">
        <f t="shared" si="41"/>
        <v>2.2044981008951723E-2</v>
      </c>
      <c r="W96" s="1"/>
      <c r="X96" s="1">
        <f t="shared" si="42"/>
        <v>-11374.71</v>
      </c>
      <c r="Y96" s="1"/>
      <c r="Z96" s="5">
        <f t="shared" si="43"/>
        <v>-1</v>
      </c>
    </row>
    <row r="97" spans="1:26" s="24" customFormat="1" hidden="1" outlineLevel="2" x14ac:dyDescent="0.25">
      <c r="A97" s="27"/>
      <c r="B97" s="11" t="str">
        <f>CONCATENATE("          ", "6382", " - ", "DISCOUNTS/MARK DOWNS")</f>
        <v xml:space="preserve">          6382 - DISCOUNTS/MARK DOWNS</v>
      </c>
      <c r="C97" s="11"/>
      <c r="D97" s="7"/>
      <c r="E97" s="2"/>
      <c r="F97" s="6">
        <f t="shared" si="36"/>
        <v>0</v>
      </c>
      <c r="G97" s="2"/>
      <c r="H97" s="7">
        <v>1149.53</v>
      </c>
      <c r="I97" s="2"/>
      <c r="J97" s="6">
        <f t="shared" si="37"/>
        <v>2.6009555066074313E-2</v>
      </c>
      <c r="K97" s="2"/>
      <c r="L97" s="7">
        <f t="shared" si="38"/>
        <v>-1149.53</v>
      </c>
      <c r="M97" s="2"/>
      <c r="N97" s="6">
        <f t="shared" si="39"/>
        <v>-1</v>
      </c>
      <c r="O97" s="11"/>
      <c r="P97" s="7"/>
      <c r="Q97" s="2"/>
      <c r="R97" s="6">
        <f t="shared" si="40"/>
        <v>0</v>
      </c>
      <c r="S97" s="2"/>
      <c r="T97" s="7">
        <v>11374.71</v>
      </c>
      <c r="U97" s="2"/>
      <c r="V97" s="6">
        <f t="shared" si="41"/>
        <v>2.2044981008951723E-2</v>
      </c>
      <c r="W97" s="2"/>
      <c r="X97" s="7">
        <f t="shared" si="42"/>
        <v>-11374.71</v>
      </c>
      <c r="Y97" s="2"/>
      <c r="Z97" s="6">
        <f t="shared" si="43"/>
        <v>-1</v>
      </c>
    </row>
    <row r="98" spans="1:26" s="24" customFormat="1" hidden="1" outlineLevel="2" x14ac:dyDescent="0.25">
      <c r="A98" s="27"/>
      <c r="B98" s="11" t="str">
        <f>CONCATENATE("          ", "9175", " - ", "EARNED DISCOUNTS")</f>
        <v xml:space="preserve">          9175 - EARNED DISCOUNTS</v>
      </c>
      <c r="C98" s="11"/>
      <c r="D98" s="7"/>
      <c r="E98" s="2"/>
      <c r="F98" s="6">
        <f t="shared" si="36"/>
        <v>0</v>
      </c>
      <c r="G98" s="2"/>
      <c r="H98" s="7"/>
      <c r="I98" s="2"/>
      <c r="J98" s="6">
        <f t="shared" si="37"/>
        <v>0</v>
      </c>
      <c r="K98" s="2"/>
      <c r="L98" s="7">
        <f t="shared" si="38"/>
        <v>0</v>
      </c>
      <c r="M98" s="2"/>
      <c r="N98" s="6">
        <f t="shared" si="39"/>
        <v>0</v>
      </c>
      <c r="O98" s="11"/>
      <c r="P98" s="7">
        <v>0</v>
      </c>
      <c r="Q98" s="2"/>
      <c r="R98" s="6">
        <f t="shared" si="40"/>
        <v>0</v>
      </c>
      <c r="S98" s="2"/>
      <c r="T98" s="7">
        <v>0</v>
      </c>
      <c r="U98" s="2"/>
      <c r="V98" s="6">
        <f t="shared" si="41"/>
        <v>0</v>
      </c>
      <c r="W98" s="2"/>
      <c r="X98" s="7">
        <f t="shared" si="42"/>
        <v>0</v>
      </c>
      <c r="Y98" s="2"/>
      <c r="Z98" s="6">
        <f t="shared" si="43"/>
        <v>0</v>
      </c>
    </row>
    <row r="99" spans="1:26" s="25" customFormat="1" outlineLevel="1" collapsed="1" x14ac:dyDescent="0.25">
      <c r="A99" s="26"/>
      <c r="B99" s="13" t="str">
        <f>CONCATENATE("     ","Freight out/Postage                               ")</f>
        <v xml:space="preserve">     Freight out/Postage                               </v>
      </c>
      <c r="C99" s="13"/>
      <c r="D99" s="1">
        <f>SUM(OSRRefD22_5x_0)</f>
        <v>0</v>
      </c>
      <c r="E99" s="1"/>
      <c r="F99" s="5">
        <f t="shared" ref="F99:F107" si="44">IF(D$12=0,0,D99/D$12)</f>
        <v>0</v>
      </c>
      <c r="G99" s="1"/>
      <c r="H99" s="1">
        <f>SUM(OSRRefH22_5x_0)</f>
        <v>0</v>
      </c>
      <c r="I99" s="1"/>
      <c r="J99" s="5">
        <f t="shared" ref="J99:J107" si="45">IF(H$12=0,0,H99/H$12)</f>
        <v>0</v>
      </c>
      <c r="K99" s="1"/>
      <c r="L99" s="1">
        <f t="shared" ref="L99:L107" si="46">+D99-H99</f>
        <v>0</v>
      </c>
      <c r="M99" s="1"/>
      <c r="N99" s="5">
        <f t="shared" ref="N99:N107" si="47">IF(H99=0,0,L99/H99)</f>
        <v>0</v>
      </c>
      <c r="O99" s="13"/>
      <c r="P99" s="1">
        <f>SUM(OSRRefP22_5x_0)</f>
        <v>0</v>
      </c>
      <c r="Q99" s="1"/>
      <c r="R99" s="5">
        <f t="shared" ref="R99:R107" si="48">IF(P$12=0,0,P99/P$12)</f>
        <v>0</v>
      </c>
      <c r="S99" s="1"/>
      <c r="T99" s="1">
        <f>SUM(OSRRefT22_5x_0)</f>
        <v>15.81</v>
      </c>
      <c r="U99" s="1"/>
      <c r="V99" s="5">
        <f t="shared" ref="V99:V107" si="49">IF(T$12=0,0,T99/T$12)</f>
        <v>3.0640882251198209E-5</v>
      </c>
      <c r="W99" s="1"/>
      <c r="X99" s="1">
        <f t="shared" ref="X99:X107" si="50">+P99-T99</f>
        <v>-15.81</v>
      </c>
      <c r="Y99" s="1"/>
      <c r="Z99" s="5">
        <f t="shared" ref="Z99:Z107" si="51">IF(T99=0,0,X99/T99)</f>
        <v>-1</v>
      </c>
    </row>
    <row r="100" spans="1:26" s="24" customFormat="1" hidden="1" outlineLevel="2" x14ac:dyDescent="0.25">
      <c r="A100" s="27"/>
      <c r="B100" s="11" t="str">
        <f>CONCATENATE("          ", "6305", " - ", "FREIGHT OUT")</f>
        <v xml:space="preserve">          6305 - FREIGHT OUT</v>
      </c>
      <c r="C100" s="11"/>
      <c r="D100" s="7"/>
      <c r="E100" s="2"/>
      <c r="F100" s="6">
        <f t="shared" si="44"/>
        <v>0</v>
      </c>
      <c r="G100" s="2"/>
      <c r="H100" s="7"/>
      <c r="I100" s="2"/>
      <c r="J100" s="6">
        <f t="shared" si="45"/>
        <v>0</v>
      </c>
      <c r="K100" s="2"/>
      <c r="L100" s="7">
        <f t="shared" si="46"/>
        <v>0</v>
      </c>
      <c r="M100" s="2"/>
      <c r="N100" s="6">
        <f t="shared" si="47"/>
        <v>0</v>
      </c>
      <c r="O100" s="11"/>
      <c r="P100" s="7"/>
      <c r="Q100" s="2"/>
      <c r="R100" s="6">
        <f t="shared" si="48"/>
        <v>0</v>
      </c>
      <c r="S100" s="2"/>
      <c r="T100" s="7">
        <v>15.81</v>
      </c>
      <c r="U100" s="2"/>
      <c r="V100" s="6">
        <f t="shared" si="49"/>
        <v>3.0640882251198209E-5</v>
      </c>
      <c r="W100" s="2"/>
      <c r="X100" s="7">
        <f t="shared" si="50"/>
        <v>-15.81</v>
      </c>
      <c r="Y100" s="2"/>
      <c r="Z100" s="6">
        <f t="shared" si="51"/>
        <v>-1</v>
      </c>
    </row>
    <row r="101" spans="1:26" s="25" customFormat="1" outlineLevel="1" collapsed="1" x14ac:dyDescent="0.25">
      <c r="A101" s="26"/>
      <c r="B101" s="13" t="str">
        <f>CONCATENATE("     ","General                                           ")</f>
        <v xml:space="preserve">     General                                           </v>
      </c>
      <c r="C101" s="13"/>
      <c r="D101" s="1">
        <f>SUM(OSRRefD22_6x_0)</f>
        <v>160</v>
      </c>
      <c r="E101" s="1"/>
      <c r="F101" s="5">
        <f t="shared" si="44"/>
        <v>0</v>
      </c>
      <c r="G101" s="1"/>
      <c r="H101" s="1">
        <f>SUM(OSRRefH22_6x_0)</f>
        <v>160</v>
      </c>
      <c r="I101" s="1"/>
      <c r="J101" s="5">
        <f t="shared" si="45"/>
        <v>3.6202002649534069E-3</v>
      </c>
      <c r="K101" s="1"/>
      <c r="L101" s="1">
        <f t="shared" si="46"/>
        <v>0</v>
      </c>
      <c r="M101" s="1"/>
      <c r="N101" s="5">
        <f t="shared" si="47"/>
        <v>0</v>
      </c>
      <c r="O101" s="13"/>
      <c r="P101" s="1">
        <f>SUM(OSRRefP22_6x_0)</f>
        <v>879.55</v>
      </c>
      <c r="Q101" s="1"/>
      <c r="R101" s="5">
        <f t="shared" si="48"/>
        <v>4.1270331345087632E-2</v>
      </c>
      <c r="S101" s="1"/>
      <c r="T101" s="1">
        <f>SUM(OSRRefT22_6x_0)</f>
        <v>954.05</v>
      </c>
      <c r="U101" s="1"/>
      <c r="V101" s="5">
        <f t="shared" si="49"/>
        <v>1.8490154150383078E-3</v>
      </c>
      <c r="W101" s="1"/>
      <c r="X101" s="1">
        <f t="shared" si="50"/>
        <v>-74.5</v>
      </c>
      <c r="Y101" s="1"/>
      <c r="Z101" s="5">
        <f t="shared" si="51"/>
        <v>-7.8088150516220325E-2</v>
      </c>
    </row>
    <row r="102" spans="1:26" s="24" customFormat="1" hidden="1" outlineLevel="2" x14ac:dyDescent="0.25">
      <c r="A102" s="27"/>
      <c r="B102" s="11" t="str">
        <f>CONCATENATE("          ", "6279", " - ", "GENERAL EXPENSE")</f>
        <v xml:space="preserve">          6279 - GENERAL EXPENSE</v>
      </c>
      <c r="C102" s="11"/>
      <c r="D102" s="7">
        <v>160</v>
      </c>
      <c r="E102" s="2"/>
      <c r="F102" s="6">
        <f t="shared" si="44"/>
        <v>0</v>
      </c>
      <c r="G102" s="2"/>
      <c r="H102" s="7">
        <v>160</v>
      </c>
      <c r="I102" s="2"/>
      <c r="J102" s="6">
        <f t="shared" si="45"/>
        <v>3.6202002649534069E-3</v>
      </c>
      <c r="K102" s="2"/>
      <c r="L102" s="7">
        <f t="shared" si="46"/>
        <v>0</v>
      </c>
      <c r="M102" s="2"/>
      <c r="N102" s="6">
        <f t="shared" si="47"/>
        <v>0</v>
      </c>
      <c r="O102" s="11"/>
      <c r="P102" s="7">
        <v>879.55</v>
      </c>
      <c r="Q102" s="2"/>
      <c r="R102" s="6">
        <f t="shared" si="48"/>
        <v>4.1270331345087632E-2</v>
      </c>
      <c r="S102" s="2"/>
      <c r="T102" s="7">
        <v>954.05</v>
      </c>
      <c r="U102" s="2"/>
      <c r="V102" s="6">
        <f t="shared" si="49"/>
        <v>1.8490154150383078E-3</v>
      </c>
      <c r="W102" s="2"/>
      <c r="X102" s="7">
        <f t="shared" si="50"/>
        <v>-74.5</v>
      </c>
      <c r="Y102" s="2"/>
      <c r="Z102" s="6">
        <f t="shared" si="51"/>
        <v>-7.8088150516220325E-2</v>
      </c>
    </row>
    <row r="103" spans="1:26" s="25" customFormat="1" outlineLevel="1" collapsed="1" x14ac:dyDescent="0.25">
      <c r="A103" s="26"/>
      <c r="B103" s="13" t="str">
        <f>CONCATENATE("     ","Professional Services                             ")</f>
        <v xml:space="preserve">     Professional Services                             </v>
      </c>
      <c r="C103" s="13"/>
      <c r="D103" s="1">
        <f>SUM(OSRRefD22_7x_0)</f>
        <v>0</v>
      </c>
      <c r="E103" s="1"/>
      <c r="F103" s="5">
        <f t="shared" si="44"/>
        <v>0</v>
      </c>
      <c r="G103" s="1"/>
      <c r="H103" s="1">
        <f>SUM(OSRRefH22_7x_0)</f>
        <v>41.15</v>
      </c>
      <c r="I103" s="1"/>
      <c r="J103" s="5">
        <f t="shared" si="45"/>
        <v>9.3107025564270437E-4</v>
      </c>
      <c r="K103" s="1"/>
      <c r="L103" s="1">
        <f t="shared" si="46"/>
        <v>-41.15</v>
      </c>
      <c r="M103" s="1"/>
      <c r="N103" s="5">
        <f t="shared" si="47"/>
        <v>-1</v>
      </c>
      <c r="O103" s="13"/>
      <c r="P103" s="1">
        <f>SUM(OSRRefP22_7x_0)</f>
        <v>0</v>
      </c>
      <c r="Q103" s="1"/>
      <c r="R103" s="5">
        <f t="shared" si="48"/>
        <v>0</v>
      </c>
      <c r="S103" s="1"/>
      <c r="T103" s="1">
        <f>SUM(OSRRefT22_7x_0)</f>
        <v>791.15</v>
      </c>
      <c r="U103" s="1"/>
      <c r="V103" s="5">
        <f t="shared" si="49"/>
        <v>1.5333038578770057E-3</v>
      </c>
      <c r="W103" s="1"/>
      <c r="X103" s="1">
        <f t="shared" si="50"/>
        <v>-791.15</v>
      </c>
      <c r="Y103" s="1"/>
      <c r="Z103" s="5">
        <f t="shared" si="51"/>
        <v>-1</v>
      </c>
    </row>
    <row r="104" spans="1:26" s="24" customFormat="1" hidden="1" outlineLevel="2" x14ac:dyDescent="0.25">
      <c r="A104" s="27"/>
      <c r="B104" s="11" t="str">
        <f>CONCATENATE("          ", "6336", " - ", "PROFESSIONAL SERVICES")</f>
        <v xml:space="preserve">          6336 - PROFESSIONAL SERVICES</v>
      </c>
      <c r="C104" s="11"/>
      <c r="D104" s="7"/>
      <c r="E104" s="2"/>
      <c r="F104" s="6">
        <f t="shared" si="44"/>
        <v>0</v>
      </c>
      <c r="G104" s="2"/>
      <c r="H104" s="7">
        <v>41.15</v>
      </c>
      <c r="I104" s="2"/>
      <c r="J104" s="6">
        <f t="shared" si="45"/>
        <v>9.3107025564270437E-4</v>
      </c>
      <c r="K104" s="2"/>
      <c r="L104" s="7">
        <f t="shared" si="46"/>
        <v>-41.15</v>
      </c>
      <c r="M104" s="2"/>
      <c r="N104" s="6">
        <f t="shared" si="47"/>
        <v>-1</v>
      </c>
      <c r="O104" s="11"/>
      <c r="P104" s="7"/>
      <c r="Q104" s="2"/>
      <c r="R104" s="6">
        <f t="shared" si="48"/>
        <v>0</v>
      </c>
      <c r="S104" s="2"/>
      <c r="T104" s="7">
        <v>791.15</v>
      </c>
      <c r="U104" s="2"/>
      <c r="V104" s="6">
        <f t="shared" si="49"/>
        <v>1.5333038578770057E-3</v>
      </c>
      <c r="W104" s="2"/>
      <c r="X104" s="7">
        <f t="shared" si="50"/>
        <v>-791.15</v>
      </c>
      <c r="Y104" s="2"/>
      <c r="Z104" s="6">
        <f t="shared" si="51"/>
        <v>-1</v>
      </c>
    </row>
    <row r="105" spans="1:26" s="25" customFormat="1" outlineLevel="1" collapsed="1" x14ac:dyDescent="0.25">
      <c r="A105" s="26"/>
      <c r="B105" s="13" t="str">
        <f>CONCATENATE("     ","Repair and Maintenance                            ")</f>
        <v xml:space="preserve">     Repair and Maintenance                            </v>
      </c>
      <c r="C105" s="13"/>
      <c r="D105" s="1">
        <f>SUM(OSRRefD22_8x_0)</f>
        <v>61.11</v>
      </c>
      <c r="E105" s="1"/>
      <c r="F105" s="5">
        <f t="shared" si="44"/>
        <v>0</v>
      </c>
      <c r="G105" s="1"/>
      <c r="H105" s="1">
        <f>SUM(OSRRefH22_8x_0)</f>
        <v>61.11</v>
      </c>
      <c r="I105" s="1"/>
      <c r="J105" s="5">
        <f t="shared" si="45"/>
        <v>1.3826902386956418E-3</v>
      </c>
      <c r="K105" s="1"/>
      <c r="L105" s="1">
        <f t="shared" si="46"/>
        <v>0</v>
      </c>
      <c r="M105" s="1"/>
      <c r="N105" s="5">
        <f t="shared" si="47"/>
        <v>0</v>
      </c>
      <c r="O105" s="13"/>
      <c r="P105" s="1">
        <f>SUM(OSRRefP22_8x_0)</f>
        <v>200.82</v>
      </c>
      <c r="Q105" s="1"/>
      <c r="R105" s="5">
        <f t="shared" si="48"/>
        <v>9.4228957315905838E-3</v>
      </c>
      <c r="S105" s="1"/>
      <c r="T105" s="1">
        <f>SUM(OSRRefT22_8x_0)</f>
        <v>129.53</v>
      </c>
      <c r="U105" s="1"/>
      <c r="V105" s="5">
        <f t="shared" si="49"/>
        <v>2.5103817065134118E-4</v>
      </c>
      <c r="W105" s="1"/>
      <c r="X105" s="1">
        <f t="shared" si="50"/>
        <v>71.289999999999992</v>
      </c>
      <c r="Y105" s="1"/>
      <c r="Z105" s="5">
        <f t="shared" si="51"/>
        <v>0.55037443063382996</v>
      </c>
    </row>
    <row r="106" spans="1:26" s="24" customFormat="1" hidden="1" outlineLevel="2" x14ac:dyDescent="0.25">
      <c r="A106" s="27"/>
      <c r="B106" s="11" t="str">
        <f>CONCATENATE("          ", "6373", " - ", "MAINTENANCE CONTRACTS")</f>
        <v xml:space="preserve">          6373 - MAINTENANCE CONTRACTS</v>
      </c>
      <c r="C106" s="11"/>
      <c r="D106" s="7">
        <v>61.11</v>
      </c>
      <c r="E106" s="2"/>
      <c r="F106" s="6">
        <f t="shared" si="44"/>
        <v>0</v>
      </c>
      <c r="G106" s="2"/>
      <c r="H106" s="7">
        <v>61.11</v>
      </c>
      <c r="I106" s="2"/>
      <c r="J106" s="6">
        <f t="shared" si="45"/>
        <v>1.3826902386956418E-3</v>
      </c>
      <c r="K106" s="2"/>
      <c r="L106" s="7">
        <f t="shared" si="46"/>
        <v>0</v>
      </c>
      <c r="M106" s="2"/>
      <c r="N106" s="6">
        <f t="shared" si="47"/>
        <v>0</v>
      </c>
      <c r="O106" s="11"/>
      <c r="P106" s="7">
        <v>200.82</v>
      </c>
      <c r="Q106" s="2"/>
      <c r="R106" s="6">
        <f t="shared" si="48"/>
        <v>9.4228957315905838E-3</v>
      </c>
      <c r="S106" s="2"/>
      <c r="T106" s="7">
        <v>119.73</v>
      </c>
      <c r="U106" s="2"/>
      <c r="V106" s="6">
        <f t="shared" si="49"/>
        <v>2.320450874089792E-4</v>
      </c>
      <c r="W106" s="2"/>
      <c r="X106" s="7">
        <f t="shared" si="50"/>
        <v>81.089999999999989</v>
      </c>
      <c r="Y106" s="2"/>
      <c r="Z106" s="6">
        <f t="shared" si="51"/>
        <v>0.67727386619894747</v>
      </c>
    </row>
    <row r="107" spans="1:26" s="24" customFormat="1" hidden="1" outlineLevel="2" x14ac:dyDescent="0.25">
      <c r="A107" s="27"/>
      <c r="B107" s="11" t="str">
        <f>CONCATENATE("          ", "6375", " - ", "OUTSIDE REPAIRS &amp; MAINTENANCE")</f>
        <v xml:space="preserve">          6375 - OUTSIDE REPAIRS &amp; MAINTENANCE</v>
      </c>
      <c r="C107" s="11"/>
      <c r="D107" s="7"/>
      <c r="E107" s="2"/>
      <c r="F107" s="6">
        <f t="shared" si="44"/>
        <v>0</v>
      </c>
      <c r="G107" s="2"/>
      <c r="H107" s="7"/>
      <c r="I107" s="2"/>
      <c r="J107" s="6">
        <f t="shared" si="45"/>
        <v>0</v>
      </c>
      <c r="K107" s="2"/>
      <c r="L107" s="7">
        <f t="shared" si="46"/>
        <v>0</v>
      </c>
      <c r="M107" s="2"/>
      <c r="N107" s="6">
        <f t="shared" si="47"/>
        <v>0</v>
      </c>
      <c r="O107" s="11"/>
      <c r="P107" s="7"/>
      <c r="Q107" s="2"/>
      <c r="R107" s="6">
        <f t="shared" si="48"/>
        <v>0</v>
      </c>
      <c r="S107" s="2"/>
      <c r="T107" s="7">
        <v>9.8000000000000007</v>
      </c>
      <c r="U107" s="2"/>
      <c r="V107" s="6">
        <f t="shared" si="49"/>
        <v>1.899308324236195E-5</v>
      </c>
      <c r="W107" s="2"/>
      <c r="X107" s="7">
        <f t="shared" si="50"/>
        <v>-9.8000000000000007</v>
      </c>
      <c r="Y107" s="2"/>
      <c r="Z107" s="6">
        <f t="shared" si="51"/>
        <v>-1</v>
      </c>
    </row>
    <row r="108" spans="1:26" s="25" customFormat="1" outlineLevel="1" collapsed="1" x14ac:dyDescent="0.25">
      <c r="A108" s="26"/>
      <c r="B108" s="13" t="str">
        <f>CONCATENATE("     ","Services                                          ")</f>
        <v xml:space="preserve">     Services                                          </v>
      </c>
      <c r="C108" s="13"/>
      <c r="D108" s="1">
        <f>SUM(OSRRefD22_9x_0)</f>
        <v>0</v>
      </c>
      <c r="E108" s="1"/>
      <c r="F108" s="5">
        <f t="shared" ref="F108:F110" si="52">IF(D$12=0,0,D108/D$12)</f>
        <v>0</v>
      </c>
      <c r="G108" s="1"/>
      <c r="H108" s="1">
        <f>SUM(OSRRefH22_9x_0)</f>
        <v>109.66</v>
      </c>
      <c r="I108" s="1"/>
      <c r="J108" s="5">
        <f t="shared" ref="J108:J110" si="53">IF(H$12=0,0,H108/H$12)</f>
        <v>2.4811947565924414E-3</v>
      </c>
      <c r="K108" s="1"/>
      <c r="L108" s="1">
        <f t="shared" ref="L108:L110" si="54">+D108-H108</f>
        <v>-109.66</v>
      </c>
      <c r="M108" s="1"/>
      <c r="N108" s="5">
        <f t="shared" ref="N108:N110" si="55">IF(H108=0,0,L108/H108)</f>
        <v>-1</v>
      </c>
      <c r="O108" s="13"/>
      <c r="P108" s="1">
        <f>SUM(OSRRefP22_9x_0)</f>
        <v>18.5</v>
      </c>
      <c r="Q108" s="1"/>
      <c r="R108" s="5">
        <f t="shared" ref="R108:R110" si="56">IF(P$12=0,0,P108/P$12)</f>
        <v>8.6805881403458724E-4</v>
      </c>
      <c r="S108" s="1"/>
      <c r="T108" s="1">
        <f>SUM(OSRRefT22_9x_0)</f>
        <v>1230.69</v>
      </c>
      <c r="U108" s="1"/>
      <c r="V108" s="5">
        <f t="shared" ref="V108:V110" si="57">IF(T$12=0,0,T108/T$12)</f>
        <v>2.3851630219941253E-3</v>
      </c>
      <c r="W108" s="1"/>
      <c r="X108" s="1">
        <f t="shared" ref="X108:X110" si="58">+P108-T108</f>
        <v>-1212.19</v>
      </c>
      <c r="Y108" s="1"/>
      <c r="Z108" s="5">
        <f t="shared" ref="Z108:Z110" si="59">IF(T108=0,0,X108/T108)</f>
        <v>-0.98496778230098558</v>
      </c>
    </row>
    <row r="109" spans="1:26" s="24" customFormat="1" hidden="1" outlineLevel="2" x14ac:dyDescent="0.25">
      <c r="A109" s="27"/>
      <c r="B109" s="11" t="str">
        <f>CONCATENATE("          ", "6282", " - ", "JANITORIAL/EXTERMINATOR EXPENS")</f>
        <v xml:space="preserve">          6282 - JANITORIAL/EXTERMINATOR EXPENS</v>
      </c>
      <c r="C109" s="11"/>
      <c r="D109" s="7"/>
      <c r="E109" s="2"/>
      <c r="F109" s="6">
        <f t="shared" si="52"/>
        <v>0</v>
      </c>
      <c r="G109" s="2"/>
      <c r="H109" s="7">
        <v>44</v>
      </c>
      <c r="I109" s="2"/>
      <c r="J109" s="6">
        <f t="shared" si="53"/>
        <v>9.9555507286218695E-4</v>
      </c>
      <c r="K109" s="2"/>
      <c r="L109" s="7">
        <f t="shared" si="54"/>
        <v>-44</v>
      </c>
      <c r="M109" s="2"/>
      <c r="N109" s="6">
        <f t="shared" si="55"/>
        <v>-1</v>
      </c>
      <c r="O109" s="11"/>
      <c r="P109" s="7">
        <v>176</v>
      </c>
      <c r="Q109" s="2"/>
      <c r="R109" s="6">
        <f t="shared" si="56"/>
        <v>8.2582892578425601E-3</v>
      </c>
      <c r="S109" s="2"/>
      <c r="T109" s="7">
        <v>264</v>
      </c>
      <c r="U109" s="2"/>
      <c r="V109" s="6">
        <f t="shared" si="57"/>
        <v>5.116504057126076E-4</v>
      </c>
      <c r="W109" s="2"/>
      <c r="X109" s="7">
        <f t="shared" si="58"/>
        <v>-88</v>
      </c>
      <c r="Y109" s="2"/>
      <c r="Z109" s="6">
        <f t="shared" si="59"/>
        <v>-0.33333333333333331</v>
      </c>
    </row>
    <row r="110" spans="1:26" s="24" customFormat="1" hidden="1" outlineLevel="2" x14ac:dyDescent="0.25">
      <c r="A110" s="27"/>
      <c r="B110" s="11" t="str">
        <f>CONCATENATE("          ", "6285", " - ", "JANITORIAL SERVICES")</f>
        <v xml:space="preserve">          6285 - JANITORIAL SERVICES</v>
      </c>
      <c r="C110" s="11"/>
      <c r="D110" s="7"/>
      <c r="E110" s="2"/>
      <c r="F110" s="6">
        <f t="shared" si="52"/>
        <v>0</v>
      </c>
      <c r="G110" s="2"/>
      <c r="H110" s="7">
        <v>65.66</v>
      </c>
      <c r="I110" s="2"/>
      <c r="J110" s="6">
        <f t="shared" si="53"/>
        <v>1.4856396837302545E-3</v>
      </c>
      <c r="K110" s="2"/>
      <c r="L110" s="7">
        <f t="shared" si="54"/>
        <v>-65.66</v>
      </c>
      <c r="M110" s="2"/>
      <c r="N110" s="6">
        <f t="shared" si="55"/>
        <v>-1</v>
      </c>
      <c r="O110" s="11"/>
      <c r="P110" s="7">
        <v>-157.5</v>
      </c>
      <c r="Q110" s="2"/>
      <c r="R110" s="6">
        <f t="shared" si="56"/>
        <v>-7.3902304438079732E-3</v>
      </c>
      <c r="S110" s="2"/>
      <c r="T110" s="7">
        <v>966.69</v>
      </c>
      <c r="U110" s="2"/>
      <c r="V110" s="6">
        <f t="shared" si="57"/>
        <v>1.8735126162815177E-3</v>
      </c>
      <c r="W110" s="2"/>
      <c r="X110" s="7">
        <f t="shared" si="58"/>
        <v>-1124.19</v>
      </c>
      <c r="Y110" s="2"/>
      <c r="Z110" s="6">
        <f t="shared" si="59"/>
        <v>-1.1629271017596128</v>
      </c>
    </row>
    <row r="111" spans="1:26" s="25" customFormat="1" outlineLevel="1" collapsed="1" x14ac:dyDescent="0.25">
      <c r="A111" s="26"/>
      <c r="B111" s="13" t="str">
        <f>CONCATENATE("     ","Subscriptions &amp; Dues                              ")</f>
        <v xml:space="preserve">     Subscriptions &amp; Dues                              </v>
      </c>
      <c r="C111" s="13"/>
      <c r="D111" s="1">
        <f>SUM(OSRRefD22_10x_0)</f>
        <v>0</v>
      </c>
      <c r="E111" s="1"/>
      <c r="F111" s="5">
        <f t="shared" ref="F111:F116" si="60">IF(D$12=0,0,D111/D$12)</f>
        <v>0</v>
      </c>
      <c r="G111" s="1"/>
      <c r="H111" s="1">
        <f>SUM(OSRRefH22_10x_0)</f>
        <v>0</v>
      </c>
      <c r="I111" s="1"/>
      <c r="J111" s="5">
        <f t="shared" ref="J111:J116" si="61">IF(H$12=0,0,H111/H$12)</f>
        <v>0</v>
      </c>
      <c r="K111" s="1"/>
      <c r="L111" s="1">
        <f t="shared" ref="L111:L116" si="62">+D111-H111</f>
        <v>0</v>
      </c>
      <c r="M111" s="1"/>
      <c r="N111" s="5">
        <f t="shared" ref="N111:N116" si="63">IF(H111=0,0,L111/H111)</f>
        <v>0</v>
      </c>
      <c r="O111" s="13"/>
      <c r="P111" s="1">
        <f>SUM(OSRRefP22_10x_0)</f>
        <v>0</v>
      </c>
      <c r="Q111" s="1"/>
      <c r="R111" s="5">
        <f t="shared" ref="R111:R116" si="64">IF(P$12=0,0,P111/P$12)</f>
        <v>0</v>
      </c>
      <c r="S111" s="1"/>
      <c r="T111" s="1">
        <f>SUM(OSRRefT22_10x_0)</f>
        <v>120</v>
      </c>
      <c r="U111" s="1"/>
      <c r="V111" s="5">
        <f t="shared" ref="V111:V116" si="65">IF(T$12=0,0,T111/T$12)</f>
        <v>2.3256836623300345E-4</v>
      </c>
      <c r="W111" s="1"/>
      <c r="X111" s="1">
        <f t="shared" ref="X111:X116" si="66">+P111-T111</f>
        <v>-120</v>
      </c>
      <c r="Y111" s="1"/>
      <c r="Z111" s="5">
        <f t="shared" ref="Z111:Z116" si="67">IF(T111=0,0,X111/T111)</f>
        <v>-1</v>
      </c>
    </row>
    <row r="112" spans="1:26" s="24" customFormat="1" hidden="1" outlineLevel="2" x14ac:dyDescent="0.25">
      <c r="A112" s="27"/>
      <c r="B112" s="11" t="str">
        <f>CONCATENATE("          ", "6258", " - ", "MEMBERSHIP DUES")</f>
        <v xml:space="preserve">          6258 - MEMBERSHIP DUES</v>
      </c>
      <c r="C112" s="11"/>
      <c r="D112" s="7"/>
      <c r="E112" s="2"/>
      <c r="F112" s="6">
        <f t="shared" si="60"/>
        <v>0</v>
      </c>
      <c r="G112" s="2"/>
      <c r="H112" s="7"/>
      <c r="I112" s="2"/>
      <c r="J112" s="6">
        <f t="shared" si="61"/>
        <v>0</v>
      </c>
      <c r="K112" s="2"/>
      <c r="L112" s="7">
        <f t="shared" si="62"/>
        <v>0</v>
      </c>
      <c r="M112" s="2"/>
      <c r="N112" s="6">
        <f t="shared" si="63"/>
        <v>0</v>
      </c>
      <c r="O112" s="11"/>
      <c r="P112" s="7"/>
      <c r="Q112" s="2"/>
      <c r="R112" s="6">
        <f t="shared" si="64"/>
        <v>0</v>
      </c>
      <c r="S112" s="2"/>
      <c r="T112" s="7">
        <v>120</v>
      </c>
      <c r="U112" s="2"/>
      <c r="V112" s="6">
        <f t="shared" si="65"/>
        <v>2.3256836623300345E-4</v>
      </c>
      <c r="W112" s="2"/>
      <c r="X112" s="7">
        <f t="shared" si="66"/>
        <v>-120</v>
      </c>
      <c r="Y112" s="2"/>
      <c r="Z112" s="6">
        <f t="shared" si="67"/>
        <v>-1</v>
      </c>
    </row>
    <row r="113" spans="1:26" s="25" customFormat="1" outlineLevel="1" collapsed="1" x14ac:dyDescent="0.25">
      <c r="A113" s="26"/>
      <c r="B113" s="13" t="str">
        <f>CONCATENATE("     ","Supplies                                          ")</f>
        <v xml:space="preserve">     Supplies                                          </v>
      </c>
      <c r="C113" s="13"/>
      <c r="D113" s="1">
        <f>SUM(OSRRefD22_11x_0)</f>
        <v>0</v>
      </c>
      <c r="E113" s="1"/>
      <c r="F113" s="5">
        <f t="shared" si="60"/>
        <v>0</v>
      </c>
      <c r="G113" s="1"/>
      <c r="H113" s="1">
        <f>SUM(OSRRefH22_11x_0)</f>
        <v>230.66</v>
      </c>
      <c r="I113" s="1"/>
      <c r="J113" s="5">
        <f t="shared" si="61"/>
        <v>5.2189712069634553E-3</v>
      </c>
      <c r="K113" s="1"/>
      <c r="L113" s="1">
        <f t="shared" si="62"/>
        <v>-230.66</v>
      </c>
      <c r="M113" s="1"/>
      <c r="N113" s="5">
        <f t="shared" si="63"/>
        <v>-1</v>
      </c>
      <c r="O113" s="13"/>
      <c r="P113" s="1">
        <f>SUM(OSRRefP22_11x_0)</f>
        <v>1892.27</v>
      </c>
      <c r="Q113" s="1"/>
      <c r="R113" s="5">
        <f t="shared" si="64"/>
        <v>8.8789278488282622E-2</v>
      </c>
      <c r="S113" s="1"/>
      <c r="T113" s="1">
        <f>SUM(OSRRefT22_11x_0)</f>
        <v>1450.67</v>
      </c>
      <c r="U113" s="1"/>
      <c r="V113" s="5">
        <f t="shared" si="65"/>
        <v>2.8114995986935928E-3</v>
      </c>
      <c r="W113" s="1"/>
      <c r="X113" s="1">
        <f t="shared" si="66"/>
        <v>441.59999999999991</v>
      </c>
      <c r="Y113" s="1"/>
      <c r="Z113" s="5">
        <f t="shared" si="67"/>
        <v>0.30441106523192724</v>
      </c>
    </row>
    <row r="114" spans="1:26" s="24" customFormat="1" hidden="1" outlineLevel="2" x14ac:dyDescent="0.25">
      <c r="A114" s="27"/>
      <c r="B114" s="11" t="str">
        <f>CONCATENATE("          ", "6235", " - ", "COVID-19 EXPENSES")</f>
        <v xml:space="preserve">          6235 - COVID-19 EXPENSES</v>
      </c>
      <c r="C114" s="11"/>
      <c r="D114" s="7"/>
      <c r="E114" s="2"/>
      <c r="F114" s="6">
        <f t="shared" si="60"/>
        <v>0</v>
      </c>
      <c r="G114" s="2"/>
      <c r="H114" s="7"/>
      <c r="I114" s="2"/>
      <c r="J114" s="6">
        <f t="shared" si="61"/>
        <v>0</v>
      </c>
      <c r="K114" s="2"/>
      <c r="L114" s="7">
        <f t="shared" si="62"/>
        <v>0</v>
      </c>
      <c r="M114" s="2"/>
      <c r="N114" s="6">
        <f t="shared" si="63"/>
        <v>0</v>
      </c>
      <c r="O114" s="11"/>
      <c r="P114" s="7">
        <v>444.3</v>
      </c>
      <c r="Q114" s="2"/>
      <c r="R114" s="6">
        <f t="shared" si="64"/>
        <v>2.0847488166246871E-2</v>
      </c>
      <c r="S114" s="2"/>
      <c r="T114" s="7"/>
      <c r="U114" s="2"/>
      <c r="V114" s="6">
        <f t="shared" si="65"/>
        <v>0</v>
      </c>
      <c r="W114" s="2"/>
      <c r="X114" s="7">
        <f t="shared" si="66"/>
        <v>444.3</v>
      </c>
      <c r="Y114" s="2"/>
      <c r="Z114" s="6">
        <f t="shared" si="67"/>
        <v>0</v>
      </c>
    </row>
    <row r="115" spans="1:26" s="24" customFormat="1" hidden="1" outlineLevel="2" x14ac:dyDescent="0.25">
      <c r="A115" s="27"/>
      <c r="B115" s="11" t="str">
        <f>CONCATENATE("          ", "6241", " - ", "OFFICE EXPENSE")</f>
        <v xml:space="preserve">          6241 - OFFICE EXPENSE</v>
      </c>
      <c r="C115" s="11"/>
      <c r="D115" s="7"/>
      <c r="E115" s="2"/>
      <c r="F115" s="6">
        <f t="shared" si="60"/>
        <v>0</v>
      </c>
      <c r="G115" s="2"/>
      <c r="H115" s="7">
        <v>231.06</v>
      </c>
      <c r="I115" s="2"/>
      <c r="J115" s="6">
        <f t="shared" si="61"/>
        <v>5.2280217076258392E-3</v>
      </c>
      <c r="K115" s="2"/>
      <c r="L115" s="7">
        <f t="shared" si="62"/>
        <v>-231.06</v>
      </c>
      <c r="M115" s="2"/>
      <c r="N115" s="6">
        <f t="shared" si="63"/>
        <v>-1</v>
      </c>
      <c r="O115" s="11"/>
      <c r="P115" s="7">
        <v>225.24</v>
      </c>
      <c r="Q115" s="2"/>
      <c r="R115" s="6">
        <f t="shared" si="64"/>
        <v>1.056873336611624E-2</v>
      </c>
      <c r="S115" s="2"/>
      <c r="T115" s="7">
        <v>1451.17</v>
      </c>
      <c r="U115" s="2"/>
      <c r="V115" s="6">
        <f t="shared" si="65"/>
        <v>2.812468633552897E-3</v>
      </c>
      <c r="W115" s="2"/>
      <c r="X115" s="7">
        <f t="shared" si="66"/>
        <v>-1225.93</v>
      </c>
      <c r="Y115" s="2"/>
      <c r="Z115" s="6">
        <f t="shared" si="67"/>
        <v>-0.84478730955022496</v>
      </c>
    </row>
    <row r="116" spans="1:26" s="24" customFormat="1" hidden="1" outlineLevel="2" x14ac:dyDescent="0.25">
      <c r="A116" s="27"/>
      <c r="B116" s="11" t="str">
        <f>CONCATENATE("          ", "6247", " - ", "STORE SUPPLIES")</f>
        <v xml:space="preserve">          6247 - STORE SUPPLIES</v>
      </c>
      <c r="C116" s="11"/>
      <c r="D116" s="7"/>
      <c r="E116" s="2"/>
      <c r="F116" s="6">
        <f t="shared" si="60"/>
        <v>0</v>
      </c>
      <c r="G116" s="2"/>
      <c r="H116" s="7">
        <v>-0.4</v>
      </c>
      <c r="I116" s="2"/>
      <c r="J116" s="6">
        <f t="shared" si="61"/>
        <v>-9.050500662383518E-6</v>
      </c>
      <c r="K116" s="2"/>
      <c r="L116" s="7">
        <f t="shared" si="62"/>
        <v>0.4</v>
      </c>
      <c r="M116" s="2"/>
      <c r="N116" s="6">
        <f t="shared" si="63"/>
        <v>-1</v>
      </c>
      <c r="O116" s="11"/>
      <c r="P116" s="7">
        <v>1222.73</v>
      </c>
      <c r="Q116" s="2"/>
      <c r="R116" s="6">
        <f t="shared" si="64"/>
        <v>5.7373056955919509E-2</v>
      </c>
      <c r="S116" s="2"/>
      <c r="T116" s="7">
        <v>-0.5</v>
      </c>
      <c r="U116" s="2"/>
      <c r="V116" s="6">
        <f t="shared" si="65"/>
        <v>-9.6903485930418106E-7</v>
      </c>
      <c r="W116" s="2"/>
      <c r="X116" s="7">
        <f t="shared" si="66"/>
        <v>1223.23</v>
      </c>
      <c r="Y116" s="2"/>
      <c r="Z116" s="6">
        <f t="shared" si="67"/>
        <v>-2446.46</v>
      </c>
    </row>
    <row r="117" spans="1:26" s="25" customFormat="1" outlineLevel="1" collapsed="1" x14ac:dyDescent="0.25">
      <c r="A117" s="26"/>
      <c r="B117" s="13" t="str">
        <f>CONCATENATE("     ","Telephone/Data Lines                              ")</f>
        <v xml:space="preserve">     Telephone/Data Lines                              </v>
      </c>
      <c r="C117" s="13"/>
      <c r="D117" s="1">
        <f>SUM(OSRRefD22_12x_0)</f>
        <v>53</v>
      </c>
      <c r="E117" s="1"/>
      <c r="F117" s="5">
        <f t="shared" ref="F117:F122" si="68">IF(D$12=0,0,D117/D$12)</f>
        <v>0</v>
      </c>
      <c r="G117" s="1"/>
      <c r="H117" s="1">
        <f>SUM(OSRRefH22_12x_0)</f>
        <v>87.84</v>
      </c>
      <c r="I117" s="1"/>
      <c r="J117" s="5">
        <f t="shared" ref="J117:J122" si="69">IF(H$12=0,0,H117/H$12)</f>
        <v>1.9874899454594207E-3</v>
      </c>
      <c r="K117" s="1"/>
      <c r="L117" s="1">
        <f t="shared" ref="L117:L122" si="70">+D117-H117</f>
        <v>-34.840000000000003</v>
      </c>
      <c r="M117" s="1"/>
      <c r="N117" s="5">
        <f t="shared" ref="N117:N122" si="71">IF(H117=0,0,L117/H117)</f>
        <v>-0.39663023679417125</v>
      </c>
      <c r="O117" s="13"/>
      <c r="P117" s="1">
        <f>SUM(OSRRefP22_12x_0)</f>
        <v>366.05</v>
      </c>
      <c r="Q117" s="1"/>
      <c r="R117" s="5">
        <f t="shared" ref="R117:R122" si="72">IF(P$12=0,0,P117/P$12)</f>
        <v>1.7175833993370849E-2</v>
      </c>
      <c r="S117" s="1"/>
      <c r="T117" s="1">
        <f>SUM(OSRRefT22_12x_0)</f>
        <v>576.57000000000005</v>
      </c>
      <c r="U117" s="1"/>
      <c r="V117" s="5">
        <f t="shared" ref="V117:V122" si="73">IF(T$12=0,0,T117/T$12)</f>
        <v>1.1174328576580234E-3</v>
      </c>
      <c r="W117" s="1"/>
      <c r="X117" s="1">
        <f t="shared" ref="X117:X122" si="74">+P117-T117</f>
        <v>-210.52000000000004</v>
      </c>
      <c r="Y117" s="1"/>
      <c r="Z117" s="5">
        <f t="shared" ref="Z117:Z122" si="75">IF(T117=0,0,X117/T117)</f>
        <v>-0.36512478970463258</v>
      </c>
    </row>
    <row r="118" spans="1:26" s="24" customFormat="1" hidden="1" outlineLevel="2" x14ac:dyDescent="0.25">
      <c r="A118" s="27"/>
      <c r="B118" s="11" t="str">
        <f>CONCATENATE("          ", "6309", " - ", "TELEPHONE")</f>
        <v xml:space="preserve">          6309 - TELEPHONE</v>
      </c>
      <c r="C118" s="11"/>
      <c r="D118" s="7">
        <v>53</v>
      </c>
      <c r="E118" s="2"/>
      <c r="F118" s="6">
        <f t="shared" si="68"/>
        <v>0</v>
      </c>
      <c r="G118" s="2"/>
      <c r="H118" s="7">
        <v>87.84</v>
      </c>
      <c r="I118" s="2"/>
      <c r="J118" s="6">
        <f t="shared" si="69"/>
        <v>1.9874899454594207E-3</v>
      </c>
      <c r="K118" s="2"/>
      <c r="L118" s="7">
        <f t="shared" si="70"/>
        <v>-34.840000000000003</v>
      </c>
      <c r="M118" s="2"/>
      <c r="N118" s="6">
        <f t="shared" si="71"/>
        <v>-0.39663023679417125</v>
      </c>
      <c r="O118" s="11"/>
      <c r="P118" s="7">
        <v>366.05</v>
      </c>
      <c r="Q118" s="2"/>
      <c r="R118" s="6">
        <f t="shared" si="72"/>
        <v>1.7175833993370849E-2</v>
      </c>
      <c r="S118" s="2"/>
      <c r="T118" s="7">
        <v>576.57000000000005</v>
      </c>
      <c r="U118" s="2"/>
      <c r="V118" s="6">
        <f t="shared" si="73"/>
        <v>1.1174328576580234E-3</v>
      </c>
      <c r="W118" s="2"/>
      <c r="X118" s="7">
        <f t="shared" si="74"/>
        <v>-210.52000000000004</v>
      </c>
      <c r="Y118" s="2"/>
      <c r="Z118" s="6">
        <f t="shared" si="75"/>
        <v>-0.36512478970463258</v>
      </c>
    </row>
    <row r="119" spans="1:26" s="25" customFormat="1" outlineLevel="1" collapsed="1" x14ac:dyDescent="0.25">
      <c r="A119" s="26"/>
      <c r="B119" s="13" t="str">
        <f>CONCATENATE("     ","Training                                          ")</f>
        <v xml:space="preserve">     Training                                          </v>
      </c>
      <c r="C119" s="13"/>
      <c r="D119" s="1">
        <f>SUM(OSRRefD22_13x_0)</f>
        <v>0</v>
      </c>
      <c r="E119" s="1"/>
      <c r="F119" s="5">
        <f t="shared" si="68"/>
        <v>0</v>
      </c>
      <c r="G119" s="1"/>
      <c r="H119" s="1">
        <f>SUM(OSRRefH22_13x_0)</f>
        <v>0</v>
      </c>
      <c r="I119" s="1"/>
      <c r="J119" s="5">
        <f t="shared" si="69"/>
        <v>0</v>
      </c>
      <c r="K119" s="1"/>
      <c r="L119" s="1">
        <f t="shared" si="70"/>
        <v>0</v>
      </c>
      <c r="M119" s="1"/>
      <c r="N119" s="5">
        <f t="shared" si="71"/>
        <v>0</v>
      </c>
      <c r="O119" s="13"/>
      <c r="P119" s="1">
        <f>SUM(OSRRefP22_13x_0)</f>
        <v>14</v>
      </c>
      <c r="Q119" s="1"/>
      <c r="R119" s="5">
        <f t="shared" si="72"/>
        <v>6.5690937278293094E-4</v>
      </c>
      <c r="S119" s="1"/>
      <c r="T119" s="1">
        <f>SUM(OSRRefT22_13x_0)</f>
        <v>80</v>
      </c>
      <c r="U119" s="1"/>
      <c r="V119" s="5">
        <f t="shared" si="73"/>
        <v>1.5504557748866898E-4</v>
      </c>
      <c r="W119" s="1"/>
      <c r="X119" s="1">
        <f t="shared" si="74"/>
        <v>-66</v>
      </c>
      <c r="Y119" s="1"/>
      <c r="Z119" s="5">
        <f t="shared" si="75"/>
        <v>-0.82499999999999996</v>
      </c>
    </row>
    <row r="120" spans="1:26" s="24" customFormat="1" hidden="1" outlineLevel="2" x14ac:dyDescent="0.25">
      <c r="A120" s="27"/>
      <c r="B120" s="11" t="str">
        <f>CONCATENATE("          ", "6376", " - ", "TRAINING")</f>
        <v xml:space="preserve">          6376 - TRAINING</v>
      </c>
      <c r="C120" s="11"/>
      <c r="D120" s="7"/>
      <c r="E120" s="2"/>
      <c r="F120" s="6">
        <f t="shared" si="68"/>
        <v>0</v>
      </c>
      <c r="G120" s="2"/>
      <c r="H120" s="7"/>
      <c r="I120" s="2"/>
      <c r="J120" s="6">
        <f t="shared" si="69"/>
        <v>0</v>
      </c>
      <c r="K120" s="2"/>
      <c r="L120" s="7">
        <f t="shared" si="70"/>
        <v>0</v>
      </c>
      <c r="M120" s="2"/>
      <c r="N120" s="6">
        <f t="shared" si="71"/>
        <v>0</v>
      </c>
      <c r="O120" s="11"/>
      <c r="P120" s="7">
        <v>14</v>
      </c>
      <c r="Q120" s="2"/>
      <c r="R120" s="6">
        <f t="shared" si="72"/>
        <v>6.5690937278293094E-4</v>
      </c>
      <c r="S120" s="2"/>
      <c r="T120" s="7">
        <v>80</v>
      </c>
      <c r="U120" s="2"/>
      <c r="V120" s="6">
        <f t="shared" si="73"/>
        <v>1.5504557748866898E-4</v>
      </c>
      <c r="W120" s="2"/>
      <c r="X120" s="7">
        <f t="shared" si="74"/>
        <v>-66</v>
      </c>
      <c r="Y120" s="2"/>
      <c r="Z120" s="6">
        <f t="shared" si="75"/>
        <v>-0.82499999999999996</v>
      </c>
    </row>
    <row r="121" spans="1:26" s="25" customFormat="1" outlineLevel="1" collapsed="1" x14ac:dyDescent="0.25">
      <c r="A121" s="26"/>
      <c r="B121" s="13" t="str">
        <f>CONCATENATE("     ","Travel                                            ")</f>
        <v xml:space="preserve">     Travel                                            </v>
      </c>
      <c r="C121" s="13"/>
      <c r="D121" s="1">
        <f>SUM(OSRRefD22_14x_0)</f>
        <v>0</v>
      </c>
      <c r="E121" s="1"/>
      <c r="F121" s="5">
        <f t="shared" si="68"/>
        <v>0</v>
      </c>
      <c r="G121" s="1"/>
      <c r="H121" s="1">
        <f>SUM(OSRRefH22_14x_0)</f>
        <v>-323.01</v>
      </c>
      <c r="I121" s="1"/>
      <c r="J121" s="5">
        <f t="shared" si="69"/>
        <v>-7.3085055473912502E-3</v>
      </c>
      <c r="K121" s="1"/>
      <c r="L121" s="1">
        <f t="shared" si="70"/>
        <v>323.01</v>
      </c>
      <c r="M121" s="1"/>
      <c r="N121" s="5">
        <f t="shared" si="71"/>
        <v>-1</v>
      </c>
      <c r="O121" s="13"/>
      <c r="P121" s="1">
        <f>SUM(OSRRefP22_14x_0)</f>
        <v>0</v>
      </c>
      <c r="Q121" s="1"/>
      <c r="R121" s="5">
        <f t="shared" si="72"/>
        <v>0</v>
      </c>
      <c r="S121" s="1"/>
      <c r="T121" s="1">
        <f>SUM(OSRRefT22_14x_0)</f>
        <v>-323.01</v>
      </c>
      <c r="U121" s="1"/>
      <c r="V121" s="5">
        <f t="shared" si="73"/>
        <v>-6.2601589980768708E-4</v>
      </c>
      <c r="W121" s="1"/>
      <c r="X121" s="1">
        <f t="shared" si="74"/>
        <v>323.01</v>
      </c>
      <c r="Y121" s="1"/>
      <c r="Z121" s="5">
        <f t="shared" si="75"/>
        <v>-1</v>
      </c>
    </row>
    <row r="122" spans="1:26" s="24" customFormat="1" hidden="1" outlineLevel="2" x14ac:dyDescent="0.25">
      <c r="A122" s="27"/>
      <c r="B122" s="11" t="str">
        <f>CONCATENATE("          ", "6292", " - ", "TRAVEL/CONFERENCE")</f>
        <v xml:space="preserve">          6292 - TRAVEL/CONFERENCE</v>
      </c>
      <c r="C122" s="11"/>
      <c r="D122" s="7"/>
      <c r="E122" s="2"/>
      <c r="F122" s="6">
        <f t="shared" si="68"/>
        <v>0</v>
      </c>
      <c r="G122" s="2"/>
      <c r="H122" s="7">
        <v>-323.01</v>
      </c>
      <c r="I122" s="2"/>
      <c r="J122" s="6">
        <f t="shared" si="69"/>
        <v>-7.3085055473912502E-3</v>
      </c>
      <c r="K122" s="2"/>
      <c r="L122" s="7">
        <f t="shared" si="70"/>
        <v>323.01</v>
      </c>
      <c r="M122" s="2"/>
      <c r="N122" s="6">
        <f t="shared" si="71"/>
        <v>-1</v>
      </c>
      <c r="O122" s="11"/>
      <c r="P122" s="7"/>
      <c r="Q122" s="2"/>
      <c r="R122" s="6">
        <f t="shared" si="72"/>
        <v>0</v>
      </c>
      <c r="S122" s="2"/>
      <c r="T122" s="7">
        <v>-323.01</v>
      </c>
      <c r="U122" s="2"/>
      <c r="V122" s="6">
        <f t="shared" si="73"/>
        <v>-6.2601589980768708E-4</v>
      </c>
      <c r="W122" s="2"/>
      <c r="X122" s="7">
        <f t="shared" si="74"/>
        <v>323.01</v>
      </c>
      <c r="Y122" s="2"/>
      <c r="Z122" s="6">
        <f t="shared" si="75"/>
        <v>-1</v>
      </c>
    </row>
    <row r="123" spans="1:26" s="55" customFormat="1" x14ac:dyDescent="0.25">
      <c r="A123" s="37"/>
      <c r="B123" s="37"/>
      <c r="C123" s="37"/>
      <c r="D123" s="1"/>
      <c r="E123" s="1"/>
      <c r="F123" s="5"/>
      <c r="G123" s="1"/>
      <c r="H123" s="1"/>
      <c r="I123" s="1"/>
      <c r="J123" s="5"/>
      <c r="K123" s="1"/>
      <c r="L123" s="1"/>
      <c r="M123" s="1"/>
      <c r="N123" s="5"/>
      <c r="O123" s="37"/>
      <c r="P123" s="1"/>
      <c r="Q123" s="1"/>
      <c r="R123" s="5"/>
      <c r="S123" s="1"/>
      <c r="T123" s="1"/>
      <c r="U123" s="1"/>
      <c r="V123" s="5"/>
      <c r="W123" s="1"/>
      <c r="X123" s="1"/>
      <c r="Y123" s="1"/>
      <c r="Z123" s="5"/>
    </row>
    <row r="124" spans="1:26" s="23" customFormat="1" collapsed="1" x14ac:dyDescent="0.25">
      <c r="A124" s="10"/>
      <c r="B124" s="29" t="s">
        <v>0</v>
      </c>
      <c r="C124" s="10"/>
      <c r="D124" s="4">
        <f>SUM(OSRRefD25x_0)</f>
        <v>0</v>
      </c>
      <c r="E124" s="4"/>
      <c r="F124" s="12">
        <f t="shared" ref="F124:F125" si="76">IF(D$12=0,0,D124/D$12)</f>
        <v>0</v>
      </c>
      <c r="G124" s="4"/>
      <c r="H124" s="4">
        <f>SUM(OSRRefH25x_0)</f>
        <v>68.760000000000005</v>
      </c>
      <c r="I124" s="4"/>
      <c r="J124" s="12">
        <f t="shared" ref="J124:J125" si="77">IF(H$12=0,0,H124/H$12)</f>
        <v>1.5557810638637268E-3</v>
      </c>
      <c r="K124" s="4"/>
      <c r="L124" s="4">
        <f t="shared" ref="L124:L125" si="78">+D124-H124</f>
        <v>-68.760000000000005</v>
      </c>
      <c r="M124" s="4"/>
      <c r="N124" s="12">
        <f t="shared" ref="N124:N125" si="79">IF(H124=0,0,L124/H124)</f>
        <v>-1</v>
      </c>
      <c r="O124" s="10"/>
      <c r="P124" s="4">
        <f>SUM(OSRRefP25x_0)</f>
        <v>0</v>
      </c>
      <c r="Q124" s="4"/>
      <c r="R124" s="12">
        <f t="shared" ref="R124:R125" si="80">IF(P$12=0,0,P124/P$12)</f>
        <v>0</v>
      </c>
      <c r="S124" s="4"/>
      <c r="T124" s="4">
        <f>SUM(OSRRefT25x_0)</f>
        <v>68.760000000000005</v>
      </c>
      <c r="U124" s="4"/>
      <c r="V124" s="12">
        <f t="shared" ref="V124:V125" si="81">IF(T$12=0,0,T124/T$12)</f>
        <v>1.3326167385151099E-4</v>
      </c>
      <c r="W124" s="4"/>
      <c r="X124" s="4">
        <f t="shared" ref="X124:X125" si="82">+P124-T124</f>
        <v>-68.760000000000005</v>
      </c>
      <c r="Y124" s="4"/>
      <c r="Z124" s="12">
        <f t="shared" ref="Z124:Z125" si="83">IF(T124=0,0,X124/T124)</f>
        <v>-1</v>
      </c>
    </row>
    <row r="125" spans="1:26" s="24" customFormat="1" hidden="1" outlineLevel="1" x14ac:dyDescent="0.25">
      <c r="A125" s="44"/>
      <c r="B125" s="11" t="str">
        <f>CONCATENATE("          ", "9150", " - ", "MISC. INCOME")</f>
        <v xml:space="preserve">          9150 - MISC. INCOME</v>
      </c>
      <c r="C125" s="11"/>
      <c r="D125" s="2">
        <f>0</f>
        <v>0</v>
      </c>
      <c r="E125" s="2"/>
      <c r="F125" s="19">
        <f t="shared" si="76"/>
        <v>0</v>
      </c>
      <c r="G125" s="2"/>
      <c r="H125" s="2">
        <f>--68.76</f>
        <v>68.760000000000005</v>
      </c>
      <c r="I125" s="2"/>
      <c r="J125" s="19">
        <f t="shared" si="77"/>
        <v>1.5557810638637268E-3</v>
      </c>
      <c r="K125" s="2"/>
      <c r="L125" s="2">
        <f t="shared" si="78"/>
        <v>-68.760000000000005</v>
      </c>
      <c r="M125" s="2"/>
      <c r="N125" s="19">
        <f t="shared" si="79"/>
        <v>-1</v>
      </c>
      <c r="O125" s="11"/>
      <c r="P125" s="2">
        <f>0</f>
        <v>0</v>
      </c>
      <c r="Q125" s="2"/>
      <c r="R125" s="19">
        <f t="shared" si="80"/>
        <v>0</v>
      </c>
      <c r="S125" s="2"/>
      <c r="T125" s="2">
        <f>--68.76</f>
        <v>68.760000000000005</v>
      </c>
      <c r="U125" s="2"/>
      <c r="V125" s="19">
        <f t="shared" si="81"/>
        <v>1.3326167385151099E-4</v>
      </c>
      <c r="W125" s="2"/>
      <c r="X125" s="2">
        <f t="shared" si="82"/>
        <v>-68.760000000000005</v>
      </c>
      <c r="Y125" s="2"/>
      <c r="Z125" s="19">
        <f t="shared" si="83"/>
        <v>-1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8" t="s">
        <v>3</v>
      </c>
      <c r="C127" s="28"/>
      <c r="D127" s="20">
        <f>+D74-D76+D124</f>
        <v>214.81</v>
      </c>
      <c r="E127" s="14"/>
      <c r="F127" s="21">
        <f>IF(D$12=0,0,D127/D$12)</f>
        <v>0</v>
      </c>
      <c r="G127" s="14"/>
      <c r="H127" s="20">
        <f>+H74-H76+H124</f>
        <v>3217.5499999999975</v>
      </c>
      <c r="I127" s="14"/>
      <c r="J127" s="21">
        <f>IF(H$12=0,0,H127/H$12)</f>
        <v>7.280109601563016E-2</v>
      </c>
      <c r="K127" s="15"/>
      <c r="L127" s="20">
        <f>+D127-H127</f>
        <v>-3002.7399999999975</v>
      </c>
      <c r="M127" s="15"/>
      <c r="N127" s="21">
        <f>IF(H127=0,0,L127/H127)</f>
        <v>-0.93323802271914957</v>
      </c>
      <c r="O127" s="29"/>
      <c r="P127" s="20">
        <f>+P74-P76+P124</f>
        <v>-4827.5699999999924</v>
      </c>
      <c r="Q127" s="14"/>
      <c r="R127" s="21">
        <f>IF(P$12=0,0,P127/P$12)</f>
        <v>-0.22651971291183493</v>
      </c>
      <c r="S127" s="14"/>
      <c r="T127" s="20">
        <f>+T74-T76+T124</f>
        <v>129204.2000000001</v>
      </c>
      <c r="U127" s="14"/>
      <c r="V127" s="21">
        <f>IF(T$12=0,0,T127/T$12)</f>
        <v>0.25040674753701875</v>
      </c>
      <c r="W127" s="15"/>
      <c r="X127" s="20">
        <f>+P127-T127</f>
        <v>-134031.77000000008</v>
      </c>
      <c r="Y127" s="15"/>
      <c r="Z127" s="21">
        <f>IF(T127=0,0,X127/T127)</f>
        <v>-1.0373638782640191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1"/>
      <c r="B129" s="10" t="s">
        <v>13</v>
      </c>
      <c r="C129" s="10"/>
      <c r="D129" s="4">
        <v>556.70000000000005</v>
      </c>
      <c r="E129" s="4"/>
      <c r="F129" s="12">
        <f>IF(D$12=0,0,D129/D$12)</f>
        <v>0</v>
      </c>
      <c r="G129" s="4"/>
      <c r="H129" s="4">
        <v>5771.12</v>
      </c>
      <c r="I129" s="4"/>
      <c r="J129" s="12">
        <f>IF(H$12=0,0,H129/H$12)</f>
        <v>0.13057881345673691</v>
      </c>
      <c r="K129" s="4"/>
      <c r="L129" s="4">
        <f>+D129-H129</f>
        <v>-5214.42</v>
      </c>
      <c r="M129" s="4"/>
      <c r="N129" s="12">
        <f>IF(H129=0,0,L129/H129)</f>
        <v>-0.90353692177601574</v>
      </c>
      <c r="O129" s="10"/>
      <c r="P129" s="4">
        <v>3943.16</v>
      </c>
      <c r="Q129" s="4"/>
      <c r="R129" s="12">
        <f>IF(P$12=0,0,P129/P$12)</f>
        <v>0.18502134017019584</v>
      </c>
      <c r="S129" s="4"/>
      <c r="T129" s="4">
        <v>55729.52</v>
      </c>
      <c r="U129" s="4"/>
      <c r="V129" s="12">
        <f>IF(T$12=0,0,T129/T$12)</f>
        <v>0.10800769514457909</v>
      </c>
      <c r="W129" s="4"/>
      <c r="X129" s="4">
        <f>+P129-T129</f>
        <v>-51786.36</v>
      </c>
      <c r="Y129" s="4"/>
      <c r="Z129" s="12">
        <f>IF(T129=0,0,X129/T129)</f>
        <v>-0.92924468037765273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8" t="s">
        <v>4</v>
      </c>
      <c r="C131" s="28"/>
      <c r="D131" s="33">
        <f>+D127-D129</f>
        <v>-341.89000000000004</v>
      </c>
      <c r="E131" s="14"/>
      <c r="F131" s="34">
        <f>IF(D$12=0,0,D131/D$12)</f>
        <v>0</v>
      </c>
      <c r="G131" s="14"/>
      <c r="H131" s="33">
        <f>+H127-H129</f>
        <v>-2553.5700000000024</v>
      </c>
      <c r="I131" s="14"/>
      <c r="J131" s="34">
        <f>IF(H$12=0,0,H131/H$12)</f>
        <v>-5.7777717441106755E-2</v>
      </c>
      <c r="K131" s="15"/>
      <c r="L131" s="33">
        <f>D131-H131</f>
        <v>2211.6800000000026</v>
      </c>
      <c r="M131" s="15"/>
      <c r="N131" s="34">
        <f>IF(H131=0,0,L131/H131)</f>
        <v>-0.86611293209115103</v>
      </c>
      <c r="O131" s="29"/>
      <c r="P131" s="33">
        <f>+P127-P129</f>
        <v>-8770.7299999999923</v>
      </c>
      <c r="Q131" s="14"/>
      <c r="R131" s="34">
        <f>IF(P$12=0,0,P131/P$12)</f>
        <v>-0.41154105308203076</v>
      </c>
      <c r="S131" s="14"/>
      <c r="T131" s="33">
        <f>+T127-T129</f>
        <v>73474.680000000109</v>
      </c>
      <c r="U131" s="14"/>
      <c r="V131" s="34">
        <f>IF(T$12=0,0,T131/T$12)</f>
        <v>0.14239905239243966</v>
      </c>
      <c r="W131" s="15"/>
      <c r="X131" s="33">
        <f>P131-T131</f>
        <v>-82245.410000000105</v>
      </c>
      <c r="Y131" s="15"/>
      <c r="Z131" s="34">
        <f>IF(T131=0,0,X131/T131)</f>
        <v>-1.1193707818802339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8" t="s">
        <v>5</v>
      </c>
      <c r="C134" s="28"/>
      <c r="D134" s="30">
        <f>SUM(D131:D133)</f>
        <v>-341.89000000000004</v>
      </c>
      <c r="E134" s="14"/>
      <c r="F134" s="32">
        <f>IF(D$12=0,0,D134/D$12)</f>
        <v>0</v>
      </c>
      <c r="G134" s="14"/>
      <c r="H134" s="30">
        <f>SUM(H131:H133)</f>
        <v>-2553.5700000000024</v>
      </c>
      <c r="I134" s="14"/>
      <c r="J134" s="32">
        <f>IF(H$12=0,0,H134/H$12)</f>
        <v>-5.7777717441106755E-2</v>
      </c>
      <c r="K134" s="15"/>
      <c r="L134" s="30">
        <f>+D134-H134</f>
        <v>2211.6800000000026</v>
      </c>
      <c r="M134" s="15"/>
      <c r="N134" s="32">
        <f>IF(H134=0,0,L134/H134)</f>
        <v>-0.86611293209115103</v>
      </c>
      <c r="O134" s="29"/>
      <c r="P134" s="30">
        <f>SUM(P131:P133)</f>
        <v>-8770.7299999999923</v>
      </c>
      <c r="Q134" s="14"/>
      <c r="R134" s="32">
        <f>IF(P$12=0,0,P134/P$12)</f>
        <v>-0.41154105308203076</v>
      </c>
      <c r="S134" s="14"/>
      <c r="T134" s="30">
        <f>SUM(T131:T133)</f>
        <v>73474.680000000109</v>
      </c>
      <c r="U134" s="14"/>
      <c r="V134" s="32">
        <f>IF(T$12=0,0,T134/T$12)</f>
        <v>0.14239905239243966</v>
      </c>
      <c r="W134" s="15"/>
      <c r="X134" s="30">
        <f>+P134-T134</f>
        <v>-82245.410000000105</v>
      </c>
      <c r="Y134" s="15"/>
      <c r="Z134" s="32">
        <f>IF(T134=0,0,X134/T134)</f>
        <v>-1.1193707818802339</v>
      </c>
    </row>
    <row r="135" spans="1:26" ht="15.75" thickTop="1" x14ac:dyDescent="0.25">
      <c r="A135" s="9"/>
      <c r="C135" s="9"/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25">
      <c r="A136" s="9"/>
      <c r="B136" s="58">
        <v>44209.521382372688</v>
      </c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  <row r="137" spans="1:26" x14ac:dyDescent="0.25">
      <c r="A137" s="9"/>
      <c r="B137" s="61" t="s">
        <v>313</v>
      </c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  <row r="138" spans="1:26" x14ac:dyDescent="0.25">
      <c r="A138" s="9"/>
      <c r="B138" s="57"/>
      <c r="D138" s="17"/>
      <c r="E138" s="17"/>
      <c r="G138" s="17"/>
      <c r="H138" s="17"/>
      <c r="I138" s="17"/>
      <c r="J138" s="43"/>
      <c r="K138" s="17"/>
      <c r="L138" s="17"/>
      <c r="M138" s="17"/>
      <c r="P138" s="17"/>
      <c r="Q138" s="17"/>
      <c r="R138" s="43"/>
      <c r="S138" s="17"/>
      <c r="T138" s="17"/>
      <c r="U138" s="17"/>
      <c r="V138" s="43"/>
      <c r="W138" s="17"/>
      <c r="X138" s="17"/>
    </row>
    <row r="139" spans="1:26" x14ac:dyDescent="0.25">
      <c r="D139" s="17"/>
      <c r="E139" s="17"/>
      <c r="G139" s="17"/>
      <c r="H139" s="17"/>
      <c r="I139" s="17"/>
      <c r="J139" s="43"/>
      <c r="K139" s="17"/>
      <c r="L139" s="17"/>
      <c r="M139" s="17"/>
      <c r="P139" s="17"/>
      <c r="Q139" s="17"/>
      <c r="R139" s="43"/>
      <c r="S139" s="17"/>
      <c r="T139" s="17"/>
      <c r="U139" s="17"/>
      <c r="V139" s="43"/>
      <c r="W139" s="17"/>
      <c r="X139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","307", " - ", "Art Store")</f>
        <v>Department 307 - Art Store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21723.599999999991</v>
      </c>
      <c r="I12" s="4"/>
      <c r="J12" s="12"/>
      <c r="K12" s="4"/>
      <c r="L12" s="4">
        <f t="shared" ref="L12:L42" si="0">+D12-H12</f>
        <v>-21723.599999999991</v>
      </c>
      <c r="M12" s="4"/>
      <c r="N12" s="12">
        <f t="shared" ref="N12:N42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268844.10000000009</v>
      </c>
      <c r="U12" s="4"/>
      <c r="V12" s="12"/>
      <c r="W12" s="4"/>
      <c r="X12" s="4">
        <f t="shared" ref="X12:X42" si="2">+P12-T12</f>
        <v>-247532.18000000011</v>
      </c>
      <c r="Y12" s="4"/>
      <c r="Z12" s="12">
        <f t="shared" ref="Z12:Z42" si="3">IF(T12=0,0,X12/T12)</f>
        <v>-0.92072758896326912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42" si="4"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-1096.44</f>
        <v>-1096.44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-1096.44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>
        <f>--10.98</f>
        <v>10.98</v>
      </c>
      <c r="I14" s="2"/>
      <c r="J14" s="19"/>
      <c r="K14" s="2"/>
      <c r="L14" s="2">
        <f t="shared" si="0"/>
        <v>-10.98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--32.94</f>
        <v>32.94</v>
      </c>
      <c r="U14" s="2"/>
      <c r="V14" s="19"/>
      <c r="W14" s="2"/>
      <c r="X14" s="2">
        <f t="shared" si="2"/>
        <v>-32.94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4"/>
        <v>0</v>
      </c>
      <c r="E15" s="2"/>
      <c r="F15" s="19"/>
      <c r="G15" s="2"/>
      <c r="H15" s="2">
        <f>--295.84</f>
        <v>295.83999999999997</v>
      </c>
      <c r="I15" s="2"/>
      <c r="J15" s="19"/>
      <c r="K15" s="2"/>
      <c r="L15" s="2">
        <f t="shared" si="0"/>
        <v>-295.83999999999997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--1605.01</f>
        <v>1605.01</v>
      </c>
      <c r="U15" s="2"/>
      <c r="V15" s="19"/>
      <c r="W15" s="2"/>
      <c r="X15" s="2">
        <f t="shared" si="2"/>
        <v>-1605.01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 t="shared" si="4"/>
        <v>0</v>
      </c>
      <c r="E16" s="2"/>
      <c r="F16" s="19"/>
      <c r="G16" s="2"/>
      <c r="H16" s="2">
        <f>--481.51</f>
        <v>481.51</v>
      </c>
      <c r="I16" s="2"/>
      <c r="J16" s="19"/>
      <c r="K16" s="2"/>
      <c r="L16" s="2">
        <f t="shared" si="0"/>
        <v>-481.51</v>
      </c>
      <c r="M16" s="2"/>
      <c r="N16" s="19">
        <f t="shared" si="1"/>
        <v>-1</v>
      </c>
      <c r="O16" s="11"/>
      <c r="P16" s="2">
        <f>--17.51</f>
        <v>17.510000000000002</v>
      </c>
      <c r="Q16" s="2"/>
      <c r="R16" s="19"/>
      <c r="S16" s="2"/>
      <c r="T16" s="2">
        <f>--3957.54</f>
        <v>3957.54</v>
      </c>
      <c r="U16" s="2"/>
      <c r="V16" s="19"/>
      <c r="W16" s="2"/>
      <c r="X16" s="2">
        <f t="shared" si="2"/>
        <v>-3940.0299999999997</v>
      </c>
      <c r="Y16" s="2"/>
      <c r="Z16" s="19">
        <f t="shared" si="3"/>
        <v>-0.99557553429655787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 t="shared" si="4"/>
        <v>0</v>
      </c>
      <c r="E17" s="2"/>
      <c r="F17" s="19"/>
      <c r="G17" s="2"/>
      <c r="H17" s="2">
        <f>--251.38</f>
        <v>251.38</v>
      </c>
      <c r="I17" s="2"/>
      <c r="J17" s="19"/>
      <c r="K17" s="2"/>
      <c r="L17" s="2">
        <f t="shared" si="0"/>
        <v>-251.38</v>
      </c>
      <c r="M17" s="2"/>
      <c r="N17" s="19">
        <f t="shared" si="1"/>
        <v>-1</v>
      </c>
      <c r="O17" s="11"/>
      <c r="P17" s="2">
        <f>--7990.32</f>
        <v>7990.32</v>
      </c>
      <c r="Q17" s="2"/>
      <c r="R17" s="19"/>
      <c r="S17" s="2"/>
      <c r="T17" s="2">
        <f>--5815.92</f>
        <v>5815.92</v>
      </c>
      <c r="U17" s="2"/>
      <c r="V17" s="19"/>
      <c r="W17" s="2"/>
      <c r="X17" s="2">
        <f t="shared" si="2"/>
        <v>2174.3999999999996</v>
      </c>
      <c r="Y17" s="2"/>
      <c r="Z17" s="19">
        <f t="shared" si="3"/>
        <v>0.37387034209548953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 t="shared" si="4"/>
        <v>0</v>
      </c>
      <c r="E18" s="2"/>
      <c r="F18" s="19"/>
      <c r="G18" s="2"/>
      <c r="H18" s="2">
        <f>--12683.13</f>
        <v>12683.13</v>
      </c>
      <c r="I18" s="2"/>
      <c r="J18" s="19"/>
      <c r="K18" s="2"/>
      <c r="L18" s="2">
        <f t="shared" si="0"/>
        <v>-12683.13</v>
      </c>
      <c r="M18" s="2"/>
      <c r="N18" s="19">
        <f t="shared" si="1"/>
        <v>-1</v>
      </c>
      <c r="O18" s="11"/>
      <c r="P18" s="2">
        <f>--12479.05</f>
        <v>12479.05</v>
      </c>
      <c r="Q18" s="2"/>
      <c r="R18" s="19"/>
      <c r="S18" s="2"/>
      <c r="T18" s="2">
        <f>--181951.06</f>
        <v>181951.06</v>
      </c>
      <c r="U18" s="2"/>
      <c r="V18" s="19"/>
      <c r="W18" s="2"/>
      <c r="X18" s="2">
        <f t="shared" si="2"/>
        <v>-169472.01</v>
      </c>
      <c r="Y18" s="2"/>
      <c r="Z18" s="19">
        <f t="shared" si="3"/>
        <v>-0.93141534872069454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 t="shared" si="4"/>
        <v>0</v>
      </c>
      <c r="E19" s="2"/>
      <c r="F19" s="19"/>
      <c r="G19" s="2"/>
      <c r="H19" s="2">
        <f>--26.89</f>
        <v>26.89</v>
      </c>
      <c r="I19" s="2"/>
      <c r="J19" s="19"/>
      <c r="K19" s="2"/>
      <c r="L19" s="2">
        <f t="shared" si="0"/>
        <v>-26.89</v>
      </c>
      <c r="M19" s="2"/>
      <c r="N19" s="19">
        <f t="shared" si="1"/>
        <v>-1</v>
      </c>
      <c r="O19" s="11"/>
      <c r="P19" s="2">
        <f>--374.55</f>
        <v>374.55</v>
      </c>
      <c r="Q19" s="2"/>
      <c r="R19" s="19"/>
      <c r="S19" s="2"/>
      <c r="T19" s="2">
        <f>--306.94</f>
        <v>306.94</v>
      </c>
      <c r="U19" s="2"/>
      <c r="V19" s="19"/>
      <c r="W19" s="2"/>
      <c r="X19" s="2">
        <f t="shared" si="2"/>
        <v>67.610000000000014</v>
      </c>
      <c r="Y19" s="2"/>
      <c r="Z19" s="19">
        <f t="shared" si="3"/>
        <v>0.22027106274841993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 t="shared" si="4"/>
        <v>0</v>
      </c>
      <c r="E20" s="2"/>
      <c r="F20" s="19"/>
      <c r="G20" s="2"/>
      <c r="H20" s="2">
        <f>--203.26</f>
        <v>203.26</v>
      </c>
      <c r="I20" s="2"/>
      <c r="J20" s="19"/>
      <c r="K20" s="2"/>
      <c r="L20" s="2">
        <f t="shared" si="0"/>
        <v>-203.26</v>
      </c>
      <c r="M20" s="2"/>
      <c r="N20" s="19">
        <f t="shared" si="1"/>
        <v>-1</v>
      </c>
      <c r="O20" s="11"/>
      <c r="P20" s="2">
        <f t="shared" ref="P20:P24" si="6">0</f>
        <v>0</v>
      </c>
      <c r="Q20" s="2"/>
      <c r="R20" s="19"/>
      <c r="S20" s="2"/>
      <c r="T20" s="2">
        <f>--866.34</f>
        <v>866.34</v>
      </c>
      <c r="U20" s="2"/>
      <c r="V20" s="19"/>
      <c r="W20" s="2"/>
      <c r="X20" s="2">
        <f t="shared" si="2"/>
        <v>-866.34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 t="shared" si="4"/>
        <v>0</v>
      </c>
      <c r="E21" s="2"/>
      <c r="F21" s="19"/>
      <c r="G21" s="2"/>
      <c r="H21" s="2">
        <f>--22.41</f>
        <v>22.41</v>
      </c>
      <c r="I21" s="2"/>
      <c r="J21" s="19"/>
      <c r="K21" s="2"/>
      <c r="L21" s="2">
        <f t="shared" si="0"/>
        <v>-22.41</v>
      </c>
      <c r="M21" s="2"/>
      <c r="N21" s="19">
        <f t="shared" si="1"/>
        <v>-1</v>
      </c>
      <c r="O21" s="11"/>
      <c r="P21" s="2">
        <f t="shared" si="6"/>
        <v>0</v>
      </c>
      <c r="Q21" s="2"/>
      <c r="R21" s="19"/>
      <c r="S21" s="2"/>
      <c r="T21" s="2">
        <f>--131.02</f>
        <v>131.02000000000001</v>
      </c>
      <c r="U21" s="2"/>
      <c r="V21" s="19"/>
      <c r="W21" s="2"/>
      <c r="X21" s="2">
        <f t="shared" si="2"/>
        <v>-131.02000000000001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 t="shared" si="4"/>
        <v>0</v>
      </c>
      <c r="E22" s="2"/>
      <c r="F22" s="19"/>
      <c r="G22" s="2"/>
      <c r="H22" s="2">
        <f>--547.26</f>
        <v>547.26</v>
      </c>
      <c r="I22" s="2"/>
      <c r="J22" s="19"/>
      <c r="K22" s="2"/>
      <c r="L22" s="2">
        <f t="shared" si="0"/>
        <v>-547.26</v>
      </c>
      <c r="M22" s="2"/>
      <c r="N22" s="19">
        <f t="shared" si="1"/>
        <v>-1</v>
      </c>
      <c r="O22" s="11"/>
      <c r="P22" s="2">
        <f t="shared" si="6"/>
        <v>0</v>
      </c>
      <c r="Q22" s="2"/>
      <c r="R22" s="19"/>
      <c r="S22" s="2"/>
      <c r="T22" s="2">
        <f>--5271.51</f>
        <v>5271.51</v>
      </c>
      <c r="U22" s="2"/>
      <c r="V22" s="19"/>
      <c r="W22" s="2"/>
      <c r="X22" s="2">
        <f t="shared" si="2"/>
        <v>-5271.51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 t="shared" si="4"/>
        <v>0</v>
      </c>
      <c r="E23" s="2"/>
      <c r="F23" s="19"/>
      <c r="G23" s="2"/>
      <c r="H23" s="2">
        <f>--133.49</f>
        <v>133.49</v>
      </c>
      <c r="I23" s="2"/>
      <c r="J23" s="19"/>
      <c r="K23" s="2"/>
      <c r="L23" s="2">
        <f t="shared" si="0"/>
        <v>-133.49</v>
      </c>
      <c r="M23" s="2"/>
      <c r="N23" s="19">
        <f t="shared" si="1"/>
        <v>-1</v>
      </c>
      <c r="O23" s="11"/>
      <c r="P23" s="2">
        <f t="shared" si="6"/>
        <v>0</v>
      </c>
      <c r="Q23" s="2"/>
      <c r="R23" s="19"/>
      <c r="S23" s="2"/>
      <c r="T23" s="2">
        <f>--1250.89</f>
        <v>1250.8900000000001</v>
      </c>
      <c r="U23" s="2"/>
      <c r="V23" s="19"/>
      <c r="W23" s="2"/>
      <c r="X23" s="2">
        <f t="shared" si="2"/>
        <v>-1250.8900000000001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 t="shared" si="4"/>
        <v>0</v>
      </c>
      <c r="E24" s="2"/>
      <c r="F24" s="19"/>
      <c r="G24" s="2"/>
      <c r="H24" s="2">
        <f>--19.09</f>
        <v>19.09</v>
      </c>
      <c r="I24" s="2"/>
      <c r="J24" s="19"/>
      <c r="K24" s="2"/>
      <c r="L24" s="2">
        <f t="shared" si="0"/>
        <v>-19.09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--396.26</f>
        <v>396.26</v>
      </c>
      <c r="U24" s="2"/>
      <c r="V24" s="19"/>
      <c r="W24" s="2"/>
      <c r="X24" s="2">
        <f t="shared" si="2"/>
        <v>-396.26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"4081", " - ", "TAXABLE SALES-ELECTRONICS")</f>
        <v xml:space="preserve">          4081 - TAXABLE SALES-ELECTRONICS</v>
      </c>
      <c r="C25" s="11"/>
      <c r="D25" s="2">
        <f t="shared" si="4"/>
        <v>0</v>
      </c>
      <c r="E25" s="2"/>
      <c r="F25" s="19"/>
      <c r="G25" s="2"/>
      <c r="H25" s="2">
        <f>--310.76</f>
        <v>310.76</v>
      </c>
      <c r="I25" s="2"/>
      <c r="J25" s="19"/>
      <c r="K25" s="2"/>
      <c r="L25" s="2">
        <f t="shared" si="0"/>
        <v>-310.76</v>
      </c>
      <c r="M25" s="2"/>
      <c r="N25" s="19">
        <f t="shared" si="1"/>
        <v>-1</v>
      </c>
      <c r="O25" s="11"/>
      <c r="P25" s="2">
        <f>--71.95</f>
        <v>71.95</v>
      </c>
      <c r="Q25" s="2"/>
      <c r="R25" s="19"/>
      <c r="S25" s="2"/>
      <c r="T25" s="2">
        <f>--2534.43</f>
        <v>2534.4299999999998</v>
      </c>
      <c r="U25" s="2"/>
      <c r="V25" s="19"/>
      <c r="W25" s="2"/>
      <c r="X25" s="2">
        <f t="shared" si="2"/>
        <v>-2462.48</v>
      </c>
      <c r="Y25" s="2"/>
      <c r="Z25" s="19">
        <f t="shared" si="3"/>
        <v>-0.97161097367060845</v>
      </c>
    </row>
    <row r="26" spans="1:26" s="24" customFormat="1" hidden="1" outlineLevel="1" x14ac:dyDescent="0.25">
      <c r="A26" s="44"/>
      <c r="B26" s="11" t="str">
        <f>CONCATENATE("          ", "4082", " - ", "TAXABLE SALES-COMPUTER HARDWAR")</f>
        <v xml:space="preserve">          4082 - TAXABLE SALES-COMPUTER HARDWAR</v>
      </c>
      <c r="C26" s="11"/>
      <c r="D26" s="2">
        <f t="shared" si="4"/>
        <v>0</v>
      </c>
      <c r="E26" s="2"/>
      <c r="F26" s="19"/>
      <c r="G26" s="2"/>
      <c r="H26" s="2">
        <f>--19</f>
        <v>19</v>
      </c>
      <c r="I26" s="2"/>
      <c r="J26" s="19"/>
      <c r="K26" s="2"/>
      <c r="L26" s="2">
        <f t="shared" si="0"/>
        <v>-19</v>
      </c>
      <c r="M26" s="2"/>
      <c r="N26" s="19">
        <f t="shared" si="1"/>
        <v>-1</v>
      </c>
      <c r="O26" s="11"/>
      <c r="P26" s="2">
        <f>0</f>
        <v>0</v>
      </c>
      <c r="Q26" s="2"/>
      <c r="R26" s="19"/>
      <c r="S26" s="2"/>
      <c r="T26" s="2">
        <f>--181</f>
        <v>181</v>
      </c>
      <c r="U26" s="2"/>
      <c r="V26" s="19"/>
      <c r="W26" s="2"/>
      <c r="X26" s="2">
        <f t="shared" si="2"/>
        <v>-181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"4083", " - ", "TAXABLE SALES-COMPUTER EQUIPME")</f>
        <v xml:space="preserve">          4083 - TAXABLE SALES-COMPUTER EQUIPME</v>
      </c>
      <c r="C27" s="11"/>
      <c r="D27" s="2">
        <f t="shared" si="4"/>
        <v>0</v>
      </c>
      <c r="E27" s="2"/>
      <c r="F27" s="19"/>
      <c r="G27" s="2"/>
      <c r="H27" s="2">
        <f>--129.88</f>
        <v>129.88</v>
      </c>
      <c r="I27" s="2"/>
      <c r="J27" s="19"/>
      <c r="K27" s="2"/>
      <c r="L27" s="2">
        <f t="shared" si="0"/>
        <v>-129.88</v>
      </c>
      <c r="M27" s="2"/>
      <c r="N27" s="19">
        <f t="shared" si="1"/>
        <v>-1</v>
      </c>
      <c r="O27" s="11"/>
      <c r="P27" s="2">
        <f>--9.99</f>
        <v>9.99</v>
      </c>
      <c r="Q27" s="2"/>
      <c r="R27" s="19"/>
      <c r="S27" s="2"/>
      <c r="T27" s="2">
        <f>--699.48</f>
        <v>699.48</v>
      </c>
      <c r="U27" s="2"/>
      <c r="V27" s="19"/>
      <c r="W27" s="2"/>
      <c r="X27" s="2">
        <f t="shared" si="2"/>
        <v>-689.49</v>
      </c>
      <c r="Y27" s="2"/>
      <c r="Z27" s="19">
        <f t="shared" si="3"/>
        <v>-0.98571796191456507</v>
      </c>
    </row>
    <row r="28" spans="1:26" s="24" customFormat="1" hidden="1" outlineLevel="1" x14ac:dyDescent="0.25">
      <c r="A28" s="44"/>
      <c r="B28" s="11" t="str">
        <f>CONCATENATE("          ", "4086", " - ", "TAXABLE SALES-COMPUTER SUPPLIE")</f>
        <v xml:space="preserve">          4086 - TAXABLE SALES-COMPUTER SUPPLIE</v>
      </c>
      <c r="C28" s="11"/>
      <c r="D28" s="2">
        <f t="shared" si="4"/>
        <v>0</v>
      </c>
      <c r="E28" s="2"/>
      <c r="F28" s="19"/>
      <c r="G28" s="2"/>
      <c r="H28" s="2">
        <f>--58.98</f>
        <v>58.98</v>
      </c>
      <c r="I28" s="2"/>
      <c r="J28" s="19"/>
      <c r="K28" s="2"/>
      <c r="L28" s="2">
        <f t="shared" si="0"/>
        <v>-58.98</v>
      </c>
      <c r="M28" s="2"/>
      <c r="N28" s="19">
        <f t="shared" si="1"/>
        <v>-1</v>
      </c>
      <c r="O28" s="11"/>
      <c r="P28" s="2">
        <f t="shared" ref="P28:P30" si="7">0</f>
        <v>0</v>
      </c>
      <c r="Q28" s="2"/>
      <c r="R28" s="19"/>
      <c r="S28" s="2"/>
      <c r="T28" s="2">
        <f>--698.77</f>
        <v>698.77</v>
      </c>
      <c r="U28" s="2"/>
      <c r="V28" s="19"/>
      <c r="W28" s="2"/>
      <c r="X28" s="2">
        <f t="shared" si="2"/>
        <v>-698.77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"4127", " - ", "NON-TAXABLE SALES-SCHOOL SUPPL")</f>
        <v xml:space="preserve">          4127 - NON-TAXABLE SALES-SCHOOL SUPPL</v>
      </c>
      <c r="C29" s="11"/>
      <c r="D29" s="2">
        <f t="shared" si="4"/>
        <v>0</v>
      </c>
      <c r="E29" s="2"/>
      <c r="F29" s="19"/>
      <c r="G29" s="2"/>
      <c r="H29" s="2">
        <f t="shared" ref="H29:H30" si="8"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7"/>
        <v>0</v>
      </c>
      <c r="Q29" s="2"/>
      <c r="R29" s="19"/>
      <c r="S29" s="2"/>
      <c r="T29" s="2">
        <f>--12.17</f>
        <v>12.17</v>
      </c>
      <c r="U29" s="2"/>
      <c r="V29" s="19"/>
      <c r="W29" s="2"/>
      <c r="X29" s="2">
        <f t="shared" si="2"/>
        <v>-12.17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"4128", " - ", "NON-TAXABLE SALES-ART/TECH")</f>
        <v xml:space="preserve">          4128 - NON-TAXABLE SALES-ART/TECH</v>
      </c>
      <c r="C30" s="11"/>
      <c r="D30" s="2">
        <f t="shared" si="4"/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7"/>
        <v>0</v>
      </c>
      <c r="Q30" s="2"/>
      <c r="R30" s="19"/>
      <c r="S30" s="2"/>
      <c r="T30" s="2">
        <f>--95.4</f>
        <v>95.4</v>
      </c>
      <c r="U30" s="2"/>
      <c r="V30" s="19"/>
      <c r="W30" s="2"/>
      <c r="X30" s="2">
        <f t="shared" si="2"/>
        <v>-95.4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"4131", " - ", "NON-TAXABLE SALES-FOOD")</f>
        <v xml:space="preserve">          4131 - NON-TAXABLE SALES-FOOD</v>
      </c>
      <c r="C31" s="11"/>
      <c r="D31" s="2">
        <f t="shared" si="4"/>
        <v>0</v>
      </c>
      <c r="E31" s="2"/>
      <c r="F31" s="19"/>
      <c r="G31" s="2"/>
      <c r="H31" s="2">
        <f>--3897.56</f>
        <v>3897.56</v>
      </c>
      <c r="I31" s="2"/>
      <c r="J31" s="19"/>
      <c r="K31" s="2"/>
      <c r="L31" s="2">
        <f t="shared" si="0"/>
        <v>-3897.56</v>
      </c>
      <c r="M31" s="2"/>
      <c r="N31" s="19">
        <f t="shared" si="1"/>
        <v>-1</v>
      </c>
      <c r="O31" s="11"/>
      <c r="P31" s="2">
        <f>--1847.16</f>
        <v>1847.16</v>
      </c>
      <c r="Q31" s="2"/>
      <c r="R31" s="19"/>
      <c r="S31" s="2"/>
      <c r="T31" s="2">
        <f>--38131.24</f>
        <v>38131.24</v>
      </c>
      <c r="U31" s="2"/>
      <c r="V31" s="19"/>
      <c r="W31" s="2"/>
      <c r="X31" s="2">
        <f t="shared" si="2"/>
        <v>-36284.079999999994</v>
      </c>
      <c r="Y31" s="2"/>
      <c r="Z31" s="19">
        <f t="shared" si="3"/>
        <v>-0.95155783027250085</v>
      </c>
    </row>
    <row r="32" spans="1:26" s="24" customFormat="1" hidden="1" outlineLevel="1" x14ac:dyDescent="0.25">
      <c r="A32" s="44"/>
      <c r="B32" s="11" t="str">
        <f>CONCATENATE("          ", "4132", " - ", "NON-TAXABLE SALES-JUICE")</f>
        <v xml:space="preserve">          4132 - NON-TAXABLE SALES-JUICE</v>
      </c>
      <c r="C32" s="11"/>
      <c r="D32" s="2">
        <f t="shared" si="4"/>
        <v>0</v>
      </c>
      <c r="E32" s="2"/>
      <c r="F32" s="19"/>
      <c r="G32" s="2"/>
      <c r="H32" s="2">
        <f>--1170.81</f>
        <v>1170.81</v>
      </c>
      <c r="I32" s="2"/>
      <c r="J32" s="19"/>
      <c r="K32" s="2"/>
      <c r="L32" s="2">
        <f t="shared" si="0"/>
        <v>-1170.81</v>
      </c>
      <c r="M32" s="2"/>
      <c r="N32" s="19">
        <f t="shared" si="1"/>
        <v>-1</v>
      </c>
      <c r="O32" s="11"/>
      <c r="P32" s="2">
        <f t="shared" ref="P32:P38" si="9">0</f>
        <v>0</v>
      </c>
      <c r="Q32" s="2"/>
      <c r="R32" s="19"/>
      <c r="S32" s="2"/>
      <c r="T32" s="2">
        <f>--11445.2</f>
        <v>11445.2</v>
      </c>
      <c r="U32" s="2"/>
      <c r="V32" s="19"/>
      <c r="W32" s="2"/>
      <c r="X32" s="2">
        <f t="shared" si="2"/>
        <v>-11445.2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"4133", " - ", "NON-TAXABLE SALES-CANDY")</f>
        <v xml:space="preserve">          4133 - NON-TAXABLE SALES-CANDY</v>
      </c>
      <c r="C33" s="11"/>
      <c r="D33" s="2">
        <f t="shared" si="4"/>
        <v>0</v>
      </c>
      <c r="E33" s="2"/>
      <c r="F33" s="19"/>
      <c r="G33" s="2"/>
      <c r="H33" s="2">
        <f>--1131.55</f>
        <v>1131.55</v>
      </c>
      <c r="I33" s="2"/>
      <c r="J33" s="19"/>
      <c r="K33" s="2"/>
      <c r="L33" s="2">
        <f t="shared" si="0"/>
        <v>-1131.55</v>
      </c>
      <c r="M33" s="2"/>
      <c r="N33" s="19">
        <f t="shared" si="1"/>
        <v>-1</v>
      </c>
      <c r="O33" s="11"/>
      <c r="P33" s="2">
        <f t="shared" si="9"/>
        <v>0</v>
      </c>
      <c r="Q33" s="2"/>
      <c r="R33" s="19"/>
      <c r="S33" s="2"/>
      <c r="T33" s="2">
        <f>--10606.99</f>
        <v>10606.99</v>
      </c>
      <c r="U33" s="2"/>
      <c r="V33" s="19"/>
      <c r="W33" s="2"/>
      <c r="X33" s="2">
        <f t="shared" si="2"/>
        <v>-10606.99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"4135", " - ", "NON-TAXABLE SALES")</f>
        <v xml:space="preserve">          4135 - NON-TAXABLE SALES</v>
      </c>
      <c r="C34" s="11"/>
      <c r="D34" s="2">
        <f t="shared" si="4"/>
        <v>0</v>
      </c>
      <c r="E34" s="2"/>
      <c r="F34" s="19"/>
      <c r="G34" s="2"/>
      <c r="H34" s="2">
        <f>--3.59</f>
        <v>3.59</v>
      </c>
      <c r="I34" s="2"/>
      <c r="J34" s="19"/>
      <c r="K34" s="2"/>
      <c r="L34" s="2">
        <f t="shared" si="0"/>
        <v>-3.59</v>
      </c>
      <c r="M34" s="2"/>
      <c r="N34" s="19">
        <f t="shared" si="1"/>
        <v>-1</v>
      </c>
      <c r="O34" s="11"/>
      <c r="P34" s="2">
        <f t="shared" si="9"/>
        <v>0</v>
      </c>
      <c r="Q34" s="2"/>
      <c r="R34" s="19"/>
      <c r="S34" s="2"/>
      <c r="T34" s="2">
        <f>--68.16</f>
        <v>68.16</v>
      </c>
      <c r="U34" s="2"/>
      <c r="V34" s="19"/>
      <c r="W34" s="2"/>
      <c r="X34" s="2">
        <f t="shared" si="2"/>
        <v>-68.16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"4137", " - ", "NON-TAXABLE SALES-WATER")</f>
        <v xml:space="preserve">          4137 - NON-TAXABLE SALES-WATER</v>
      </c>
      <c r="C35" s="11"/>
      <c r="D35" s="2">
        <f t="shared" si="4"/>
        <v>0</v>
      </c>
      <c r="E35" s="2"/>
      <c r="F35" s="19"/>
      <c r="G35" s="2"/>
      <c r="H35" s="2">
        <f>--617.73</f>
        <v>617.73</v>
      </c>
      <c r="I35" s="2"/>
      <c r="J35" s="19"/>
      <c r="K35" s="2"/>
      <c r="L35" s="2">
        <f t="shared" si="0"/>
        <v>-617.73</v>
      </c>
      <c r="M35" s="2"/>
      <c r="N35" s="19">
        <f t="shared" si="1"/>
        <v>-1</v>
      </c>
      <c r="O35" s="11"/>
      <c r="P35" s="2">
        <f t="shared" si="9"/>
        <v>0</v>
      </c>
      <c r="Q35" s="2"/>
      <c r="R35" s="19"/>
      <c r="S35" s="2"/>
      <c r="T35" s="2">
        <f>--5820.07</f>
        <v>5820.07</v>
      </c>
      <c r="U35" s="2"/>
      <c r="V35" s="19"/>
      <c r="W35" s="2"/>
      <c r="X35" s="2">
        <f t="shared" si="2"/>
        <v>-5820.07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"4186", " - ", "NON-TAXABLE SALES-COMPUTER SUP")</f>
        <v xml:space="preserve">          4186 - NON-TAXABLE SALES-COMPUTER SUP</v>
      </c>
      <c r="C36" s="11"/>
      <c r="D36" s="2">
        <f t="shared" si="4"/>
        <v>0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si="9"/>
        <v>0</v>
      </c>
      <c r="Q36" s="2"/>
      <c r="R36" s="19"/>
      <c r="S36" s="2"/>
      <c r="T36" s="2">
        <f>-30.97</f>
        <v>-30.97</v>
      </c>
      <c r="U36" s="2"/>
      <c r="V36" s="19"/>
      <c r="W36" s="2"/>
      <c r="X36" s="2">
        <f t="shared" si="2"/>
        <v>30.97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"4225", " - ", "SALES RETURN TAXABLE-TEST FORM")</f>
        <v xml:space="preserve">          4225 - SALES RETURN TAXABLE-TEST FORM</v>
      </c>
      <c r="C37" s="11"/>
      <c r="D37" s="2">
        <f t="shared" si="4"/>
        <v>0</v>
      </c>
      <c r="E37" s="2"/>
      <c r="F37" s="19"/>
      <c r="G37" s="2"/>
      <c r="H37" s="2">
        <f>-0.9</f>
        <v>-0.9</v>
      </c>
      <c r="I37" s="2"/>
      <c r="J37" s="19"/>
      <c r="K37" s="2"/>
      <c r="L37" s="2">
        <f t="shared" si="0"/>
        <v>0.9</v>
      </c>
      <c r="M37" s="2"/>
      <c r="N37" s="19">
        <f t="shared" si="1"/>
        <v>-1</v>
      </c>
      <c r="O37" s="11"/>
      <c r="P37" s="2">
        <f t="shared" si="9"/>
        <v>0</v>
      </c>
      <c r="Q37" s="2"/>
      <c r="R37" s="19"/>
      <c r="S37" s="2"/>
      <c r="T37" s="2">
        <f>-1.39</f>
        <v>-1.39</v>
      </c>
      <c r="U37" s="2"/>
      <c r="V37" s="19"/>
      <c r="W37" s="2"/>
      <c r="X37" s="2">
        <f t="shared" si="2"/>
        <v>1.39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"4226", " - ", "SALES RETURN TAXABLE-WRITING I")</f>
        <v xml:space="preserve">          4226 - SALES RETURN TAXABLE-WRITING I</v>
      </c>
      <c r="C38" s="11"/>
      <c r="D38" s="2">
        <f t="shared" si="4"/>
        <v>0</v>
      </c>
      <c r="E38" s="2"/>
      <c r="F38" s="19"/>
      <c r="G38" s="2"/>
      <c r="H38" s="2">
        <f>-0.79</f>
        <v>-0.79</v>
      </c>
      <c r="I38" s="2"/>
      <c r="J38" s="19"/>
      <c r="K38" s="2"/>
      <c r="L38" s="2">
        <f t="shared" si="0"/>
        <v>0.79</v>
      </c>
      <c r="M38" s="2"/>
      <c r="N38" s="19">
        <f t="shared" si="1"/>
        <v>-1</v>
      </c>
      <c r="O38" s="11"/>
      <c r="P38" s="2">
        <f t="shared" si="9"/>
        <v>0</v>
      </c>
      <c r="Q38" s="2"/>
      <c r="R38" s="19"/>
      <c r="S38" s="2"/>
      <c r="T38" s="2">
        <f>-6.77</f>
        <v>-6.77</v>
      </c>
      <c r="U38" s="2"/>
      <c r="V38" s="19"/>
      <c r="W38" s="2"/>
      <c r="X38" s="2">
        <f t="shared" si="2"/>
        <v>6.77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"4227", " - ", "SALES RETURN TAXABLE-SCHOOL SU")</f>
        <v xml:space="preserve">          4227 - SALES RETURN TAXABLE-SCHOOL SU</v>
      </c>
      <c r="C39" s="11"/>
      <c r="D39" s="2">
        <f t="shared" si="4"/>
        <v>0</v>
      </c>
      <c r="E39" s="2"/>
      <c r="F39" s="19"/>
      <c r="G39" s="2"/>
      <c r="H39" s="2">
        <f>-2.49</f>
        <v>-2.4900000000000002</v>
      </c>
      <c r="I39" s="2"/>
      <c r="J39" s="19"/>
      <c r="K39" s="2"/>
      <c r="L39" s="2">
        <f t="shared" si="0"/>
        <v>2.4900000000000002</v>
      </c>
      <c r="M39" s="2"/>
      <c r="N39" s="19">
        <f t="shared" si="1"/>
        <v>-1</v>
      </c>
      <c r="O39" s="11"/>
      <c r="P39" s="2">
        <f>-159.97</f>
        <v>-159.97</v>
      </c>
      <c r="Q39" s="2"/>
      <c r="R39" s="19"/>
      <c r="S39" s="2"/>
      <c r="T39" s="2">
        <f>-27.98</f>
        <v>-27.98</v>
      </c>
      <c r="U39" s="2"/>
      <c r="V39" s="19"/>
      <c r="W39" s="2"/>
      <c r="X39" s="2">
        <f t="shared" si="2"/>
        <v>-131.99</v>
      </c>
      <c r="Y39" s="2"/>
      <c r="Z39" s="19">
        <f t="shared" si="3"/>
        <v>4.7172980700500364</v>
      </c>
    </row>
    <row r="40" spans="1:26" s="24" customFormat="1" hidden="1" outlineLevel="1" x14ac:dyDescent="0.25">
      <c r="A40" s="44"/>
      <c r="B40" s="11" t="str">
        <f>CONCATENATE("          ", "4228", " - ", "SALES RETURN TAXABLE-ART/TECH")</f>
        <v xml:space="preserve">          4228 - SALES RETURN TAXABLE-ART/TECH</v>
      </c>
      <c r="C40" s="11"/>
      <c r="D40" s="2">
        <f t="shared" si="4"/>
        <v>0</v>
      </c>
      <c r="E40" s="2"/>
      <c r="F40" s="19"/>
      <c r="G40" s="2"/>
      <c r="H40" s="2">
        <f>-277.33</f>
        <v>-277.33</v>
      </c>
      <c r="I40" s="2"/>
      <c r="J40" s="19"/>
      <c r="K40" s="2"/>
      <c r="L40" s="2">
        <f t="shared" si="0"/>
        <v>277.33</v>
      </c>
      <c r="M40" s="2"/>
      <c r="N40" s="19">
        <f t="shared" si="1"/>
        <v>-1</v>
      </c>
      <c r="O40" s="11"/>
      <c r="P40" s="2">
        <f>-222.2</f>
        <v>-222.2</v>
      </c>
      <c r="Q40" s="2"/>
      <c r="R40" s="19"/>
      <c r="S40" s="2"/>
      <c r="T40" s="2">
        <f>-2910.87</f>
        <v>-2910.87</v>
      </c>
      <c r="U40" s="2"/>
      <c r="V40" s="19"/>
      <c r="W40" s="2"/>
      <c r="X40" s="2">
        <f t="shared" si="2"/>
        <v>2688.67</v>
      </c>
      <c r="Y40" s="2"/>
      <c r="Z40" s="19">
        <f t="shared" si="3"/>
        <v>-0.92366543335841178</v>
      </c>
    </row>
    <row r="41" spans="1:26" s="24" customFormat="1" hidden="1" outlineLevel="1" x14ac:dyDescent="0.25">
      <c r="A41" s="44"/>
      <c r="B41" s="11" t="str">
        <f>CONCATENATE("          ", "4233", " - ", "SALES RETURN TAXABLE-CANDY")</f>
        <v xml:space="preserve">          4233 - SALES RETURN TAXABLE-CANDY</v>
      </c>
      <c r="C41" s="11"/>
      <c r="D41" s="2">
        <f t="shared" si="4"/>
        <v>0</v>
      </c>
      <c r="E41" s="2"/>
      <c r="F41" s="19"/>
      <c r="G41" s="2"/>
      <c r="H41" s="2">
        <f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 t="shared" ref="P41:P42" si="10">0</f>
        <v>0</v>
      </c>
      <c r="Q41" s="2"/>
      <c r="R41" s="19"/>
      <c r="S41" s="2"/>
      <c r="T41" s="2">
        <f>-1.29</f>
        <v>-1.29</v>
      </c>
      <c r="U41" s="2"/>
      <c r="V41" s="19"/>
      <c r="W41" s="2"/>
      <c r="X41" s="2">
        <f t="shared" si="2"/>
        <v>1.29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"4281", " - ", "SALES RETURN TAXABLE-ELECTRONI")</f>
        <v xml:space="preserve">          4281 - SALES RETURN TAXABLE-ELECTRONI</v>
      </c>
      <c r="C42" s="11"/>
      <c r="D42" s="2">
        <f t="shared" si="4"/>
        <v>0</v>
      </c>
      <c r="E42" s="2"/>
      <c r="F42" s="19"/>
      <c r="G42" s="2"/>
      <c r="H42" s="2">
        <f>-9.99</f>
        <v>-9.99</v>
      </c>
      <c r="I42" s="2"/>
      <c r="J42" s="19"/>
      <c r="K42" s="2"/>
      <c r="L42" s="2">
        <f t="shared" si="0"/>
        <v>9.99</v>
      </c>
      <c r="M42" s="2"/>
      <c r="N42" s="19">
        <f t="shared" si="1"/>
        <v>-1</v>
      </c>
      <c r="O42" s="11"/>
      <c r="P42" s="2">
        <f t="shared" si="10"/>
        <v>0</v>
      </c>
      <c r="Q42" s="2"/>
      <c r="R42" s="19"/>
      <c r="S42" s="2"/>
      <c r="T42" s="2">
        <f>-54.97</f>
        <v>-54.97</v>
      </c>
      <c r="U42" s="2"/>
      <c r="V42" s="19"/>
      <c r="W42" s="2"/>
      <c r="X42" s="2">
        <f t="shared" si="2"/>
        <v>54.97</v>
      </c>
      <c r="Y42" s="2"/>
      <c r="Z42" s="19">
        <f t="shared" si="3"/>
        <v>-1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25">
      <c r="A44" s="10"/>
      <c r="B44" s="29" t="s">
        <v>8</v>
      </c>
      <c r="C44" s="10"/>
      <c r="D44" s="4">
        <f>SUM(OSRRefD16x_0)</f>
        <v>-488.92</v>
      </c>
      <c r="E44" s="4"/>
      <c r="F44" s="12">
        <f t="shared" ref="F44:F64" si="11">IF(D$12=0,0,D44/D$12)</f>
        <v>0</v>
      </c>
      <c r="G44" s="4"/>
      <c r="H44" s="4">
        <f>SUM(OSRRefH16x_0)</f>
        <v>11423.37</v>
      </c>
      <c r="I44" s="4"/>
      <c r="J44" s="12">
        <f t="shared" ref="J44:J64" si="12">IF(H$12=0,0,H44/H$12)</f>
        <v>0.52585068773131549</v>
      </c>
      <c r="K44" s="4"/>
      <c r="L44" s="4">
        <f t="shared" ref="L44:L64" si="13">+D44-H44</f>
        <v>-11912.29</v>
      </c>
      <c r="M44" s="4"/>
      <c r="N44" s="12">
        <f t="shared" ref="N44:N64" si="14">IF(H44=0,0,L44/H44)</f>
        <v>-1.0427999793405973</v>
      </c>
      <c r="O44" s="10"/>
      <c r="P44" s="4">
        <f>SUM(OSRRefP16x_0)</f>
        <v>13711.739999999994</v>
      </c>
      <c r="Q44" s="4"/>
      <c r="R44" s="12">
        <f t="shared" ref="R44:R64" si="15">IF(P$12=0,0,P44/P$12)</f>
        <v>0.64338360879733014</v>
      </c>
      <c r="S44" s="4"/>
      <c r="T44" s="4">
        <f>SUM(OSRRefT16x_0)</f>
        <v>141187.01</v>
      </c>
      <c r="U44" s="4"/>
      <c r="V44" s="12">
        <f t="shared" ref="V44:V64" si="16">IF(T$12=0,0,T44/T$12)</f>
        <v>0.52516313357815914</v>
      </c>
      <c r="W44" s="4"/>
      <c r="X44" s="4">
        <f t="shared" ref="X44:X64" si="17">+P44-T44</f>
        <v>-127475.27000000002</v>
      </c>
      <c r="Y44" s="4"/>
      <c r="Z44" s="12">
        <f t="shared" ref="Z44:Z64" si="18">IF(T44=0,0,X44/T44)</f>
        <v>-0.90288242523161311</v>
      </c>
    </row>
    <row r="45" spans="1:26" s="24" customFormat="1" hidden="1" outlineLevel="1" x14ac:dyDescent="0.25">
      <c r="A45" s="44"/>
      <c r="B45" s="11" t="str">
        <f>CONCATENATE("          ", "5014", " - ", "PURCHASES @ COST-REMAINDERS")</f>
        <v xml:space="preserve">          5014 - PURCHASES @ COST-REMAINDERS</v>
      </c>
      <c r="C45" s="11"/>
      <c r="D45" s="2"/>
      <c r="E45" s="2"/>
      <c r="F45" s="19">
        <f t="shared" si="11"/>
        <v>0</v>
      </c>
      <c r="G45" s="2"/>
      <c r="H45" s="2"/>
      <c r="I45" s="2"/>
      <c r="J45" s="19">
        <f t="shared" si="12"/>
        <v>0</v>
      </c>
      <c r="K45" s="2"/>
      <c r="L45" s="2">
        <f t="shared" si="13"/>
        <v>0</v>
      </c>
      <c r="M45" s="2"/>
      <c r="N45" s="19">
        <f t="shared" si="14"/>
        <v>0</v>
      </c>
      <c r="O45" s="11"/>
      <c r="P45" s="2"/>
      <c r="Q45" s="2"/>
      <c r="R45" s="19">
        <f t="shared" si="15"/>
        <v>0</v>
      </c>
      <c r="S45" s="2"/>
      <c r="T45" s="2">
        <v>14.46</v>
      </c>
      <c r="U45" s="2"/>
      <c r="V45" s="19">
        <f t="shared" si="16"/>
        <v>5.3785818621275287E-5</v>
      </c>
      <c r="W45" s="2"/>
      <c r="X45" s="2">
        <f t="shared" si="17"/>
        <v>-14.46</v>
      </c>
      <c r="Y45" s="2"/>
      <c r="Z45" s="19">
        <f t="shared" si="18"/>
        <v>-1</v>
      </c>
    </row>
    <row r="46" spans="1:26" s="24" customFormat="1" hidden="1" outlineLevel="1" x14ac:dyDescent="0.25">
      <c r="A46" s="44"/>
      <c r="B46" s="11" t="str">
        <f>CONCATENATE("          ", "5025", " - ", "PURCHASES @ COST-TEST FORMS")</f>
        <v xml:space="preserve">          5025 - PURCHASES @ COST-TEST FORMS</v>
      </c>
      <c r="C46" s="11"/>
      <c r="D46" s="2"/>
      <c r="E46" s="2"/>
      <c r="F46" s="19">
        <f t="shared" si="11"/>
        <v>0</v>
      </c>
      <c r="G46" s="2"/>
      <c r="H46" s="2">
        <v>68.08</v>
      </c>
      <c r="I46" s="2"/>
      <c r="J46" s="19">
        <f t="shared" si="12"/>
        <v>3.1339188716419022E-3</v>
      </c>
      <c r="K46" s="2"/>
      <c r="L46" s="2">
        <f t="shared" si="13"/>
        <v>-68.08</v>
      </c>
      <c r="M46" s="2"/>
      <c r="N46" s="19">
        <f t="shared" si="14"/>
        <v>-1</v>
      </c>
      <c r="O46" s="11"/>
      <c r="P46" s="2"/>
      <c r="Q46" s="2"/>
      <c r="R46" s="19">
        <f t="shared" si="15"/>
        <v>0</v>
      </c>
      <c r="S46" s="2"/>
      <c r="T46" s="2">
        <v>472.36</v>
      </c>
      <c r="U46" s="2"/>
      <c r="V46" s="19">
        <f t="shared" si="16"/>
        <v>1.7570034082949927E-3</v>
      </c>
      <c r="W46" s="2"/>
      <c r="X46" s="2">
        <f t="shared" si="17"/>
        <v>-472.36</v>
      </c>
      <c r="Y46" s="2"/>
      <c r="Z46" s="19">
        <f t="shared" si="18"/>
        <v>-1</v>
      </c>
    </row>
    <row r="47" spans="1:26" s="24" customFormat="1" hidden="1" outlineLevel="1" x14ac:dyDescent="0.25">
      <c r="A47" s="44"/>
      <c r="B47" s="11" t="str">
        <f>CONCATENATE("          ", "5026", " - ", "PURCHASES @ COST-WRITING INSTR")</f>
        <v xml:space="preserve">          5026 - PURCHASES @ COST-WRITING INSTR</v>
      </c>
      <c r="C47" s="11"/>
      <c r="D47" s="2">
        <v>-5.1100000000000003</v>
      </c>
      <c r="E47" s="2"/>
      <c r="F47" s="19">
        <f t="shared" si="11"/>
        <v>0</v>
      </c>
      <c r="G47" s="2"/>
      <c r="H47" s="2">
        <v>10.68</v>
      </c>
      <c r="I47" s="2"/>
      <c r="J47" s="19">
        <f t="shared" si="12"/>
        <v>4.9163122134452872E-4</v>
      </c>
      <c r="K47" s="2"/>
      <c r="L47" s="2">
        <f t="shared" si="13"/>
        <v>-15.79</v>
      </c>
      <c r="M47" s="2"/>
      <c r="N47" s="19">
        <f t="shared" si="14"/>
        <v>-1.4784644194756553</v>
      </c>
      <c r="O47" s="11"/>
      <c r="P47" s="2">
        <v>364.91</v>
      </c>
      <c r="Q47" s="2"/>
      <c r="R47" s="19">
        <f t="shared" si="15"/>
        <v>1.7122342801587094E-2</v>
      </c>
      <c r="S47" s="2"/>
      <c r="T47" s="2">
        <v>2588.19</v>
      </c>
      <c r="U47" s="2"/>
      <c r="V47" s="19">
        <f t="shared" si="16"/>
        <v>9.6271035890317068E-3</v>
      </c>
      <c r="W47" s="2"/>
      <c r="X47" s="2">
        <f t="shared" si="17"/>
        <v>-2223.2800000000002</v>
      </c>
      <c r="Y47" s="2"/>
      <c r="Z47" s="19">
        <f t="shared" si="18"/>
        <v>-0.85900957812216261</v>
      </c>
    </row>
    <row r="48" spans="1:26" s="24" customFormat="1" hidden="1" outlineLevel="1" x14ac:dyDescent="0.25">
      <c r="A48" s="44"/>
      <c r="B48" s="11" t="str">
        <f>CONCATENATE("          ", "5027", " - ", "PURCHASES @ COST-SCHOOL SUPPLI")</f>
        <v xml:space="preserve">          5027 - PURCHASES @ COST-SCHOOL SUPPLI</v>
      </c>
      <c r="C48" s="11"/>
      <c r="D48" s="2"/>
      <c r="E48" s="2"/>
      <c r="F48" s="19">
        <f t="shared" si="11"/>
        <v>0</v>
      </c>
      <c r="G48" s="2"/>
      <c r="H48" s="2">
        <v>86.87</v>
      </c>
      <c r="I48" s="2"/>
      <c r="J48" s="19">
        <f t="shared" si="12"/>
        <v>3.9988767975841959E-3</v>
      </c>
      <c r="K48" s="2"/>
      <c r="L48" s="2">
        <f t="shared" si="13"/>
        <v>-86.87</v>
      </c>
      <c r="M48" s="2"/>
      <c r="N48" s="19">
        <f t="shared" si="14"/>
        <v>-1</v>
      </c>
      <c r="O48" s="11"/>
      <c r="P48" s="2">
        <v>895.47</v>
      </c>
      <c r="Q48" s="2"/>
      <c r="R48" s="19">
        <f t="shared" si="15"/>
        <v>4.201733114613794E-2</v>
      </c>
      <c r="S48" s="2"/>
      <c r="T48" s="2">
        <v>1941.94</v>
      </c>
      <c r="U48" s="2"/>
      <c r="V48" s="19">
        <f t="shared" si="16"/>
        <v>7.2232940949792067E-3</v>
      </c>
      <c r="W48" s="2"/>
      <c r="X48" s="2">
        <f t="shared" si="17"/>
        <v>-1046.47</v>
      </c>
      <c r="Y48" s="2"/>
      <c r="Z48" s="19">
        <f t="shared" si="18"/>
        <v>-0.53887864712606981</v>
      </c>
    </row>
    <row r="49" spans="1:26" s="24" customFormat="1" hidden="1" outlineLevel="1" x14ac:dyDescent="0.25">
      <c r="A49" s="44"/>
      <c r="B49" s="11" t="str">
        <f>CONCATENATE("          ", "5028", " - ", "PURCHASES @ COST-ART/TECH")</f>
        <v xml:space="preserve">          5028 - PURCHASES @ COST-ART/TECH</v>
      </c>
      <c r="C49" s="11"/>
      <c r="D49" s="2"/>
      <c r="E49" s="2"/>
      <c r="F49" s="19">
        <f t="shared" si="11"/>
        <v>0</v>
      </c>
      <c r="G49" s="2"/>
      <c r="H49" s="2">
        <v>7498.58</v>
      </c>
      <c r="I49" s="2"/>
      <c r="J49" s="19">
        <f t="shared" si="12"/>
        <v>0.34518127750464944</v>
      </c>
      <c r="K49" s="2"/>
      <c r="L49" s="2">
        <f t="shared" si="13"/>
        <v>-7498.58</v>
      </c>
      <c r="M49" s="2"/>
      <c r="N49" s="19">
        <f t="shared" si="14"/>
        <v>-1</v>
      </c>
      <c r="O49" s="11"/>
      <c r="P49" s="2">
        <v>41441.85</v>
      </c>
      <c r="Q49" s="2"/>
      <c r="R49" s="19">
        <f t="shared" si="15"/>
        <v>1.9445385493188789</v>
      </c>
      <c r="S49" s="2"/>
      <c r="T49" s="2">
        <v>99490.83</v>
      </c>
      <c r="U49" s="2"/>
      <c r="V49" s="19">
        <f t="shared" si="16"/>
        <v>0.37006886147027207</v>
      </c>
      <c r="W49" s="2"/>
      <c r="X49" s="2">
        <f t="shared" si="17"/>
        <v>-58048.98</v>
      </c>
      <c r="Y49" s="2"/>
      <c r="Z49" s="19">
        <f t="shared" si="18"/>
        <v>-0.58346060636945141</v>
      </c>
    </row>
    <row r="50" spans="1:26" s="24" customFormat="1" hidden="1" outlineLevel="1" x14ac:dyDescent="0.25">
      <c r="A50" s="44"/>
      <c r="B50" s="11" t="str">
        <f>CONCATENATE("          ", "5031", " - ", "PURCHASES @ COST-FOOD")</f>
        <v xml:space="preserve">          5031 - PURCHASES @ COST-FOOD</v>
      </c>
      <c r="C50" s="11"/>
      <c r="D50" s="2">
        <v>-488.1</v>
      </c>
      <c r="E50" s="2"/>
      <c r="F50" s="19">
        <f t="shared" si="11"/>
        <v>0</v>
      </c>
      <c r="G50" s="2"/>
      <c r="H50" s="2">
        <v>1692.91</v>
      </c>
      <c r="I50" s="2"/>
      <c r="J50" s="19">
        <f t="shared" si="12"/>
        <v>7.7929532858273989E-2</v>
      </c>
      <c r="K50" s="2"/>
      <c r="L50" s="2">
        <f t="shared" si="13"/>
        <v>-2181.0100000000002</v>
      </c>
      <c r="M50" s="2"/>
      <c r="N50" s="19">
        <f t="shared" si="14"/>
        <v>-1.288320111523944</v>
      </c>
      <c r="O50" s="11"/>
      <c r="P50" s="2">
        <v>2441.5700000000002</v>
      </c>
      <c r="Q50" s="2"/>
      <c r="R50" s="19">
        <f t="shared" si="15"/>
        <v>0.11456358695040149</v>
      </c>
      <c r="S50" s="2"/>
      <c r="T50" s="2">
        <v>22241.56</v>
      </c>
      <c r="U50" s="2"/>
      <c r="V50" s="19">
        <f t="shared" si="16"/>
        <v>8.2730325865436494E-2</v>
      </c>
      <c r="W50" s="2"/>
      <c r="X50" s="2">
        <f t="shared" si="17"/>
        <v>-19799.990000000002</v>
      </c>
      <c r="Y50" s="2"/>
      <c r="Z50" s="19">
        <f t="shared" si="18"/>
        <v>-0.89022487631263281</v>
      </c>
    </row>
    <row r="51" spans="1:26" s="24" customFormat="1" hidden="1" outlineLevel="1" x14ac:dyDescent="0.25">
      <c r="A51" s="44"/>
      <c r="B51" s="11" t="str">
        <f>CONCATENATE("          ", "5032", " - ", "PURCHASES @ COST-JUICE")</f>
        <v xml:space="preserve">          5032 - PURCHASES @ COST-JUICE</v>
      </c>
      <c r="C51" s="11"/>
      <c r="D51" s="2"/>
      <c r="E51" s="2"/>
      <c r="F51" s="19">
        <f t="shared" si="11"/>
        <v>0</v>
      </c>
      <c r="G51" s="2"/>
      <c r="H51" s="2">
        <v>358.99</v>
      </c>
      <c r="I51" s="2"/>
      <c r="J51" s="19">
        <f t="shared" si="12"/>
        <v>1.6525345706973067E-2</v>
      </c>
      <c r="K51" s="2"/>
      <c r="L51" s="2">
        <f t="shared" si="13"/>
        <v>-358.99</v>
      </c>
      <c r="M51" s="2"/>
      <c r="N51" s="19">
        <f t="shared" si="14"/>
        <v>-1</v>
      </c>
      <c r="O51" s="11"/>
      <c r="P51" s="2"/>
      <c r="Q51" s="2"/>
      <c r="R51" s="19">
        <f t="shared" si="15"/>
        <v>0</v>
      </c>
      <c r="S51" s="2"/>
      <c r="T51" s="2">
        <v>5021.4799999999996</v>
      </c>
      <c r="U51" s="2"/>
      <c r="V51" s="19">
        <f t="shared" si="16"/>
        <v>1.8678036825059571E-2</v>
      </c>
      <c r="W51" s="2"/>
      <c r="X51" s="2">
        <f t="shared" si="17"/>
        <v>-5021.4799999999996</v>
      </c>
      <c r="Y51" s="2"/>
      <c r="Z51" s="19">
        <f t="shared" si="18"/>
        <v>-1</v>
      </c>
    </row>
    <row r="52" spans="1:26" s="24" customFormat="1" hidden="1" outlineLevel="1" x14ac:dyDescent="0.25">
      <c r="A52" s="44"/>
      <c r="B52" s="11" t="str">
        <f>CONCATENATE("          ", "5033", " - ", "PURCHASES @ COST-CANDY")</f>
        <v xml:space="preserve">          5033 - PURCHASES @ COST-CANDY</v>
      </c>
      <c r="C52" s="11"/>
      <c r="D52" s="2"/>
      <c r="E52" s="2"/>
      <c r="F52" s="19">
        <f t="shared" si="11"/>
        <v>0</v>
      </c>
      <c r="G52" s="2"/>
      <c r="H52" s="2">
        <v>259.47000000000003</v>
      </c>
      <c r="I52" s="2"/>
      <c r="J52" s="19">
        <f t="shared" si="12"/>
        <v>1.194415290283379E-2</v>
      </c>
      <c r="K52" s="2"/>
      <c r="L52" s="2">
        <f t="shared" si="13"/>
        <v>-259.47000000000003</v>
      </c>
      <c r="M52" s="2"/>
      <c r="N52" s="19">
        <f t="shared" si="14"/>
        <v>-1</v>
      </c>
      <c r="O52" s="11"/>
      <c r="P52" s="2"/>
      <c r="Q52" s="2"/>
      <c r="R52" s="19">
        <f t="shared" si="15"/>
        <v>0</v>
      </c>
      <c r="S52" s="2"/>
      <c r="T52" s="2">
        <v>5908.33</v>
      </c>
      <c r="U52" s="2"/>
      <c r="V52" s="19">
        <f t="shared" si="16"/>
        <v>2.1976788778329141E-2</v>
      </c>
      <c r="W52" s="2"/>
      <c r="X52" s="2">
        <f t="shared" si="17"/>
        <v>-5908.33</v>
      </c>
      <c r="Y52" s="2"/>
      <c r="Z52" s="19">
        <f t="shared" si="18"/>
        <v>-1</v>
      </c>
    </row>
    <row r="53" spans="1:26" s="24" customFormat="1" hidden="1" outlineLevel="1" x14ac:dyDescent="0.25">
      <c r="A53" s="44"/>
      <c r="B53" s="11" t="str">
        <f>CONCATENATE("          ", "5034", " - ", "PURCHASES @ COST-SODA")</f>
        <v xml:space="preserve">          5034 - PURCHASES @ COST-SODA</v>
      </c>
      <c r="C53" s="11"/>
      <c r="D53" s="2"/>
      <c r="E53" s="2"/>
      <c r="F53" s="19">
        <f t="shared" si="11"/>
        <v>0</v>
      </c>
      <c r="G53" s="2"/>
      <c r="H53" s="2">
        <v>42.24</v>
      </c>
      <c r="I53" s="2"/>
      <c r="J53" s="19">
        <f t="shared" si="12"/>
        <v>1.9444291001491473E-3</v>
      </c>
      <c r="K53" s="2"/>
      <c r="L53" s="2">
        <f t="shared" si="13"/>
        <v>-42.24</v>
      </c>
      <c r="M53" s="2"/>
      <c r="N53" s="19">
        <f t="shared" si="14"/>
        <v>-1</v>
      </c>
      <c r="O53" s="11"/>
      <c r="P53" s="2"/>
      <c r="Q53" s="2"/>
      <c r="R53" s="19">
        <f t="shared" si="15"/>
        <v>0</v>
      </c>
      <c r="S53" s="2"/>
      <c r="T53" s="2">
        <v>2124.16</v>
      </c>
      <c r="U53" s="2"/>
      <c r="V53" s="19">
        <f t="shared" si="16"/>
        <v>7.9010846806755256E-3</v>
      </c>
      <c r="W53" s="2"/>
      <c r="X53" s="2">
        <f t="shared" si="17"/>
        <v>-2124.16</v>
      </c>
      <c r="Y53" s="2"/>
      <c r="Z53" s="19">
        <f t="shared" si="18"/>
        <v>-1</v>
      </c>
    </row>
    <row r="54" spans="1:26" s="24" customFormat="1" hidden="1" outlineLevel="1" x14ac:dyDescent="0.25">
      <c r="A54" s="44"/>
      <c r="B54" s="11" t="str">
        <f>CONCATENATE("          ", "5035", " - ", "PURCHASES @ COST-HEALTH &amp; BEAU")</f>
        <v xml:space="preserve">          5035 - PURCHASES @ COST-HEALTH &amp; BEAU</v>
      </c>
      <c r="C54" s="11"/>
      <c r="D54" s="2"/>
      <c r="E54" s="2"/>
      <c r="F54" s="19">
        <f t="shared" si="11"/>
        <v>0</v>
      </c>
      <c r="G54" s="2"/>
      <c r="H54" s="2">
        <v>21.41</v>
      </c>
      <c r="I54" s="2"/>
      <c r="J54" s="19">
        <f t="shared" si="12"/>
        <v>9.8556408698374158E-4</v>
      </c>
      <c r="K54" s="2"/>
      <c r="L54" s="2">
        <f t="shared" si="13"/>
        <v>-21.41</v>
      </c>
      <c r="M54" s="2"/>
      <c r="N54" s="19">
        <f t="shared" si="14"/>
        <v>-1</v>
      </c>
      <c r="O54" s="11"/>
      <c r="P54" s="2"/>
      <c r="Q54" s="2"/>
      <c r="R54" s="19">
        <f t="shared" si="15"/>
        <v>0</v>
      </c>
      <c r="S54" s="2"/>
      <c r="T54" s="2">
        <v>788.13</v>
      </c>
      <c r="U54" s="2"/>
      <c r="V54" s="19">
        <f t="shared" si="16"/>
        <v>2.9315502925301305E-3</v>
      </c>
      <c r="W54" s="2"/>
      <c r="X54" s="2">
        <f t="shared" si="17"/>
        <v>-788.13</v>
      </c>
      <c r="Y54" s="2"/>
      <c r="Z54" s="19">
        <f t="shared" si="18"/>
        <v>-1</v>
      </c>
    </row>
    <row r="55" spans="1:26" s="24" customFormat="1" hidden="1" outlineLevel="1" x14ac:dyDescent="0.25">
      <c r="A55" s="44"/>
      <c r="B55" s="11" t="str">
        <f>CONCATENATE("          ", "5037", " - ", "PURCHASES @ COST-WATER")</f>
        <v xml:space="preserve">          5037 - PURCHASES @ COST-WATER</v>
      </c>
      <c r="C55" s="11"/>
      <c r="D55" s="2"/>
      <c r="E55" s="2"/>
      <c r="F55" s="19">
        <f t="shared" si="11"/>
        <v>0</v>
      </c>
      <c r="G55" s="2"/>
      <c r="H55" s="2">
        <v>235.9</v>
      </c>
      <c r="I55" s="2"/>
      <c r="J55" s="19">
        <f t="shared" si="12"/>
        <v>1.0859157782319695E-2</v>
      </c>
      <c r="K55" s="2"/>
      <c r="L55" s="2">
        <f t="shared" si="13"/>
        <v>-235.9</v>
      </c>
      <c r="M55" s="2"/>
      <c r="N55" s="19">
        <f t="shared" si="14"/>
        <v>-1</v>
      </c>
      <c r="O55" s="11"/>
      <c r="P55" s="2"/>
      <c r="Q55" s="2"/>
      <c r="R55" s="19">
        <f t="shared" si="15"/>
        <v>0</v>
      </c>
      <c r="S55" s="2"/>
      <c r="T55" s="2">
        <v>3729.51</v>
      </c>
      <c r="U55" s="2"/>
      <c r="V55" s="19">
        <f t="shared" si="16"/>
        <v>1.3872389239711784E-2</v>
      </c>
      <c r="W55" s="2"/>
      <c r="X55" s="2">
        <f t="shared" si="17"/>
        <v>-3729.51</v>
      </c>
      <c r="Y55" s="2"/>
      <c r="Z55" s="19">
        <f t="shared" si="18"/>
        <v>-1</v>
      </c>
    </row>
    <row r="56" spans="1:26" s="24" customFormat="1" hidden="1" outlineLevel="1" x14ac:dyDescent="0.25">
      <c r="A56" s="44"/>
      <c r="B56" s="11" t="str">
        <f>CONCATENATE("          ", "5081", " - ", "PURCHASES @ COST-ELECTRONICS")</f>
        <v xml:space="preserve">          5081 - PURCHASES @ COST-ELECTRONICS</v>
      </c>
      <c r="C56" s="11"/>
      <c r="D56" s="2"/>
      <c r="E56" s="2"/>
      <c r="F56" s="19">
        <f t="shared" si="11"/>
        <v>0</v>
      </c>
      <c r="G56" s="2"/>
      <c r="H56" s="2">
        <v>526.74</v>
      </c>
      <c r="I56" s="2"/>
      <c r="J56" s="19">
        <f t="shared" si="12"/>
        <v>2.4247362315638302E-2</v>
      </c>
      <c r="K56" s="2"/>
      <c r="L56" s="2">
        <f t="shared" si="13"/>
        <v>-526.74</v>
      </c>
      <c r="M56" s="2"/>
      <c r="N56" s="19">
        <f t="shared" si="14"/>
        <v>-1</v>
      </c>
      <c r="O56" s="11"/>
      <c r="P56" s="2"/>
      <c r="Q56" s="2"/>
      <c r="R56" s="19">
        <f t="shared" si="15"/>
        <v>0</v>
      </c>
      <c r="S56" s="2"/>
      <c r="T56" s="2">
        <v>1771.55</v>
      </c>
      <c r="U56" s="2"/>
      <c r="V56" s="19">
        <f t="shared" si="16"/>
        <v>6.5895067066749817E-3</v>
      </c>
      <c r="W56" s="2"/>
      <c r="X56" s="2">
        <f t="shared" si="17"/>
        <v>-1771.55</v>
      </c>
      <c r="Y56" s="2"/>
      <c r="Z56" s="19">
        <f t="shared" si="18"/>
        <v>-1</v>
      </c>
    </row>
    <row r="57" spans="1:26" s="24" customFormat="1" hidden="1" outlineLevel="1" x14ac:dyDescent="0.25">
      <c r="A57" s="44"/>
      <c r="B57" s="11" t="str">
        <f>CONCATENATE("          ", "5082", " - ", "PURCHASES @ COST-COMPUTER HARD")</f>
        <v xml:space="preserve">          5082 - PURCHASES @ COST-COMPUTER HARD</v>
      </c>
      <c r="C57" s="11"/>
      <c r="D57" s="2"/>
      <c r="E57" s="2"/>
      <c r="F57" s="19">
        <f t="shared" si="11"/>
        <v>0</v>
      </c>
      <c r="G57" s="2"/>
      <c r="H57" s="2">
        <v>105</v>
      </c>
      <c r="I57" s="2"/>
      <c r="J57" s="19">
        <f t="shared" si="12"/>
        <v>4.8334530188366585E-3</v>
      </c>
      <c r="K57" s="2"/>
      <c r="L57" s="2">
        <f t="shared" si="13"/>
        <v>-105</v>
      </c>
      <c r="M57" s="2"/>
      <c r="N57" s="19">
        <f t="shared" si="14"/>
        <v>-1</v>
      </c>
      <c r="O57" s="11"/>
      <c r="P57" s="2"/>
      <c r="Q57" s="2"/>
      <c r="R57" s="19">
        <f t="shared" si="15"/>
        <v>0</v>
      </c>
      <c r="S57" s="2"/>
      <c r="T57" s="2">
        <v>349.6</v>
      </c>
      <c r="U57" s="2"/>
      <c r="V57" s="19">
        <f t="shared" si="16"/>
        <v>1.3003818941907221E-3</v>
      </c>
      <c r="W57" s="2"/>
      <c r="X57" s="2">
        <f t="shared" si="17"/>
        <v>-349.6</v>
      </c>
      <c r="Y57" s="2"/>
      <c r="Z57" s="19">
        <f t="shared" si="18"/>
        <v>-1</v>
      </c>
    </row>
    <row r="58" spans="1:26" s="24" customFormat="1" hidden="1" outlineLevel="1" x14ac:dyDescent="0.25">
      <c r="A58" s="44"/>
      <c r="B58" s="11" t="str">
        <f>CONCATENATE("          ", "5083", " - ", "PURCHASES @ COST-COMPUTER EQUI")</f>
        <v xml:space="preserve">          5083 - PURCHASES @ COST-COMPUTER EQUI</v>
      </c>
      <c r="C58" s="11"/>
      <c r="D58" s="2"/>
      <c r="E58" s="2"/>
      <c r="F58" s="19">
        <f t="shared" si="11"/>
        <v>0</v>
      </c>
      <c r="G58" s="2"/>
      <c r="H58" s="2">
        <v>147.19999999999999</v>
      </c>
      <c r="I58" s="2"/>
      <c r="J58" s="19">
        <f t="shared" si="12"/>
        <v>6.7760408035500586E-3</v>
      </c>
      <c r="K58" s="2"/>
      <c r="L58" s="2">
        <f t="shared" si="13"/>
        <v>-147.19999999999999</v>
      </c>
      <c r="M58" s="2"/>
      <c r="N58" s="19">
        <f t="shared" si="14"/>
        <v>-1</v>
      </c>
      <c r="O58" s="11"/>
      <c r="P58" s="2"/>
      <c r="Q58" s="2"/>
      <c r="R58" s="19">
        <f t="shared" si="15"/>
        <v>0</v>
      </c>
      <c r="S58" s="2"/>
      <c r="T58" s="2">
        <v>339.4</v>
      </c>
      <c r="U58" s="2"/>
      <c r="V58" s="19">
        <f t="shared" si="16"/>
        <v>1.2624416901840132E-3</v>
      </c>
      <c r="W58" s="2"/>
      <c r="X58" s="2">
        <f t="shared" si="17"/>
        <v>-339.4</v>
      </c>
      <c r="Y58" s="2"/>
      <c r="Z58" s="19">
        <f t="shared" si="18"/>
        <v>-1</v>
      </c>
    </row>
    <row r="59" spans="1:26" s="24" customFormat="1" hidden="1" outlineLevel="1" x14ac:dyDescent="0.25">
      <c r="A59" s="44"/>
      <c r="B59" s="11" t="str">
        <f>CONCATENATE("          ", "5086", " - ", "PURCHASES @ COST-COMPUTER SUPP")</f>
        <v xml:space="preserve">          5086 - PURCHASES @ COST-COMPUTER SUPP</v>
      </c>
      <c r="C59" s="11"/>
      <c r="D59" s="2"/>
      <c r="E59" s="2"/>
      <c r="F59" s="19">
        <f t="shared" si="11"/>
        <v>0</v>
      </c>
      <c r="G59" s="2"/>
      <c r="H59" s="2">
        <v>151.26</v>
      </c>
      <c r="I59" s="2"/>
      <c r="J59" s="19">
        <f t="shared" si="12"/>
        <v>6.9629343202784093E-3</v>
      </c>
      <c r="K59" s="2"/>
      <c r="L59" s="2">
        <f t="shared" si="13"/>
        <v>-151.26</v>
      </c>
      <c r="M59" s="2"/>
      <c r="N59" s="19">
        <f t="shared" si="14"/>
        <v>-1</v>
      </c>
      <c r="O59" s="11"/>
      <c r="P59" s="2"/>
      <c r="Q59" s="2"/>
      <c r="R59" s="19">
        <f t="shared" si="15"/>
        <v>0</v>
      </c>
      <c r="S59" s="2"/>
      <c r="T59" s="2">
        <v>379.26</v>
      </c>
      <c r="U59" s="2"/>
      <c r="V59" s="19">
        <f t="shared" si="16"/>
        <v>1.4107060560376809E-3</v>
      </c>
      <c r="W59" s="2"/>
      <c r="X59" s="2">
        <f t="shared" si="17"/>
        <v>-379.26</v>
      </c>
      <c r="Y59" s="2"/>
      <c r="Z59" s="19">
        <f t="shared" si="18"/>
        <v>-1</v>
      </c>
    </row>
    <row r="60" spans="1:26" s="24" customFormat="1" hidden="1" outlineLevel="1" x14ac:dyDescent="0.25">
      <c r="A60" s="44"/>
      <c r="B60" s="11" t="str">
        <f>CONCATENATE("          ", "5200", " - ", "PURCHASES OFFSET")</f>
        <v xml:space="preserve">          5200 - PURCHASES OFFSET</v>
      </c>
      <c r="C60" s="11"/>
      <c r="D60" s="2"/>
      <c r="E60" s="2"/>
      <c r="F60" s="19">
        <f t="shared" si="11"/>
        <v>0</v>
      </c>
      <c r="G60" s="2"/>
      <c r="H60" s="2">
        <v>-11383</v>
      </c>
      <c r="I60" s="2"/>
      <c r="J60" s="19">
        <f t="shared" si="12"/>
        <v>-0.5239923401277875</v>
      </c>
      <c r="K60" s="2"/>
      <c r="L60" s="2">
        <f t="shared" si="13"/>
        <v>11383</v>
      </c>
      <c r="M60" s="2"/>
      <c r="N60" s="19">
        <f t="shared" si="14"/>
        <v>-1</v>
      </c>
      <c r="O60" s="11"/>
      <c r="P60" s="2">
        <v>-45863.33</v>
      </c>
      <c r="Q60" s="2"/>
      <c r="R60" s="19">
        <f t="shared" si="15"/>
        <v>-2.1520036674311842</v>
      </c>
      <c r="S60" s="2"/>
      <c r="T60" s="2">
        <v>-148230</v>
      </c>
      <c r="U60" s="2"/>
      <c r="V60" s="19">
        <f t="shared" si="16"/>
        <v>-0.55136043528572865</v>
      </c>
      <c r="W60" s="2"/>
      <c r="X60" s="2">
        <f t="shared" si="17"/>
        <v>102366.67</v>
      </c>
      <c r="Y60" s="2"/>
      <c r="Z60" s="19">
        <f t="shared" si="18"/>
        <v>-0.69059346960804158</v>
      </c>
    </row>
    <row r="61" spans="1:26" s="24" customFormat="1" hidden="1" outlineLevel="1" x14ac:dyDescent="0.25">
      <c r="A61" s="44"/>
      <c r="B61" s="11" t="str">
        <f>CONCATENATE("          ", "5300", " - ", "COG$ OFFSET")</f>
        <v xml:space="preserve">          5300 - COG$ OFFSET</v>
      </c>
      <c r="C61" s="11"/>
      <c r="D61" s="2"/>
      <c r="E61" s="2"/>
      <c r="F61" s="19">
        <f t="shared" si="11"/>
        <v>0</v>
      </c>
      <c r="G61" s="2"/>
      <c r="H61" s="2">
        <v>11343</v>
      </c>
      <c r="I61" s="2"/>
      <c r="J61" s="19">
        <f t="shared" si="12"/>
        <v>0.52215102469204022</v>
      </c>
      <c r="K61" s="2"/>
      <c r="L61" s="2">
        <f t="shared" si="13"/>
        <v>-11343</v>
      </c>
      <c r="M61" s="2"/>
      <c r="N61" s="19">
        <f t="shared" si="14"/>
        <v>-1</v>
      </c>
      <c r="O61" s="11"/>
      <c r="P61" s="2">
        <v>14145</v>
      </c>
      <c r="Q61" s="2"/>
      <c r="R61" s="19">
        <f t="shared" si="15"/>
        <v>0.66371307700103988</v>
      </c>
      <c r="S61" s="2"/>
      <c r="T61" s="2">
        <v>141110</v>
      </c>
      <c r="U61" s="2"/>
      <c r="V61" s="19">
        <f t="shared" si="16"/>
        <v>0.52487668503790841</v>
      </c>
      <c r="W61" s="2"/>
      <c r="X61" s="2">
        <f t="shared" si="17"/>
        <v>-126965</v>
      </c>
      <c r="Y61" s="2"/>
      <c r="Z61" s="19">
        <f t="shared" si="18"/>
        <v>-0.89975905322089156</v>
      </c>
    </row>
    <row r="62" spans="1:26" s="24" customFormat="1" hidden="1" outlineLevel="1" x14ac:dyDescent="0.25">
      <c r="A62" s="44"/>
      <c r="B62" s="11" t="str">
        <f>CONCATENATE("          ", "5500", " - ", "FREIGHT-IN")</f>
        <v xml:space="preserve">          5500 - FREIGHT-IN</v>
      </c>
      <c r="C62" s="11"/>
      <c r="D62" s="2"/>
      <c r="E62" s="2"/>
      <c r="F62" s="19">
        <f t="shared" si="11"/>
        <v>0</v>
      </c>
      <c r="G62" s="2"/>
      <c r="H62" s="2">
        <v>80</v>
      </c>
      <c r="I62" s="2"/>
      <c r="J62" s="19">
        <f t="shared" si="12"/>
        <v>3.6826308714945971E-3</v>
      </c>
      <c r="K62" s="2"/>
      <c r="L62" s="2">
        <f t="shared" si="13"/>
        <v>-80</v>
      </c>
      <c r="M62" s="2"/>
      <c r="N62" s="19">
        <f t="shared" si="14"/>
        <v>-1</v>
      </c>
      <c r="O62" s="11"/>
      <c r="P62" s="2"/>
      <c r="Q62" s="2"/>
      <c r="R62" s="19">
        <f t="shared" si="15"/>
        <v>0</v>
      </c>
      <c r="S62" s="2"/>
      <c r="T62" s="2">
        <v>80</v>
      </c>
      <c r="U62" s="2"/>
      <c r="V62" s="19">
        <f t="shared" si="16"/>
        <v>2.9757022750359771E-4</v>
      </c>
      <c r="W62" s="2"/>
      <c r="X62" s="2">
        <f t="shared" si="17"/>
        <v>-80</v>
      </c>
      <c r="Y62" s="2"/>
      <c r="Z62" s="19">
        <f t="shared" si="18"/>
        <v>-1</v>
      </c>
    </row>
    <row r="63" spans="1:26" s="24" customFormat="1" hidden="1" outlineLevel="1" x14ac:dyDescent="0.25">
      <c r="A63" s="44"/>
      <c r="B63" s="11" t="str">
        <f>CONCATENATE("          ", "5527", " - ", "FREIGHT-IN-SCHOOL SUPPLIES")</f>
        <v xml:space="preserve">          5527 - FREIGHT-IN-SCHOOL SUPPLIES</v>
      </c>
      <c r="C63" s="11"/>
      <c r="D63" s="2"/>
      <c r="E63" s="2"/>
      <c r="F63" s="19">
        <f t="shared" si="11"/>
        <v>0</v>
      </c>
      <c r="G63" s="2"/>
      <c r="H63" s="2"/>
      <c r="I63" s="2"/>
      <c r="J63" s="19">
        <f t="shared" si="12"/>
        <v>0</v>
      </c>
      <c r="K63" s="2"/>
      <c r="L63" s="2">
        <f t="shared" si="13"/>
        <v>0</v>
      </c>
      <c r="M63" s="2"/>
      <c r="N63" s="19">
        <f t="shared" si="14"/>
        <v>0</v>
      </c>
      <c r="O63" s="11"/>
      <c r="P63" s="2"/>
      <c r="Q63" s="2"/>
      <c r="R63" s="19">
        <f t="shared" si="15"/>
        <v>0</v>
      </c>
      <c r="S63" s="2"/>
      <c r="T63" s="2">
        <v>12.52</v>
      </c>
      <c r="U63" s="2"/>
      <c r="V63" s="19">
        <f t="shared" si="16"/>
        <v>4.6569740604313039E-5</v>
      </c>
      <c r="W63" s="2"/>
      <c r="X63" s="2">
        <f t="shared" si="17"/>
        <v>-12.52</v>
      </c>
      <c r="Y63" s="2"/>
      <c r="Z63" s="19">
        <f t="shared" si="18"/>
        <v>-1</v>
      </c>
    </row>
    <row r="64" spans="1:26" s="24" customFormat="1" hidden="1" outlineLevel="1" x14ac:dyDescent="0.25">
      <c r="A64" s="44"/>
      <c r="B64" s="11" t="str">
        <f>CONCATENATE("          ", "5528", " - ", "FREIGHT-IN-ART/TECH")</f>
        <v xml:space="preserve">          5528 - FREIGHT-IN-ART/TECH</v>
      </c>
      <c r="C64" s="11"/>
      <c r="D64" s="2">
        <v>4.29</v>
      </c>
      <c r="E64" s="2"/>
      <c r="F64" s="19">
        <f t="shared" si="11"/>
        <v>0</v>
      </c>
      <c r="G64" s="2"/>
      <c r="H64" s="2">
        <v>178.04</v>
      </c>
      <c r="I64" s="2"/>
      <c r="J64" s="19">
        <f t="shared" si="12"/>
        <v>8.1956950045112258E-3</v>
      </c>
      <c r="K64" s="2"/>
      <c r="L64" s="2">
        <f t="shared" si="13"/>
        <v>-173.75</v>
      </c>
      <c r="M64" s="2"/>
      <c r="N64" s="19">
        <f t="shared" si="14"/>
        <v>-0.97590429117052357</v>
      </c>
      <c r="O64" s="11"/>
      <c r="P64" s="2">
        <v>286.27</v>
      </c>
      <c r="Q64" s="2"/>
      <c r="R64" s="19">
        <f t="shared" si="15"/>
        <v>1.3432389010469259E-2</v>
      </c>
      <c r="S64" s="2"/>
      <c r="T64" s="2">
        <v>1053.73</v>
      </c>
      <c r="U64" s="2"/>
      <c r="V64" s="19">
        <f t="shared" si="16"/>
        <v>3.9194834478420756E-3</v>
      </c>
      <c r="W64" s="2"/>
      <c r="X64" s="2">
        <f t="shared" si="17"/>
        <v>-767.46</v>
      </c>
      <c r="Y64" s="2"/>
      <c r="Z64" s="19">
        <f t="shared" si="18"/>
        <v>-0.72832699078511576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8" t="s">
        <v>6</v>
      </c>
      <c r="C66" s="28"/>
      <c r="D66" s="20">
        <f>D12-D44</f>
        <v>488.92</v>
      </c>
      <c r="E66" s="14"/>
      <c r="F66" s="21">
        <f>IF(D$12=0,0,D66/D$12)</f>
        <v>0</v>
      </c>
      <c r="G66" s="14"/>
      <c r="H66" s="20">
        <f>H12-H44</f>
        <v>10300.22999999999</v>
      </c>
      <c r="I66" s="14"/>
      <c r="J66" s="21">
        <f>IF(H$12=0,0,H66/H$12)</f>
        <v>0.47414931226868451</v>
      </c>
      <c r="K66" s="15"/>
      <c r="L66" s="20">
        <f>+D66-H66</f>
        <v>-9811.3099999999904</v>
      </c>
      <c r="M66" s="15"/>
      <c r="N66" s="21">
        <f>IF(H66=0,0,L66/H66)</f>
        <v>-0.95253309877546422</v>
      </c>
      <c r="O66" s="29"/>
      <c r="P66" s="20">
        <f>P12-P44</f>
        <v>7600.1800000000039</v>
      </c>
      <c r="Q66" s="14"/>
      <c r="R66" s="21">
        <f>IF(P$12=0,0,P66/P$12)</f>
        <v>0.35661639120266991</v>
      </c>
      <c r="S66" s="14"/>
      <c r="T66" s="20">
        <f>T12-T44</f>
        <v>127657.09000000008</v>
      </c>
      <c r="U66" s="14"/>
      <c r="V66" s="21">
        <f>IF(T$12=0,0,T66/T$12)</f>
        <v>0.47483686642184092</v>
      </c>
      <c r="W66" s="15"/>
      <c r="X66" s="20">
        <f>+P66-T66</f>
        <v>-120056.91000000008</v>
      </c>
      <c r="Y66" s="15"/>
      <c r="Z66" s="21">
        <f>IF(T66=0,0,X66/T66)</f>
        <v>-0.94046409799878716</v>
      </c>
    </row>
    <row r="67" spans="1:26" x14ac:dyDescent="0.25">
      <c r="A67" s="9"/>
      <c r="B67" s="10"/>
      <c r="C67" s="9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9" t="s">
        <v>9</v>
      </c>
      <c r="C68" s="10"/>
      <c r="D68" s="22">
        <f>SUM(OSRRefD22x_0)</f>
        <v>274.11</v>
      </c>
      <c r="E68" s="22"/>
      <c r="F68" s="36">
        <f t="shared" ref="F68:F77" si="19">IF(D$12=0,0,D68/D$12)</f>
        <v>0</v>
      </c>
      <c r="G68" s="22"/>
      <c r="H68" s="22">
        <f>SUM(OSRRefH22x_0)</f>
        <v>10040.460000000001</v>
      </c>
      <c r="I68" s="22"/>
      <c r="J68" s="36">
        <f t="shared" ref="J68:J77" si="20">IF(H$12=0,0,H68/H$12)</f>
        <v>0.46219134950008312</v>
      </c>
      <c r="K68" s="4"/>
      <c r="L68" s="22">
        <f t="shared" ref="L68:L77" si="21">+D68-H68</f>
        <v>-9766.35</v>
      </c>
      <c r="M68" s="4"/>
      <c r="N68" s="36">
        <f t="shared" ref="N68:N77" si="22">IF(H68=0,0,L68/H68)</f>
        <v>-0.97269945799296043</v>
      </c>
      <c r="O68" s="10"/>
      <c r="P68" s="22">
        <f>SUM(OSRRefP22x_0)</f>
        <v>12427.749999999996</v>
      </c>
      <c r="Q68" s="22"/>
      <c r="R68" s="36">
        <f t="shared" ref="R68:R77" si="23">IF(P$12=0,0,P68/P$12)</f>
        <v>0.58313610411450478</v>
      </c>
      <c r="S68" s="22"/>
      <c r="T68" s="22">
        <f>SUM(OSRRefT22x_0)</f>
        <v>70669.340000000011</v>
      </c>
      <c r="U68" s="22"/>
      <c r="V68" s="36">
        <f t="shared" ref="V68:V77" si="24">IF(T$12=0,0,T68/T$12)</f>
        <v>0.26286364476661378</v>
      </c>
      <c r="W68" s="4"/>
      <c r="X68" s="22">
        <f t="shared" ref="X68:X77" si="25">+P68-T68</f>
        <v>-58241.590000000011</v>
      </c>
      <c r="Y68" s="4"/>
      <c r="Z68" s="36">
        <f t="shared" ref="Z68:Z77" si="26">IF(T68=0,0,X68/T68)</f>
        <v>-0.82414226593880746</v>
      </c>
    </row>
    <row r="69" spans="1:26" s="25" customFormat="1" outlineLevel="1" collapsed="1" x14ac:dyDescent="0.25">
      <c r="A69" s="26"/>
      <c r="B69" s="13" t="str">
        <f>CONCATENATE("     ","*Benefits                                         ")</f>
        <v xml:space="preserve">     *Benefits                                         </v>
      </c>
      <c r="C69" s="13"/>
      <c r="D69" s="1">
        <f>SUM(OSRRefD22_0x_0)</f>
        <v>0</v>
      </c>
      <c r="E69" s="1"/>
      <c r="F69" s="5">
        <f t="shared" si="19"/>
        <v>0</v>
      </c>
      <c r="G69" s="1"/>
      <c r="H69" s="1">
        <f>SUM(OSRRefH22_0x_0)</f>
        <v>2102.62</v>
      </c>
      <c r="I69" s="1"/>
      <c r="J69" s="5">
        <f t="shared" si="20"/>
        <v>9.6789666537774627E-2</v>
      </c>
      <c r="K69" s="1"/>
      <c r="L69" s="1">
        <f t="shared" si="21"/>
        <v>-2102.62</v>
      </c>
      <c r="M69" s="1"/>
      <c r="N69" s="5">
        <f t="shared" si="22"/>
        <v>-1</v>
      </c>
      <c r="O69" s="13"/>
      <c r="P69" s="1">
        <f>SUM(OSRRefP22_0x_0)</f>
        <v>778.2</v>
      </c>
      <c r="Q69" s="1"/>
      <c r="R69" s="5">
        <f t="shared" si="23"/>
        <v>3.6514776707119778E-2</v>
      </c>
      <c r="S69" s="1"/>
      <c r="T69" s="1">
        <f>SUM(OSRRefT22_0x_0)</f>
        <v>11604.459999999997</v>
      </c>
      <c r="U69" s="1"/>
      <c r="V69" s="5">
        <f t="shared" si="24"/>
        <v>4.3164272528204983E-2</v>
      </c>
      <c r="W69" s="1"/>
      <c r="X69" s="1">
        <f t="shared" si="25"/>
        <v>-10826.259999999997</v>
      </c>
      <c r="Y69" s="1"/>
      <c r="Z69" s="5">
        <f t="shared" si="26"/>
        <v>-0.93293957668000049</v>
      </c>
    </row>
    <row r="70" spans="1:26" s="24" customFormat="1" hidden="1" outlineLevel="2" x14ac:dyDescent="0.25">
      <c r="A70" s="27"/>
      <c r="B70" s="11" t="str">
        <f>CONCATENATE("          ", "6111", " - ", "F.I.C.A.")</f>
        <v xml:space="preserve">          6111 - F.I.C.A.</v>
      </c>
      <c r="C70" s="11"/>
      <c r="D70" s="7"/>
      <c r="E70" s="2"/>
      <c r="F70" s="6">
        <f t="shared" si="19"/>
        <v>0</v>
      </c>
      <c r="G70" s="2"/>
      <c r="H70" s="7">
        <v>254.78</v>
      </c>
      <c r="I70" s="2"/>
      <c r="J70" s="6">
        <f t="shared" si="20"/>
        <v>1.1728258667992418E-2</v>
      </c>
      <c r="K70" s="2"/>
      <c r="L70" s="7">
        <f t="shared" si="21"/>
        <v>-254.78</v>
      </c>
      <c r="M70" s="2"/>
      <c r="N70" s="6">
        <f t="shared" si="22"/>
        <v>-1</v>
      </c>
      <c r="O70" s="11"/>
      <c r="P70" s="7">
        <v>484.61</v>
      </c>
      <c r="Q70" s="2"/>
      <c r="R70" s="6">
        <f t="shared" si="23"/>
        <v>2.2738917938881154E-2</v>
      </c>
      <c r="S70" s="2"/>
      <c r="T70" s="7">
        <v>1777.43</v>
      </c>
      <c r="U70" s="2"/>
      <c r="V70" s="6">
        <f t="shared" si="24"/>
        <v>6.611378118396496E-3</v>
      </c>
      <c r="W70" s="2"/>
      <c r="X70" s="7">
        <f t="shared" si="25"/>
        <v>-1292.8200000000002</v>
      </c>
      <c r="Y70" s="2"/>
      <c r="Z70" s="6">
        <f t="shared" si="26"/>
        <v>-0.72735353853597617</v>
      </c>
    </row>
    <row r="71" spans="1:26" s="24" customFormat="1" hidden="1" outlineLevel="2" x14ac:dyDescent="0.25">
      <c r="A71" s="27"/>
      <c r="B71" s="11" t="str">
        <f>CONCATENATE("          ", "6112", " - ", "COMPENSATION INSURANCE")</f>
        <v xml:space="preserve">          6112 - COMPENSATION INSURANCE</v>
      </c>
      <c r="C71" s="11"/>
      <c r="D71" s="7"/>
      <c r="E71" s="2"/>
      <c r="F71" s="6">
        <f t="shared" si="19"/>
        <v>0</v>
      </c>
      <c r="G71" s="2"/>
      <c r="H71" s="7">
        <v>227.41</v>
      </c>
      <c r="I71" s="2"/>
      <c r="J71" s="6">
        <f t="shared" si="20"/>
        <v>1.0468338581082329E-2</v>
      </c>
      <c r="K71" s="2"/>
      <c r="L71" s="7">
        <f t="shared" si="21"/>
        <v>-227.41</v>
      </c>
      <c r="M71" s="2"/>
      <c r="N71" s="6">
        <f t="shared" si="22"/>
        <v>-1</v>
      </c>
      <c r="O71" s="11"/>
      <c r="P71" s="7">
        <v>255.57</v>
      </c>
      <c r="Q71" s="2"/>
      <c r="R71" s="6">
        <f t="shared" si="23"/>
        <v>1.1991880600152403E-2</v>
      </c>
      <c r="S71" s="2"/>
      <c r="T71" s="7">
        <v>811.47</v>
      </c>
      <c r="U71" s="2"/>
      <c r="V71" s="6">
        <f t="shared" si="24"/>
        <v>3.0183664064043054E-3</v>
      </c>
      <c r="W71" s="2"/>
      <c r="X71" s="7">
        <f t="shared" si="25"/>
        <v>-555.90000000000009</v>
      </c>
      <c r="Y71" s="2"/>
      <c r="Z71" s="6">
        <f t="shared" si="26"/>
        <v>-0.6850530518688307</v>
      </c>
    </row>
    <row r="72" spans="1:26" s="24" customFormat="1" hidden="1" outlineLevel="2" x14ac:dyDescent="0.25">
      <c r="A72" s="27"/>
      <c r="B72" s="11" t="str">
        <f>CONCATENATE("          ", "6113", " - ", "GROUP INSURANCE")</f>
        <v xml:space="preserve">          6113 - GROUP INSURANCE</v>
      </c>
      <c r="C72" s="11"/>
      <c r="D72" s="7"/>
      <c r="E72" s="2"/>
      <c r="F72" s="6">
        <f t="shared" si="19"/>
        <v>0</v>
      </c>
      <c r="G72" s="2"/>
      <c r="H72" s="7">
        <v>966.41</v>
      </c>
      <c r="I72" s="2"/>
      <c r="J72" s="6">
        <f t="shared" si="20"/>
        <v>4.4486641256513672E-2</v>
      </c>
      <c r="K72" s="2"/>
      <c r="L72" s="7">
        <f t="shared" si="21"/>
        <v>-966.41</v>
      </c>
      <c r="M72" s="2"/>
      <c r="N72" s="6">
        <f t="shared" si="22"/>
        <v>-1</v>
      </c>
      <c r="O72" s="11"/>
      <c r="P72" s="7"/>
      <c r="Q72" s="2"/>
      <c r="R72" s="6">
        <f t="shared" si="23"/>
        <v>0</v>
      </c>
      <c r="S72" s="2"/>
      <c r="T72" s="7">
        <v>5061.4799999999996</v>
      </c>
      <c r="U72" s="2"/>
      <c r="V72" s="6">
        <f t="shared" si="24"/>
        <v>1.8826821938811369E-2</v>
      </c>
      <c r="W72" s="2"/>
      <c r="X72" s="7">
        <f t="shared" si="25"/>
        <v>-5061.4799999999996</v>
      </c>
      <c r="Y72" s="2"/>
      <c r="Z72" s="6">
        <f t="shared" si="26"/>
        <v>-1</v>
      </c>
    </row>
    <row r="73" spans="1:26" s="24" customFormat="1" hidden="1" outlineLevel="2" x14ac:dyDescent="0.25">
      <c r="A73" s="27"/>
      <c r="B73" s="11" t="str">
        <f>CONCATENATE("          ", "6114", " - ", "STATE UNEMPLOYMENT INSURANCE")</f>
        <v xml:space="preserve">          6114 - STATE UNEMPLOYMENT INSURANCE</v>
      </c>
      <c r="C73" s="11"/>
      <c r="D73" s="7"/>
      <c r="E73" s="2"/>
      <c r="F73" s="6">
        <f t="shared" si="19"/>
        <v>0</v>
      </c>
      <c r="G73" s="2"/>
      <c r="H73" s="7">
        <v>31.12</v>
      </c>
      <c r="I73" s="2"/>
      <c r="J73" s="6">
        <f t="shared" si="20"/>
        <v>1.4325434090113984E-3</v>
      </c>
      <c r="K73" s="2"/>
      <c r="L73" s="7">
        <f t="shared" si="21"/>
        <v>-31.12</v>
      </c>
      <c r="M73" s="2"/>
      <c r="N73" s="6">
        <f t="shared" si="22"/>
        <v>-1</v>
      </c>
      <c r="O73" s="11"/>
      <c r="P73" s="7">
        <v>38.020000000000003</v>
      </c>
      <c r="Q73" s="2"/>
      <c r="R73" s="6">
        <f t="shared" si="23"/>
        <v>1.7839781680862169E-3</v>
      </c>
      <c r="S73" s="2"/>
      <c r="T73" s="7">
        <v>133.44</v>
      </c>
      <c r="U73" s="2"/>
      <c r="V73" s="6">
        <f t="shared" si="24"/>
        <v>4.9634713947600102E-4</v>
      </c>
      <c r="W73" s="2"/>
      <c r="X73" s="7">
        <f t="shared" si="25"/>
        <v>-95.419999999999987</v>
      </c>
      <c r="Y73" s="2"/>
      <c r="Z73" s="6">
        <f t="shared" si="26"/>
        <v>-0.71507793764988004</v>
      </c>
    </row>
    <row r="74" spans="1:26" s="24" customFormat="1" hidden="1" outlineLevel="2" x14ac:dyDescent="0.25">
      <c r="A74" s="27"/>
      <c r="B74" s="11" t="str">
        <f>CONCATENATE("          ", "6115", " - ", "P.E.R.S.")</f>
        <v xml:space="preserve">          6115 - P.E.R.S.</v>
      </c>
      <c r="C74" s="11"/>
      <c r="D74" s="7"/>
      <c r="E74" s="2"/>
      <c r="F74" s="6">
        <f t="shared" si="19"/>
        <v>0</v>
      </c>
      <c r="G74" s="2"/>
      <c r="H74" s="7">
        <v>206.11</v>
      </c>
      <c r="I74" s="2"/>
      <c r="J74" s="6">
        <f t="shared" si="20"/>
        <v>9.4878381115468934E-3</v>
      </c>
      <c r="K74" s="2"/>
      <c r="L74" s="7">
        <f t="shared" si="21"/>
        <v>-206.11</v>
      </c>
      <c r="M74" s="2"/>
      <c r="N74" s="6">
        <f t="shared" si="22"/>
        <v>-1</v>
      </c>
      <c r="O74" s="11"/>
      <c r="P74" s="7"/>
      <c r="Q74" s="2"/>
      <c r="R74" s="6">
        <f t="shared" si="23"/>
        <v>0</v>
      </c>
      <c r="S74" s="2"/>
      <c r="T74" s="7">
        <v>1243.1199999999999</v>
      </c>
      <c r="U74" s="2"/>
      <c r="V74" s="6">
        <f t="shared" si="24"/>
        <v>4.6239437651784043E-3</v>
      </c>
      <c r="W74" s="2"/>
      <c r="X74" s="7">
        <f t="shared" si="25"/>
        <v>-1243.1199999999999</v>
      </c>
      <c r="Y74" s="2"/>
      <c r="Z74" s="6">
        <f t="shared" si="26"/>
        <v>-1</v>
      </c>
    </row>
    <row r="75" spans="1:26" s="24" customFormat="1" hidden="1" outlineLevel="2" x14ac:dyDescent="0.25">
      <c r="A75" s="27"/>
      <c r="B75" s="11" t="str">
        <f>CONCATENATE("          ", "6118", " - ", "VACATION")</f>
        <v xml:space="preserve">          6118 - VACATION</v>
      </c>
      <c r="C75" s="11"/>
      <c r="D75" s="7"/>
      <c r="E75" s="2"/>
      <c r="F75" s="6">
        <f t="shared" si="19"/>
        <v>0</v>
      </c>
      <c r="G75" s="2"/>
      <c r="H75" s="7">
        <v>145.84</v>
      </c>
      <c r="I75" s="2"/>
      <c r="J75" s="6">
        <f t="shared" si="20"/>
        <v>6.7134360787346513E-3</v>
      </c>
      <c r="K75" s="2"/>
      <c r="L75" s="7">
        <f t="shared" si="21"/>
        <v>-145.84</v>
      </c>
      <c r="M75" s="2"/>
      <c r="N75" s="6">
        <f t="shared" si="22"/>
        <v>-1</v>
      </c>
      <c r="O75" s="11"/>
      <c r="P75" s="7"/>
      <c r="Q75" s="2"/>
      <c r="R75" s="6">
        <f t="shared" si="23"/>
        <v>0</v>
      </c>
      <c r="S75" s="2"/>
      <c r="T75" s="7">
        <v>1249.32</v>
      </c>
      <c r="U75" s="2"/>
      <c r="V75" s="6">
        <f t="shared" si="24"/>
        <v>4.6470054578099333E-3</v>
      </c>
      <c r="W75" s="2"/>
      <c r="X75" s="7">
        <f t="shared" si="25"/>
        <v>-1249.32</v>
      </c>
      <c r="Y75" s="2"/>
      <c r="Z75" s="6">
        <f t="shared" si="26"/>
        <v>-1</v>
      </c>
    </row>
    <row r="76" spans="1:26" s="24" customFormat="1" hidden="1" outlineLevel="2" x14ac:dyDescent="0.25">
      <c r="A76" s="27"/>
      <c r="B76" s="11" t="str">
        <f>CONCATENATE("          ", "6119", " - ", "SICK LEAVE")</f>
        <v xml:space="preserve">          6119 - SICK LEAVE</v>
      </c>
      <c r="C76" s="11"/>
      <c r="D76" s="7"/>
      <c r="E76" s="2"/>
      <c r="F76" s="6">
        <f t="shared" si="19"/>
        <v>0</v>
      </c>
      <c r="G76" s="2"/>
      <c r="H76" s="7">
        <v>102.89</v>
      </c>
      <c r="I76" s="2"/>
      <c r="J76" s="6">
        <f t="shared" si="20"/>
        <v>4.7363236296009891E-3</v>
      </c>
      <c r="K76" s="2"/>
      <c r="L76" s="7">
        <f t="shared" si="21"/>
        <v>-102.89</v>
      </c>
      <c r="M76" s="2"/>
      <c r="N76" s="6">
        <f t="shared" si="22"/>
        <v>-1</v>
      </c>
      <c r="O76" s="11"/>
      <c r="P76" s="7"/>
      <c r="Q76" s="2"/>
      <c r="R76" s="6">
        <f t="shared" si="23"/>
        <v>0</v>
      </c>
      <c r="S76" s="2"/>
      <c r="T76" s="7">
        <v>376.14</v>
      </c>
      <c r="U76" s="2"/>
      <c r="V76" s="6">
        <f t="shared" si="24"/>
        <v>1.3991008171650404E-3</v>
      </c>
      <c r="W76" s="2"/>
      <c r="X76" s="7">
        <f t="shared" si="25"/>
        <v>-376.14</v>
      </c>
      <c r="Y76" s="2"/>
      <c r="Z76" s="6">
        <f t="shared" si="26"/>
        <v>-1</v>
      </c>
    </row>
    <row r="77" spans="1:26" s="24" customFormat="1" hidden="1" outlineLevel="2" x14ac:dyDescent="0.25">
      <c r="A77" s="27"/>
      <c r="B77" s="11" t="str">
        <f>CONCATENATE("          ", "6156", " - ", "EMPLOYEE MEALS")</f>
        <v xml:space="preserve">          6156 - EMPLOYEE MEALS</v>
      </c>
      <c r="C77" s="11"/>
      <c r="D77" s="7"/>
      <c r="E77" s="2"/>
      <c r="F77" s="6">
        <f t="shared" si="19"/>
        <v>0</v>
      </c>
      <c r="G77" s="2"/>
      <c r="H77" s="7">
        <v>168.06</v>
      </c>
      <c r="I77" s="2"/>
      <c r="J77" s="6">
        <f t="shared" si="20"/>
        <v>7.7362868032922749E-3</v>
      </c>
      <c r="K77" s="2"/>
      <c r="L77" s="7">
        <f t="shared" si="21"/>
        <v>-168.06</v>
      </c>
      <c r="M77" s="2"/>
      <c r="N77" s="6">
        <f t="shared" si="22"/>
        <v>-1</v>
      </c>
      <c r="O77" s="11"/>
      <c r="P77" s="7"/>
      <c r="Q77" s="2"/>
      <c r="R77" s="6">
        <f t="shared" si="23"/>
        <v>0</v>
      </c>
      <c r="S77" s="2"/>
      <c r="T77" s="7">
        <v>952.06</v>
      </c>
      <c r="U77" s="2"/>
      <c r="V77" s="6">
        <f t="shared" si="24"/>
        <v>3.5413088849634402E-3</v>
      </c>
      <c r="W77" s="2"/>
      <c r="X77" s="7">
        <f t="shared" si="25"/>
        <v>-952.06</v>
      </c>
      <c r="Y77" s="2"/>
      <c r="Z77" s="6">
        <f t="shared" si="26"/>
        <v>-1</v>
      </c>
    </row>
    <row r="78" spans="1:26" s="25" customFormat="1" outlineLevel="1" collapsed="1" x14ac:dyDescent="0.25">
      <c r="A78" s="26"/>
      <c r="B78" s="13" t="str">
        <f>CONCATENATE("     ","*Payroll                                          ")</f>
        <v xml:space="preserve">     *Payroll                                          </v>
      </c>
      <c r="C78" s="13"/>
      <c r="D78" s="1">
        <f>SUM(OSRRefD22_1x_0)</f>
        <v>0</v>
      </c>
      <c r="E78" s="1"/>
      <c r="F78" s="5">
        <f t="shared" ref="F78:F82" si="27">IF(D$12=0,0,D78/D$12)</f>
        <v>0</v>
      </c>
      <c r="G78" s="1"/>
      <c r="H78" s="1">
        <f>SUM(OSRRefH22_1x_0)</f>
        <v>6985.42</v>
      </c>
      <c r="I78" s="1"/>
      <c r="J78" s="5">
        <f t="shared" ref="J78:J82" si="28">IF(H$12=0,0,H78/H$12)</f>
        <v>0.32155904177944739</v>
      </c>
      <c r="K78" s="1"/>
      <c r="L78" s="1">
        <f t="shared" ref="L78:L82" si="29">+D78-H78</f>
        <v>-6985.42</v>
      </c>
      <c r="M78" s="1"/>
      <c r="N78" s="5">
        <f t="shared" ref="N78:N82" si="30">IF(H78=0,0,L78/H78)</f>
        <v>-1</v>
      </c>
      <c r="O78" s="13"/>
      <c r="P78" s="1">
        <f>SUM(OSRRefP22_1x_0)</f>
        <v>8152.5399999999991</v>
      </c>
      <c r="Q78" s="1"/>
      <c r="R78" s="5">
        <f t="shared" ref="R78:R82" si="31">IF(P$12=0,0,P78/P$12)</f>
        <v>0.38253428128483963</v>
      </c>
      <c r="S78" s="1"/>
      <c r="T78" s="1">
        <f>SUM(OSRRefT22_1x_0)</f>
        <v>47640.04</v>
      </c>
      <c r="U78" s="1"/>
      <c r="V78" s="5">
        <f t="shared" ref="V78:V82" si="32">IF(T$12=0,0,T78/T$12)</f>
        <v>0.17720321926350618</v>
      </c>
      <c r="W78" s="1"/>
      <c r="X78" s="1">
        <f t="shared" ref="X78:X82" si="33">+P78-T78</f>
        <v>-39487.5</v>
      </c>
      <c r="Y78" s="1"/>
      <c r="Z78" s="5">
        <f t="shared" ref="Z78:Z82" si="34">IF(T78=0,0,X78/T78)</f>
        <v>-0.82887210002342571</v>
      </c>
    </row>
    <row r="79" spans="1:26" s="24" customFormat="1" hidden="1" outlineLevel="2" x14ac:dyDescent="0.25">
      <c r="A79" s="27"/>
      <c r="B79" s="11" t="str">
        <f>CONCATENATE("          ", "6002", " - ", "STAFF SALARIES")</f>
        <v xml:space="preserve">          6002 - STAFF SALARIES</v>
      </c>
      <c r="C79" s="11"/>
      <c r="D79" s="7"/>
      <c r="E79" s="2"/>
      <c r="F79" s="6">
        <f t="shared" si="27"/>
        <v>0</v>
      </c>
      <c r="G79" s="2"/>
      <c r="H79" s="7">
        <v>1896.17</v>
      </c>
      <c r="I79" s="2"/>
      <c r="J79" s="6">
        <f t="shared" si="28"/>
        <v>8.7286177245023883E-2</v>
      </c>
      <c r="K79" s="2"/>
      <c r="L79" s="7">
        <f t="shared" si="29"/>
        <v>-1896.17</v>
      </c>
      <c r="M79" s="2"/>
      <c r="N79" s="6">
        <f t="shared" si="30"/>
        <v>-1</v>
      </c>
      <c r="O79" s="11"/>
      <c r="P79" s="7"/>
      <c r="Q79" s="2"/>
      <c r="R79" s="6">
        <f t="shared" si="31"/>
        <v>0</v>
      </c>
      <c r="S79" s="2"/>
      <c r="T79" s="7">
        <v>15836.02</v>
      </c>
      <c r="U79" s="2"/>
      <c r="V79" s="6">
        <f t="shared" si="32"/>
        <v>5.8904100926894042E-2</v>
      </c>
      <c r="W79" s="2"/>
      <c r="X79" s="7">
        <f t="shared" si="33"/>
        <v>-15836.02</v>
      </c>
      <c r="Y79" s="2"/>
      <c r="Z79" s="6">
        <f t="shared" si="34"/>
        <v>-1</v>
      </c>
    </row>
    <row r="80" spans="1:26" s="24" customFormat="1" hidden="1" outlineLevel="2" x14ac:dyDescent="0.25">
      <c r="A80" s="27"/>
      <c r="B80" s="11" t="str">
        <f>CONCATENATE("          ", "6005", " - ", "TEMPORARY WAGES-HOURLY")</f>
        <v xml:space="preserve">          6005 - TEMPORARY WAGES-HOURLY</v>
      </c>
      <c r="C80" s="11"/>
      <c r="D80" s="7"/>
      <c r="E80" s="2"/>
      <c r="F80" s="6">
        <f t="shared" si="27"/>
        <v>0</v>
      </c>
      <c r="G80" s="2"/>
      <c r="H80" s="7">
        <v>1094.76</v>
      </c>
      <c r="I80" s="2"/>
      <c r="J80" s="6">
        <f t="shared" si="28"/>
        <v>5.0394962160967817E-2</v>
      </c>
      <c r="K80" s="2"/>
      <c r="L80" s="7">
        <f t="shared" si="29"/>
        <v>-1094.76</v>
      </c>
      <c r="M80" s="2"/>
      <c r="N80" s="6">
        <f t="shared" si="30"/>
        <v>-1</v>
      </c>
      <c r="O80" s="11"/>
      <c r="P80" s="7">
        <v>5379.19</v>
      </c>
      <c r="Q80" s="2"/>
      <c r="R80" s="6">
        <f t="shared" si="31"/>
        <v>0.25240288064144384</v>
      </c>
      <c r="S80" s="2"/>
      <c r="T80" s="7">
        <v>2776.77</v>
      </c>
      <c r="U80" s="2"/>
      <c r="V80" s="6">
        <f t="shared" si="32"/>
        <v>1.0328551007814563E-2</v>
      </c>
      <c r="W80" s="2"/>
      <c r="X80" s="7">
        <f t="shared" si="33"/>
        <v>2602.4199999999996</v>
      </c>
      <c r="Y80" s="2"/>
      <c r="Z80" s="6">
        <f t="shared" si="34"/>
        <v>0.93721122023069958</v>
      </c>
    </row>
    <row r="81" spans="1:26" s="24" customFormat="1" hidden="1" outlineLevel="2" x14ac:dyDescent="0.25">
      <c r="A81" s="27"/>
      <c r="B81" s="11" t="str">
        <f>CONCATENATE("          ", "6006", " - ", "TEMPORARY PART TIME")</f>
        <v xml:space="preserve">          6006 - TEMPORARY PART TIME</v>
      </c>
      <c r="C81" s="11"/>
      <c r="D81" s="7"/>
      <c r="E81" s="2"/>
      <c r="F81" s="6">
        <f t="shared" si="27"/>
        <v>0</v>
      </c>
      <c r="G81" s="2"/>
      <c r="H81" s="7"/>
      <c r="I81" s="2"/>
      <c r="J81" s="6">
        <f t="shared" si="28"/>
        <v>0</v>
      </c>
      <c r="K81" s="2"/>
      <c r="L81" s="7">
        <f t="shared" si="29"/>
        <v>0</v>
      </c>
      <c r="M81" s="2"/>
      <c r="N81" s="6">
        <f t="shared" si="30"/>
        <v>0</v>
      </c>
      <c r="O81" s="11"/>
      <c r="P81" s="7"/>
      <c r="Q81" s="2"/>
      <c r="R81" s="6">
        <f t="shared" si="31"/>
        <v>0</v>
      </c>
      <c r="S81" s="2"/>
      <c r="T81" s="7">
        <v>25.5</v>
      </c>
      <c r="U81" s="2"/>
      <c r="V81" s="6">
        <f t="shared" si="32"/>
        <v>9.4850510016771764E-5</v>
      </c>
      <c r="W81" s="2"/>
      <c r="X81" s="7">
        <f t="shared" si="33"/>
        <v>-25.5</v>
      </c>
      <c r="Y81" s="2"/>
      <c r="Z81" s="6">
        <f t="shared" si="34"/>
        <v>-1</v>
      </c>
    </row>
    <row r="82" spans="1:26" s="24" customFormat="1" hidden="1" outlineLevel="2" x14ac:dyDescent="0.25">
      <c r="A82" s="27"/>
      <c r="B82" s="11" t="str">
        <f>CONCATENATE("          ", "6007", " - ", "STUDENT HOURLY")</f>
        <v xml:space="preserve">          6007 - STUDENT HOURLY</v>
      </c>
      <c r="C82" s="11"/>
      <c r="D82" s="7"/>
      <c r="E82" s="2"/>
      <c r="F82" s="6">
        <f t="shared" si="27"/>
        <v>0</v>
      </c>
      <c r="G82" s="2"/>
      <c r="H82" s="7">
        <v>3994.49</v>
      </c>
      <c r="I82" s="2"/>
      <c r="J82" s="6">
        <f t="shared" si="28"/>
        <v>0.18387790237345567</v>
      </c>
      <c r="K82" s="2"/>
      <c r="L82" s="7">
        <f t="shared" si="29"/>
        <v>-3994.49</v>
      </c>
      <c r="M82" s="2"/>
      <c r="N82" s="6">
        <f t="shared" si="30"/>
        <v>-1</v>
      </c>
      <c r="O82" s="11"/>
      <c r="P82" s="7">
        <v>2773.35</v>
      </c>
      <c r="Q82" s="2"/>
      <c r="R82" s="6">
        <f t="shared" si="31"/>
        <v>0.13013140064339582</v>
      </c>
      <c r="S82" s="2"/>
      <c r="T82" s="7">
        <v>29001.75</v>
      </c>
      <c r="U82" s="2"/>
      <c r="V82" s="6">
        <f t="shared" si="32"/>
        <v>0.1078757168187808</v>
      </c>
      <c r="W82" s="2"/>
      <c r="X82" s="7">
        <f t="shared" si="33"/>
        <v>-26228.400000000001</v>
      </c>
      <c r="Y82" s="2"/>
      <c r="Z82" s="6">
        <f t="shared" si="34"/>
        <v>-0.90437301197341546</v>
      </c>
    </row>
    <row r="83" spans="1:26" s="25" customFormat="1" outlineLevel="1" collapsed="1" x14ac:dyDescent="0.25">
      <c r="A83" s="26"/>
      <c r="B83" s="13" t="str">
        <f>CONCATENATE("     ","Advertising/Promo                                 ")</f>
        <v xml:space="preserve">     Advertising/Promo                                 </v>
      </c>
      <c r="C83" s="13"/>
      <c r="D83" s="1">
        <f>SUM(OSRRefD22_2x_0)</f>
        <v>0</v>
      </c>
      <c r="E83" s="1"/>
      <c r="F83" s="5">
        <f t="shared" ref="F83:F89" si="35">IF(D$12=0,0,D83/D$12)</f>
        <v>0</v>
      </c>
      <c r="G83" s="1"/>
      <c r="H83" s="1">
        <f>SUM(OSRRefH22_2x_0)</f>
        <v>0</v>
      </c>
      <c r="I83" s="1"/>
      <c r="J83" s="5">
        <f t="shared" ref="J83:J89" si="36">IF(H$12=0,0,H83/H$12)</f>
        <v>0</v>
      </c>
      <c r="K83" s="1"/>
      <c r="L83" s="1">
        <f t="shared" ref="L83:L89" si="37">+D83-H83</f>
        <v>0</v>
      </c>
      <c r="M83" s="1"/>
      <c r="N83" s="5">
        <f t="shared" ref="N83:N89" si="38">IF(H83=0,0,L83/H83)</f>
        <v>0</v>
      </c>
      <c r="O83" s="13"/>
      <c r="P83" s="1">
        <f>SUM(OSRRefP22_2x_0)</f>
        <v>124.72</v>
      </c>
      <c r="Q83" s="1"/>
      <c r="R83" s="5">
        <f t="shared" ref="R83:R89" si="39">IF(P$12=0,0,P83/P$12)</f>
        <v>5.8521240695347957E-3</v>
      </c>
      <c r="S83" s="1"/>
      <c r="T83" s="1">
        <f>SUM(OSRRefT22_2x_0)</f>
        <v>963.62</v>
      </c>
      <c r="U83" s="1"/>
      <c r="V83" s="5">
        <f t="shared" ref="V83:V89" si="40">IF(T$12=0,0,T83/T$12)</f>
        <v>3.5843077828377101E-3</v>
      </c>
      <c r="W83" s="1"/>
      <c r="X83" s="1">
        <f t="shared" ref="X83:X89" si="41">+P83-T83</f>
        <v>-838.9</v>
      </c>
      <c r="Y83" s="1"/>
      <c r="Z83" s="5">
        <f t="shared" ref="Z83:Z89" si="42">IF(T83=0,0,X83/T83)</f>
        <v>-0.87057138706128967</v>
      </c>
    </row>
    <row r="84" spans="1:26" s="24" customFormat="1" hidden="1" outlineLevel="2" x14ac:dyDescent="0.25">
      <c r="A84" s="27"/>
      <c r="B84" s="11" t="str">
        <f>CONCATENATE("          ", "6362", " - ", "ADVERTISING EXPENSE")</f>
        <v xml:space="preserve">          6362 - ADVERTISING EXPENSE</v>
      </c>
      <c r="C84" s="11"/>
      <c r="D84" s="7"/>
      <c r="E84" s="2"/>
      <c r="F84" s="6">
        <f t="shared" si="35"/>
        <v>0</v>
      </c>
      <c r="G84" s="2"/>
      <c r="H84" s="7"/>
      <c r="I84" s="2"/>
      <c r="J84" s="6">
        <f t="shared" si="36"/>
        <v>0</v>
      </c>
      <c r="K84" s="2"/>
      <c r="L84" s="7">
        <f t="shared" si="37"/>
        <v>0</v>
      </c>
      <c r="M84" s="2"/>
      <c r="N84" s="6">
        <f t="shared" si="38"/>
        <v>0</v>
      </c>
      <c r="O84" s="11"/>
      <c r="P84" s="7">
        <v>124.72</v>
      </c>
      <c r="Q84" s="2"/>
      <c r="R84" s="6">
        <f t="shared" si="39"/>
        <v>5.8521240695347957E-3</v>
      </c>
      <c r="S84" s="2"/>
      <c r="T84" s="7">
        <v>963.62</v>
      </c>
      <c r="U84" s="2"/>
      <c r="V84" s="6">
        <f t="shared" si="40"/>
        <v>3.5843077828377101E-3</v>
      </c>
      <c r="W84" s="2"/>
      <c r="X84" s="7">
        <f t="shared" si="41"/>
        <v>-838.9</v>
      </c>
      <c r="Y84" s="2"/>
      <c r="Z84" s="6">
        <f t="shared" si="42"/>
        <v>-0.87057138706128967</v>
      </c>
    </row>
    <row r="85" spans="1:26" s="25" customFormat="1" outlineLevel="1" collapsed="1" x14ac:dyDescent="0.25">
      <c r="A85" s="26"/>
      <c r="B85" s="13" t="str">
        <f>CONCATENATE("     ","Bad Debts/Over/Short                              ")</f>
        <v xml:space="preserve">     Bad Debts/Over/Short                              </v>
      </c>
      <c r="C85" s="13"/>
      <c r="D85" s="1">
        <f>SUM(OSRRefD22_3x_0)</f>
        <v>0</v>
      </c>
      <c r="E85" s="1"/>
      <c r="F85" s="5">
        <f t="shared" si="35"/>
        <v>0</v>
      </c>
      <c r="G85" s="1"/>
      <c r="H85" s="1">
        <f>SUM(OSRRefH22_3x_0)</f>
        <v>0.23</v>
      </c>
      <c r="I85" s="1"/>
      <c r="J85" s="5">
        <f t="shared" si="36"/>
        <v>1.0587563755546967E-5</v>
      </c>
      <c r="K85" s="1"/>
      <c r="L85" s="1">
        <f t="shared" si="37"/>
        <v>-0.23</v>
      </c>
      <c r="M85" s="1"/>
      <c r="N85" s="5">
        <f t="shared" si="38"/>
        <v>-1</v>
      </c>
      <c r="O85" s="13"/>
      <c r="P85" s="1">
        <f>SUM(OSRRefP22_3x_0)</f>
        <v>1.1000000000000001</v>
      </c>
      <c r="Q85" s="1"/>
      <c r="R85" s="5">
        <f t="shared" si="39"/>
        <v>5.1614307861516002E-5</v>
      </c>
      <c r="S85" s="1"/>
      <c r="T85" s="1">
        <f>SUM(OSRRefT22_3x_0)</f>
        <v>-46.98</v>
      </c>
      <c r="U85" s="1"/>
      <c r="V85" s="5">
        <f t="shared" si="40"/>
        <v>-1.7474811610148773E-4</v>
      </c>
      <c r="W85" s="1"/>
      <c r="X85" s="1">
        <f t="shared" si="41"/>
        <v>48.08</v>
      </c>
      <c r="Y85" s="1"/>
      <c r="Z85" s="5">
        <f t="shared" si="42"/>
        <v>-1.0234142188165176</v>
      </c>
    </row>
    <row r="86" spans="1:26" s="24" customFormat="1" hidden="1" outlineLevel="2" x14ac:dyDescent="0.25">
      <c r="A86" s="27"/>
      <c r="B86" s="11" t="str">
        <f>CONCATENATE("          ", "6272", " - ", "CASH (OVER/SHORT)")</f>
        <v xml:space="preserve">          6272 - CASH (OVER/SHORT)</v>
      </c>
      <c r="C86" s="11"/>
      <c r="D86" s="7"/>
      <c r="E86" s="2"/>
      <c r="F86" s="6">
        <f t="shared" si="35"/>
        <v>0</v>
      </c>
      <c r="G86" s="2"/>
      <c r="H86" s="7">
        <v>0.23</v>
      </c>
      <c r="I86" s="2"/>
      <c r="J86" s="6">
        <f t="shared" si="36"/>
        <v>1.0587563755546967E-5</v>
      </c>
      <c r="K86" s="2"/>
      <c r="L86" s="7">
        <f t="shared" si="37"/>
        <v>-0.23</v>
      </c>
      <c r="M86" s="2"/>
      <c r="N86" s="6">
        <f t="shared" si="38"/>
        <v>-1</v>
      </c>
      <c r="O86" s="11"/>
      <c r="P86" s="7">
        <v>1.1000000000000001</v>
      </c>
      <c r="Q86" s="2"/>
      <c r="R86" s="6">
        <f t="shared" si="39"/>
        <v>5.1614307861516002E-5</v>
      </c>
      <c r="S86" s="2"/>
      <c r="T86" s="7">
        <v>-46.98</v>
      </c>
      <c r="U86" s="2"/>
      <c r="V86" s="6">
        <f t="shared" si="40"/>
        <v>-1.7474811610148773E-4</v>
      </c>
      <c r="W86" s="2"/>
      <c r="X86" s="7">
        <f t="shared" si="41"/>
        <v>48.08</v>
      </c>
      <c r="Y86" s="2"/>
      <c r="Z86" s="6">
        <f t="shared" si="42"/>
        <v>-1.0234142188165176</v>
      </c>
    </row>
    <row r="87" spans="1:26" s="25" customFormat="1" outlineLevel="1" collapsed="1" x14ac:dyDescent="0.25">
      <c r="A87" s="26"/>
      <c r="B87" s="13" t="str">
        <f>CONCATENATE("     ","Discounts and Markdowns                           ")</f>
        <v xml:space="preserve">     Discounts and Markdowns                           </v>
      </c>
      <c r="C87" s="13"/>
      <c r="D87" s="1">
        <f>SUM(OSRRefD22_4x_0)</f>
        <v>0</v>
      </c>
      <c r="E87" s="1"/>
      <c r="F87" s="5">
        <f t="shared" si="35"/>
        <v>0</v>
      </c>
      <c r="G87" s="1"/>
      <c r="H87" s="1">
        <f>SUM(OSRRefH22_4x_0)</f>
        <v>261.77</v>
      </c>
      <c r="I87" s="1"/>
      <c r="J87" s="5">
        <f t="shared" si="36"/>
        <v>1.2050028540389258E-2</v>
      </c>
      <c r="K87" s="1"/>
      <c r="L87" s="1">
        <f t="shared" si="37"/>
        <v>-261.77</v>
      </c>
      <c r="M87" s="1"/>
      <c r="N87" s="5">
        <f t="shared" si="38"/>
        <v>-1</v>
      </c>
      <c r="O87" s="13"/>
      <c r="P87" s="1">
        <f>SUM(OSRRefP22_4x_0)</f>
        <v>0</v>
      </c>
      <c r="Q87" s="1"/>
      <c r="R87" s="5">
        <f t="shared" si="39"/>
        <v>0</v>
      </c>
      <c r="S87" s="1"/>
      <c r="T87" s="1">
        <f>SUM(OSRRefT22_4x_0)</f>
        <v>5537.38</v>
      </c>
      <c r="U87" s="1"/>
      <c r="V87" s="5">
        <f t="shared" si="40"/>
        <v>2.0596992829673397E-2</v>
      </c>
      <c r="W87" s="1"/>
      <c r="X87" s="1">
        <f t="shared" si="41"/>
        <v>-5537.38</v>
      </c>
      <c r="Y87" s="1"/>
      <c r="Z87" s="5">
        <f t="shared" si="42"/>
        <v>-1</v>
      </c>
    </row>
    <row r="88" spans="1:26" s="24" customFormat="1" hidden="1" outlineLevel="2" x14ac:dyDescent="0.25">
      <c r="A88" s="27"/>
      <c r="B88" s="11" t="str">
        <f>CONCATENATE("          ", "6382", " - ", "DISCOUNTS/MARK DOWNS")</f>
        <v xml:space="preserve">          6382 - DISCOUNTS/MARK DOWNS</v>
      </c>
      <c r="C88" s="11"/>
      <c r="D88" s="7"/>
      <c r="E88" s="2"/>
      <c r="F88" s="6">
        <f t="shared" si="35"/>
        <v>0</v>
      </c>
      <c r="G88" s="2"/>
      <c r="H88" s="7">
        <v>261.77</v>
      </c>
      <c r="I88" s="2"/>
      <c r="J88" s="6">
        <f t="shared" si="36"/>
        <v>1.2050028540389258E-2</v>
      </c>
      <c r="K88" s="2"/>
      <c r="L88" s="7">
        <f t="shared" si="37"/>
        <v>-261.77</v>
      </c>
      <c r="M88" s="2"/>
      <c r="N88" s="6">
        <f t="shared" si="38"/>
        <v>-1</v>
      </c>
      <c r="O88" s="11"/>
      <c r="P88" s="7"/>
      <c r="Q88" s="2"/>
      <c r="R88" s="6">
        <f t="shared" si="39"/>
        <v>0</v>
      </c>
      <c r="S88" s="2"/>
      <c r="T88" s="7">
        <v>5537.38</v>
      </c>
      <c r="U88" s="2"/>
      <c r="V88" s="6">
        <f t="shared" si="40"/>
        <v>2.0596992829673397E-2</v>
      </c>
      <c r="W88" s="2"/>
      <c r="X88" s="7">
        <f t="shared" si="41"/>
        <v>-5537.38</v>
      </c>
      <c r="Y88" s="2"/>
      <c r="Z88" s="6">
        <f t="shared" si="42"/>
        <v>-1</v>
      </c>
    </row>
    <row r="89" spans="1:26" s="24" customFormat="1" hidden="1" outlineLevel="2" x14ac:dyDescent="0.25">
      <c r="A89" s="27"/>
      <c r="B89" s="11" t="str">
        <f>CONCATENATE("          ", "9175", " - ", "EARNED DISCOUNTS")</f>
        <v xml:space="preserve">          9175 - EARNED DISCOUNTS</v>
      </c>
      <c r="C89" s="11"/>
      <c r="D89" s="7"/>
      <c r="E89" s="2"/>
      <c r="F89" s="6">
        <f t="shared" si="35"/>
        <v>0</v>
      </c>
      <c r="G89" s="2"/>
      <c r="H89" s="7"/>
      <c r="I89" s="2"/>
      <c r="J89" s="6">
        <f t="shared" si="36"/>
        <v>0</v>
      </c>
      <c r="K89" s="2"/>
      <c r="L89" s="7">
        <f t="shared" si="37"/>
        <v>0</v>
      </c>
      <c r="M89" s="2"/>
      <c r="N89" s="6">
        <f t="shared" si="38"/>
        <v>0</v>
      </c>
      <c r="O89" s="11"/>
      <c r="P89" s="7">
        <v>0</v>
      </c>
      <c r="Q89" s="2"/>
      <c r="R89" s="6">
        <f t="shared" si="39"/>
        <v>0</v>
      </c>
      <c r="S89" s="2"/>
      <c r="T89" s="7">
        <v>0</v>
      </c>
      <c r="U89" s="2"/>
      <c r="V89" s="6">
        <f t="shared" si="40"/>
        <v>0</v>
      </c>
      <c r="W89" s="2"/>
      <c r="X89" s="7">
        <f t="shared" si="41"/>
        <v>0</v>
      </c>
      <c r="Y89" s="2"/>
      <c r="Z89" s="6">
        <f t="shared" si="42"/>
        <v>0</v>
      </c>
    </row>
    <row r="90" spans="1:26" s="25" customFormat="1" outlineLevel="1" collapsed="1" x14ac:dyDescent="0.25">
      <c r="A90" s="26"/>
      <c r="B90" s="13" t="str">
        <f>CONCATENATE("     ","General                                           ")</f>
        <v xml:space="preserve">     General                                           </v>
      </c>
      <c r="C90" s="13"/>
      <c r="D90" s="1">
        <f>SUM(OSRRefD22_5x_0)</f>
        <v>160</v>
      </c>
      <c r="E90" s="1"/>
      <c r="F90" s="5">
        <f t="shared" ref="F90:F96" si="43">IF(D$12=0,0,D90/D$12)</f>
        <v>0</v>
      </c>
      <c r="G90" s="1"/>
      <c r="H90" s="1">
        <f>SUM(OSRRefH22_5x_0)</f>
        <v>160</v>
      </c>
      <c r="I90" s="1"/>
      <c r="J90" s="5">
        <f t="shared" ref="J90:J96" si="44">IF(H$12=0,0,H90/H$12)</f>
        <v>7.3652617429891942E-3</v>
      </c>
      <c r="K90" s="1"/>
      <c r="L90" s="1">
        <f t="shared" ref="L90:L96" si="45">+D90-H90</f>
        <v>0</v>
      </c>
      <c r="M90" s="1"/>
      <c r="N90" s="5">
        <f t="shared" ref="N90:N96" si="46">IF(H90=0,0,L90/H90)</f>
        <v>0</v>
      </c>
      <c r="O90" s="13"/>
      <c r="P90" s="1">
        <f>SUM(OSRRefP22_5x_0)</f>
        <v>879.55</v>
      </c>
      <c r="Q90" s="1"/>
      <c r="R90" s="5">
        <f t="shared" ref="R90:R96" si="47">IF(P$12=0,0,P90/P$12)</f>
        <v>4.1270331345087632E-2</v>
      </c>
      <c r="S90" s="1"/>
      <c r="T90" s="1">
        <f>SUM(OSRRefT22_5x_0)</f>
        <v>954.05</v>
      </c>
      <c r="U90" s="1"/>
      <c r="V90" s="5">
        <f t="shared" ref="V90:V96" si="48">IF(T$12=0,0,T90/T$12)</f>
        <v>3.5487109443725923E-3</v>
      </c>
      <c r="W90" s="1"/>
      <c r="X90" s="1">
        <f t="shared" ref="X90:X96" si="49">+P90-T90</f>
        <v>-74.5</v>
      </c>
      <c r="Y90" s="1"/>
      <c r="Z90" s="5">
        <f t="shared" ref="Z90:Z96" si="50">IF(T90=0,0,X90/T90)</f>
        <v>-7.8088150516220325E-2</v>
      </c>
    </row>
    <row r="91" spans="1:26" s="24" customFormat="1" hidden="1" outlineLevel="2" x14ac:dyDescent="0.25">
      <c r="A91" s="27"/>
      <c r="B91" s="11" t="str">
        <f>CONCATENATE("          ", "6279", " - ", "GENERAL EXPENSE")</f>
        <v xml:space="preserve">          6279 - GENERAL EXPENSE</v>
      </c>
      <c r="C91" s="11"/>
      <c r="D91" s="7">
        <v>160</v>
      </c>
      <c r="E91" s="2"/>
      <c r="F91" s="6">
        <f t="shared" si="43"/>
        <v>0</v>
      </c>
      <c r="G91" s="2"/>
      <c r="H91" s="7">
        <v>160</v>
      </c>
      <c r="I91" s="2"/>
      <c r="J91" s="6">
        <f t="shared" si="44"/>
        <v>7.3652617429891942E-3</v>
      </c>
      <c r="K91" s="2"/>
      <c r="L91" s="7">
        <f t="shared" si="45"/>
        <v>0</v>
      </c>
      <c r="M91" s="2"/>
      <c r="N91" s="6">
        <f t="shared" si="46"/>
        <v>0</v>
      </c>
      <c r="O91" s="11"/>
      <c r="P91" s="7">
        <v>879.55</v>
      </c>
      <c r="Q91" s="2"/>
      <c r="R91" s="6">
        <f t="shared" si="47"/>
        <v>4.1270331345087632E-2</v>
      </c>
      <c r="S91" s="2"/>
      <c r="T91" s="7">
        <v>954.05</v>
      </c>
      <c r="U91" s="2"/>
      <c r="V91" s="6">
        <f t="shared" si="48"/>
        <v>3.5487109443725923E-3</v>
      </c>
      <c r="W91" s="2"/>
      <c r="X91" s="7">
        <f t="shared" si="49"/>
        <v>-74.5</v>
      </c>
      <c r="Y91" s="2"/>
      <c r="Z91" s="6">
        <f t="shared" si="50"/>
        <v>-7.8088150516220325E-2</v>
      </c>
    </row>
    <row r="92" spans="1:26" s="25" customFormat="1" outlineLevel="1" collapsed="1" x14ac:dyDescent="0.25">
      <c r="A92" s="26"/>
      <c r="B92" s="13" t="str">
        <f>CONCATENATE("     ","Professional Services                             ")</f>
        <v xml:space="preserve">     Professional Services                             </v>
      </c>
      <c r="C92" s="13"/>
      <c r="D92" s="1">
        <f>SUM(OSRRefD22_6x_0)</f>
        <v>0</v>
      </c>
      <c r="E92" s="1"/>
      <c r="F92" s="5">
        <f t="shared" si="43"/>
        <v>0</v>
      </c>
      <c r="G92" s="1"/>
      <c r="H92" s="1">
        <f>SUM(OSRRefH22_6x_0)</f>
        <v>41.15</v>
      </c>
      <c r="I92" s="1"/>
      <c r="J92" s="5">
        <f t="shared" si="44"/>
        <v>1.8942532545250335E-3</v>
      </c>
      <c r="K92" s="1"/>
      <c r="L92" s="1">
        <f t="shared" si="45"/>
        <v>-41.15</v>
      </c>
      <c r="M92" s="1"/>
      <c r="N92" s="5">
        <f t="shared" si="46"/>
        <v>-1</v>
      </c>
      <c r="O92" s="13"/>
      <c r="P92" s="1">
        <f>SUM(OSRRefP22_6x_0)</f>
        <v>0</v>
      </c>
      <c r="Q92" s="1"/>
      <c r="R92" s="5">
        <f t="shared" si="47"/>
        <v>0</v>
      </c>
      <c r="S92" s="1"/>
      <c r="T92" s="1">
        <f>SUM(OSRRefT22_6x_0)</f>
        <v>791.15</v>
      </c>
      <c r="U92" s="1"/>
      <c r="V92" s="5">
        <f t="shared" si="48"/>
        <v>2.9427835686183916E-3</v>
      </c>
      <c r="W92" s="1"/>
      <c r="X92" s="1">
        <f t="shared" si="49"/>
        <v>-791.15</v>
      </c>
      <c r="Y92" s="1"/>
      <c r="Z92" s="5">
        <f t="shared" si="50"/>
        <v>-1</v>
      </c>
    </row>
    <row r="93" spans="1:26" s="24" customFormat="1" hidden="1" outlineLevel="2" x14ac:dyDescent="0.25">
      <c r="A93" s="27"/>
      <c r="B93" s="11" t="str">
        <f>CONCATENATE("          ", "6336", " - ", "PROFESSIONAL SERVICES")</f>
        <v xml:space="preserve">          6336 - PROFESSIONAL SERVICES</v>
      </c>
      <c r="C93" s="11"/>
      <c r="D93" s="7"/>
      <c r="E93" s="2"/>
      <c r="F93" s="6">
        <f t="shared" si="43"/>
        <v>0</v>
      </c>
      <c r="G93" s="2"/>
      <c r="H93" s="7">
        <v>41.15</v>
      </c>
      <c r="I93" s="2"/>
      <c r="J93" s="6">
        <f t="shared" si="44"/>
        <v>1.8942532545250335E-3</v>
      </c>
      <c r="K93" s="2"/>
      <c r="L93" s="7">
        <f t="shared" si="45"/>
        <v>-41.15</v>
      </c>
      <c r="M93" s="2"/>
      <c r="N93" s="6">
        <f t="shared" si="46"/>
        <v>-1</v>
      </c>
      <c r="O93" s="11"/>
      <c r="P93" s="7"/>
      <c r="Q93" s="2"/>
      <c r="R93" s="6">
        <f t="shared" si="47"/>
        <v>0</v>
      </c>
      <c r="S93" s="2"/>
      <c r="T93" s="7">
        <v>791.15</v>
      </c>
      <c r="U93" s="2"/>
      <c r="V93" s="6">
        <f t="shared" si="48"/>
        <v>2.9427835686183916E-3</v>
      </c>
      <c r="W93" s="2"/>
      <c r="X93" s="7">
        <f t="shared" si="49"/>
        <v>-791.15</v>
      </c>
      <c r="Y93" s="2"/>
      <c r="Z93" s="6">
        <f t="shared" si="50"/>
        <v>-1</v>
      </c>
    </row>
    <row r="94" spans="1:26" s="25" customFormat="1" outlineLevel="1" collapsed="1" x14ac:dyDescent="0.25">
      <c r="A94" s="26"/>
      <c r="B94" s="13" t="str">
        <f>CONCATENATE("     ","Repair and Maintenance                            ")</f>
        <v xml:space="preserve">     Repair and Maintenance                            </v>
      </c>
      <c r="C94" s="13"/>
      <c r="D94" s="1">
        <f>SUM(OSRRefD22_7x_0)</f>
        <v>61.11</v>
      </c>
      <c r="E94" s="1"/>
      <c r="F94" s="5">
        <f t="shared" si="43"/>
        <v>0</v>
      </c>
      <c r="G94" s="1"/>
      <c r="H94" s="1">
        <f>SUM(OSRRefH22_7x_0)</f>
        <v>61.11</v>
      </c>
      <c r="I94" s="1"/>
      <c r="J94" s="5">
        <f t="shared" si="44"/>
        <v>2.8130696569629355E-3</v>
      </c>
      <c r="K94" s="1"/>
      <c r="L94" s="1">
        <f t="shared" si="45"/>
        <v>0</v>
      </c>
      <c r="M94" s="1"/>
      <c r="N94" s="5">
        <f t="shared" si="46"/>
        <v>0</v>
      </c>
      <c r="O94" s="13"/>
      <c r="P94" s="1">
        <f>SUM(OSRRefP22_7x_0)</f>
        <v>200.82</v>
      </c>
      <c r="Q94" s="1"/>
      <c r="R94" s="5">
        <f t="shared" si="47"/>
        <v>9.4228957315905838E-3</v>
      </c>
      <c r="S94" s="1"/>
      <c r="T94" s="1">
        <f>SUM(OSRRefT22_7x_0)</f>
        <v>129.53</v>
      </c>
      <c r="U94" s="1"/>
      <c r="V94" s="5">
        <f t="shared" si="48"/>
        <v>4.8180339460676263E-4</v>
      </c>
      <c r="W94" s="1"/>
      <c r="X94" s="1">
        <f t="shared" si="49"/>
        <v>71.289999999999992</v>
      </c>
      <c r="Y94" s="1"/>
      <c r="Z94" s="5">
        <f t="shared" si="50"/>
        <v>0.55037443063382996</v>
      </c>
    </row>
    <row r="95" spans="1:26" s="24" customFormat="1" hidden="1" outlineLevel="2" x14ac:dyDescent="0.25">
      <c r="A95" s="27"/>
      <c r="B95" s="11" t="str">
        <f>CONCATENATE("          ", "6373", " - ", "MAINTENANCE CONTRACTS")</f>
        <v xml:space="preserve">          6373 - MAINTENANCE CONTRACTS</v>
      </c>
      <c r="C95" s="11"/>
      <c r="D95" s="7">
        <v>61.11</v>
      </c>
      <c r="E95" s="2"/>
      <c r="F95" s="6">
        <f t="shared" si="43"/>
        <v>0</v>
      </c>
      <c r="G95" s="2"/>
      <c r="H95" s="7">
        <v>61.11</v>
      </c>
      <c r="I95" s="2"/>
      <c r="J95" s="6">
        <f t="shared" si="44"/>
        <v>2.8130696569629355E-3</v>
      </c>
      <c r="K95" s="2"/>
      <c r="L95" s="7">
        <f t="shared" si="45"/>
        <v>0</v>
      </c>
      <c r="M95" s="2"/>
      <c r="N95" s="6">
        <f t="shared" si="46"/>
        <v>0</v>
      </c>
      <c r="O95" s="11"/>
      <c r="P95" s="7">
        <v>200.82</v>
      </c>
      <c r="Q95" s="2"/>
      <c r="R95" s="6">
        <f t="shared" si="47"/>
        <v>9.4228957315905838E-3</v>
      </c>
      <c r="S95" s="2"/>
      <c r="T95" s="7">
        <v>119.73</v>
      </c>
      <c r="U95" s="2"/>
      <c r="V95" s="6">
        <f t="shared" si="48"/>
        <v>4.4535104173757192E-4</v>
      </c>
      <c r="W95" s="2"/>
      <c r="X95" s="7">
        <f t="shared" si="49"/>
        <v>81.089999999999989</v>
      </c>
      <c r="Y95" s="2"/>
      <c r="Z95" s="6">
        <f t="shared" si="50"/>
        <v>0.67727386619894747</v>
      </c>
    </row>
    <row r="96" spans="1:26" s="24" customFormat="1" hidden="1" outlineLevel="2" x14ac:dyDescent="0.25">
      <c r="A96" s="27"/>
      <c r="B96" s="11" t="str">
        <f>CONCATENATE("          ", "6375", " - ", "OUTSIDE REPAIRS &amp; MAINTENANCE")</f>
        <v xml:space="preserve">          6375 - OUTSIDE REPAIRS &amp; MAINTENANCE</v>
      </c>
      <c r="C96" s="11"/>
      <c r="D96" s="7"/>
      <c r="E96" s="2"/>
      <c r="F96" s="6">
        <f t="shared" si="43"/>
        <v>0</v>
      </c>
      <c r="G96" s="2"/>
      <c r="H96" s="7"/>
      <c r="I96" s="2"/>
      <c r="J96" s="6">
        <f t="shared" si="44"/>
        <v>0</v>
      </c>
      <c r="K96" s="2"/>
      <c r="L96" s="7">
        <f t="shared" si="45"/>
        <v>0</v>
      </c>
      <c r="M96" s="2"/>
      <c r="N96" s="6">
        <f t="shared" si="46"/>
        <v>0</v>
      </c>
      <c r="O96" s="11"/>
      <c r="P96" s="7"/>
      <c r="Q96" s="2"/>
      <c r="R96" s="6">
        <f t="shared" si="47"/>
        <v>0</v>
      </c>
      <c r="S96" s="2"/>
      <c r="T96" s="7">
        <v>9.8000000000000007</v>
      </c>
      <c r="U96" s="2"/>
      <c r="V96" s="6">
        <f t="shared" si="48"/>
        <v>3.6452352869190725E-5</v>
      </c>
      <c r="W96" s="2"/>
      <c r="X96" s="7">
        <f t="shared" si="49"/>
        <v>-9.8000000000000007</v>
      </c>
      <c r="Y96" s="2"/>
      <c r="Z96" s="6">
        <f t="shared" si="50"/>
        <v>-1</v>
      </c>
    </row>
    <row r="97" spans="1:26" s="25" customFormat="1" outlineLevel="1" collapsed="1" x14ac:dyDescent="0.25">
      <c r="A97" s="26"/>
      <c r="B97" s="13" t="str">
        <f>CONCATENATE("     ","Services                                          ")</f>
        <v xml:space="preserve">     Services                                          </v>
      </c>
      <c r="C97" s="13"/>
      <c r="D97" s="1">
        <f>SUM(OSRRefD22_8x_0)</f>
        <v>0</v>
      </c>
      <c r="E97" s="1"/>
      <c r="F97" s="5">
        <f t="shared" ref="F97:F99" si="51">IF(D$12=0,0,D97/D$12)</f>
        <v>0</v>
      </c>
      <c r="G97" s="1"/>
      <c r="H97" s="1">
        <f>SUM(OSRRefH22_8x_0)</f>
        <v>109.66</v>
      </c>
      <c r="I97" s="1"/>
      <c r="J97" s="5">
        <f t="shared" ref="J97:J99" si="52">IF(H$12=0,0,H97/H$12)</f>
        <v>5.0479662671012188E-3</v>
      </c>
      <c r="K97" s="1"/>
      <c r="L97" s="1">
        <f t="shared" ref="L97:L99" si="53">+D97-H97</f>
        <v>-109.66</v>
      </c>
      <c r="M97" s="1"/>
      <c r="N97" s="5">
        <f t="shared" ref="N97:N99" si="54">IF(H97=0,0,L97/H97)</f>
        <v>-1</v>
      </c>
      <c r="O97" s="13"/>
      <c r="P97" s="1">
        <f>SUM(OSRRefP22_8x_0)</f>
        <v>18.5</v>
      </c>
      <c r="Q97" s="1"/>
      <c r="R97" s="5">
        <f t="shared" ref="R97:R99" si="55">IF(P$12=0,0,P97/P$12)</f>
        <v>8.6805881403458724E-4</v>
      </c>
      <c r="S97" s="1"/>
      <c r="T97" s="1">
        <f>SUM(OSRRefT22_8x_0)</f>
        <v>1230.69</v>
      </c>
      <c r="U97" s="1"/>
      <c r="V97" s="5">
        <f t="shared" ref="V97:V99" si="56">IF(T$12=0,0,T97/T$12)</f>
        <v>4.5777087910800337E-3</v>
      </c>
      <c r="W97" s="1"/>
      <c r="X97" s="1">
        <f t="shared" ref="X97:X99" si="57">+P97-T97</f>
        <v>-1212.19</v>
      </c>
      <c r="Y97" s="1"/>
      <c r="Z97" s="5">
        <f t="shared" ref="Z97:Z99" si="58">IF(T97=0,0,X97/T97)</f>
        <v>-0.98496778230098558</v>
      </c>
    </row>
    <row r="98" spans="1:26" s="24" customFormat="1" hidden="1" outlineLevel="2" x14ac:dyDescent="0.25">
      <c r="A98" s="27"/>
      <c r="B98" s="11" t="str">
        <f>CONCATENATE("          ", "6282", " - ", "JANITORIAL/EXTERMINATOR EXPENS")</f>
        <v xml:space="preserve">          6282 - JANITORIAL/EXTERMINATOR EXPENS</v>
      </c>
      <c r="C98" s="11"/>
      <c r="D98" s="7"/>
      <c r="E98" s="2"/>
      <c r="F98" s="6">
        <f t="shared" si="51"/>
        <v>0</v>
      </c>
      <c r="G98" s="2"/>
      <c r="H98" s="7">
        <v>44</v>
      </c>
      <c r="I98" s="2"/>
      <c r="J98" s="6">
        <f t="shared" si="52"/>
        <v>2.0254469793220286E-3</v>
      </c>
      <c r="K98" s="2"/>
      <c r="L98" s="7">
        <f t="shared" si="53"/>
        <v>-44</v>
      </c>
      <c r="M98" s="2"/>
      <c r="N98" s="6">
        <f t="shared" si="54"/>
        <v>-1</v>
      </c>
      <c r="O98" s="11"/>
      <c r="P98" s="7">
        <v>176</v>
      </c>
      <c r="Q98" s="2"/>
      <c r="R98" s="6">
        <f t="shared" si="55"/>
        <v>8.2582892578425601E-3</v>
      </c>
      <c r="S98" s="2"/>
      <c r="T98" s="7">
        <v>264</v>
      </c>
      <c r="U98" s="2"/>
      <c r="V98" s="6">
        <f t="shared" si="56"/>
        <v>9.8198175076187242E-4</v>
      </c>
      <c r="W98" s="2"/>
      <c r="X98" s="7">
        <f t="shared" si="57"/>
        <v>-88</v>
      </c>
      <c r="Y98" s="2"/>
      <c r="Z98" s="6">
        <f t="shared" si="58"/>
        <v>-0.33333333333333331</v>
      </c>
    </row>
    <row r="99" spans="1:26" s="24" customFormat="1" hidden="1" outlineLevel="2" x14ac:dyDescent="0.25">
      <c r="A99" s="27"/>
      <c r="B99" s="11" t="str">
        <f>CONCATENATE("          ", "6285", " - ", "JANITORIAL SERVICES")</f>
        <v xml:space="preserve">          6285 - JANITORIAL SERVICES</v>
      </c>
      <c r="C99" s="11"/>
      <c r="D99" s="7"/>
      <c r="E99" s="2"/>
      <c r="F99" s="6">
        <f t="shared" si="51"/>
        <v>0</v>
      </c>
      <c r="G99" s="2"/>
      <c r="H99" s="7">
        <v>65.66</v>
      </c>
      <c r="I99" s="2"/>
      <c r="J99" s="6">
        <f t="shared" si="52"/>
        <v>3.0225192877791907E-3</v>
      </c>
      <c r="K99" s="2"/>
      <c r="L99" s="7">
        <f t="shared" si="53"/>
        <v>-65.66</v>
      </c>
      <c r="M99" s="2"/>
      <c r="N99" s="6">
        <f t="shared" si="54"/>
        <v>-1</v>
      </c>
      <c r="O99" s="11"/>
      <c r="P99" s="7">
        <v>-157.5</v>
      </c>
      <c r="Q99" s="2"/>
      <c r="R99" s="6">
        <f t="shared" si="55"/>
        <v>-7.3902304438079732E-3</v>
      </c>
      <c r="S99" s="2"/>
      <c r="T99" s="7">
        <v>966.69</v>
      </c>
      <c r="U99" s="2"/>
      <c r="V99" s="6">
        <f t="shared" si="56"/>
        <v>3.5957270403181611E-3</v>
      </c>
      <c r="W99" s="2"/>
      <c r="X99" s="7">
        <f t="shared" si="57"/>
        <v>-1124.19</v>
      </c>
      <c r="Y99" s="2"/>
      <c r="Z99" s="6">
        <f t="shared" si="58"/>
        <v>-1.1629271017596128</v>
      </c>
    </row>
    <row r="100" spans="1:26" s="25" customFormat="1" outlineLevel="1" collapsed="1" x14ac:dyDescent="0.25">
      <c r="A100" s="26"/>
      <c r="B100" s="13" t="str">
        <f>CONCATENATE("     ","Supplies                                          ")</f>
        <v xml:space="preserve">     Supplies                                          </v>
      </c>
      <c r="C100" s="13"/>
      <c r="D100" s="1">
        <f>SUM(OSRRefD22_9x_0)</f>
        <v>0</v>
      </c>
      <c r="E100" s="1"/>
      <c r="F100" s="5">
        <f t="shared" ref="F100:F103" si="59">IF(D$12=0,0,D100/D$12)</f>
        <v>0</v>
      </c>
      <c r="G100" s="1"/>
      <c r="H100" s="1">
        <f>SUM(OSRRefH22_9x_0)</f>
        <v>230.66</v>
      </c>
      <c r="I100" s="1"/>
      <c r="J100" s="5">
        <f t="shared" ref="J100:J103" si="60">IF(H$12=0,0,H100/H$12)</f>
        <v>1.0617945460236797E-2</v>
      </c>
      <c r="K100" s="1"/>
      <c r="L100" s="1">
        <f t="shared" ref="L100:L103" si="61">+D100-H100</f>
        <v>-230.66</v>
      </c>
      <c r="M100" s="1"/>
      <c r="N100" s="5">
        <f t="shared" ref="N100:N103" si="62">IF(H100=0,0,L100/H100)</f>
        <v>-1</v>
      </c>
      <c r="O100" s="13"/>
      <c r="P100" s="1">
        <f>SUM(OSRRefP22_9x_0)</f>
        <v>1892.27</v>
      </c>
      <c r="Q100" s="1"/>
      <c r="R100" s="5">
        <f t="shared" ref="R100:R103" si="63">IF(P$12=0,0,P100/P$12)</f>
        <v>8.8789278488282622E-2</v>
      </c>
      <c r="S100" s="1"/>
      <c r="T100" s="1">
        <f>SUM(OSRRefT22_9x_0)</f>
        <v>1208.83</v>
      </c>
      <c r="U100" s="1"/>
      <c r="V100" s="5">
        <f t="shared" ref="V100:V103" si="64">IF(T$12=0,0,T100/T$12)</f>
        <v>4.496397726414675E-3</v>
      </c>
      <c r="W100" s="1"/>
      <c r="X100" s="1">
        <f t="shared" ref="X100:X103" si="65">+P100-T100</f>
        <v>683.44</v>
      </c>
      <c r="Y100" s="1"/>
      <c r="Z100" s="5">
        <f t="shared" ref="Z100:Z103" si="66">IF(T100=0,0,X100/T100)</f>
        <v>0.56537312938957507</v>
      </c>
    </row>
    <row r="101" spans="1:26" s="24" customFormat="1" hidden="1" outlineLevel="2" x14ac:dyDescent="0.25">
      <c r="A101" s="27"/>
      <c r="B101" s="11" t="str">
        <f>CONCATENATE("          ", "6235", " - ", "COVID-19 EXPENSES")</f>
        <v xml:space="preserve">          6235 - COVID-19 EXPENSES</v>
      </c>
      <c r="C101" s="11"/>
      <c r="D101" s="7"/>
      <c r="E101" s="2"/>
      <c r="F101" s="6">
        <f t="shared" si="59"/>
        <v>0</v>
      </c>
      <c r="G101" s="2"/>
      <c r="H101" s="7"/>
      <c r="I101" s="2"/>
      <c r="J101" s="6">
        <f t="shared" si="60"/>
        <v>0</v>
      </c>
      <c r="K101" s="2"/>
      <c r="L101" s="7">
        <f t="shared" si="61"/>
        <v>0</v>
      </c>
      <c r="M101" s="2"/>
      <c r="N101" s="6">
        <f t="shared" si="62"/>
        <v>0</v>
      </c>
      <c r="O101" s="11"/>
      <c r="P101" s="7">
        <v>444.3</v>
      </c>
      <c r="Q101" s="2"/>
      <c r="R101" s="6">
        <f t="shared" si="63"/>
        <v>2.0847488166246871E-2</v>
      </c>
      <c r="S101" s="2"/>
      <c r="T101" s="7"/>
      <c r="U101" s="2"/>
      <c r="V101" s="6">
        <f t="shared" si="64"/>
        <v>0</v>
      </c>
      <c r="W101" s="2"/>
      <c r="X101" s="7">
        <f t="shared" si="65"/>
        <v>444.3</v>
      </c>
      <c r="Y101" s="2"/>
      <c r="Z101" s="6">
        <f t="shared" si="66"/>
        <v>0</v>
      </c>
    </row>
    <row r="102" spans="1:26" s="24" customFormat="1" hidden="1" outlineLevel="2" x14ac:dyDescent="0.25">
      <c r="A102" s="27"/>
      <c r="B102" s="11" t="str">
        <f>CONCATENATE("          ", "6241", " - ", "OFFICE EXPENSE")</f>
        <v xml:space="preserve">          6241 - OFFICE EXPENSE</v>
      </c>
      <c r="C102" s="11"/>
      <c r="D102" s="7"/>
      <c r="E102" s="2"/>
      <c r="F102" s="6">
        <f t="shared" si="59"/>
        <v>0</v>
      </c>
      <c r="G102" s="2"/>
      <c r="H102" s="7">
        <v>231.06</v>
      </c>
      <c r="I102" s="2"/>
      <c r="J102" s="6">
        <f t="shared" si="60"/>
        <v>1.063635861459427E-2</v>
      </c>
      <c r="K102" s="2"/>
      <c r="L102" s="7">
        <f t="shared" si="61"/>
        <v>-231.06</v>
      </c>
      <c r="M102" s="2"/>
      <c r="N102" s="6">
        <f t="shared" si="62"/>
        <v>-1</v>
      </c>
      <c r="O102" s="11"/>
      <c r="P102" s="7">
        <v>225.24</v>
      </c>
      <c r="Q102" s="2"/>
      <c r="R102" s="6">
        <f t="shared" si="63"/>
        <v>1.056873336611624E-2</v>
      </c>
      <c r="S102" s="2"/>
      <c r="T102" s="7">
        <v>1209.33</v>
      </c>
      <c r="U102" s="2"/>
      <c r="V102" s="6">
        <f t="shared" si="64"/>
        <v>4.4982575403365727E-3</v>
      </c>
      <c r="W102" s="2"/>
      <c r="X102" s="7">
        <f t="shared" si="65"/>
        <v>-984.08999999999992</v>
      </c>
      <c r="Y102" s="2"/>
      <c r="Z102" s="6">
        <f t="shared" si="66"/>
        <v>-0.81374810845674872</v>
      </c>
    </row>
    <row r="103" spans="1:26" s="24" customFormat="1" hidden="1" outlineLevel="2" x14ac:dyDescent="0.25">
      <c r="A103" s="27"/>
      <c r="B103" s="11" t="str">
        <f>CONCATENATE("          ", "6247", " - ", "STORE SUPPLIES")</f>
        <v xml:space="preserve">          6247 - STORE SUPPLIES</v>
      </c>
      <c r="C103" s="11"/>
      <c r="D103" s="7"/>
      <c r="E103" s="2"/>
      <c r="F103" s="6">
        <f t="shared" si="59"/>
        <v>0</v>
      </c>
      <c r="G103" s="2"/>
      <c r="H103" s="7">
        <v>-0.4</v>
      </c>
      <c r="I103" s="2"/>
      <c r="J103" s="6">
        <f t="shared" si="60"/>
        <v>-1.8413154357472989E-5</v>
      </c>
      <c r="K103" s="2"/>
      <c r="L103" s="7">
        <f t="shared" si="61"/>
        <v>0.4</v>
      </c>
      <c r="M103" s="2"/>
      <c r="N103" s="6">
        <f t="shared" si="62"/>
        <v>-1</v>
      </c>
      <c r="O103" s="11"/>
      <c r="P103" s="7">
        <v>1222.73</v>
      </c>
      <c r="Q103" s="2"/>
      <c r="R103" s="6">
        <f t="shared" si="63"/>
        <v>5.7373056955919509E-2</v>
      </c>
      <c r="S103" s="2"/>
      <c r="T103" s="7">
        <v>-0.5</v>
      </c>
      <c r="U103" s="2"/>
      <c r="V103" s="6">
        <f t="shared" si="64"/>
        <v>-1.8598139218974856E-6</v>
      </c>
      <c r="W103" s="2"/>
      <c r="X103" s="7">
        <f t="shared" si="65"/>
        <v>1223.23</v>
      </c>
      <c r="Y103" s="2"/>
      <c r="Z103" s="6">
        <f t="shared" si="66"/>
        <v>-2446.46</v>
      </c>
    </row>
    <row r="104" spans="1:26" s="25" customFormat="1" outlineLevel="1" collapsed="1" x14ac:dyDescent="0.25">
      <c r="A104" s="26"/>
      <c r="B104" s="13" t="str">
        <f>CONCATENATE("     ","Telephone/Data Lines                              ")</f>
        <v xml:space="preserve">     Telephone/Data Lines                              </v>
      </c>
      <c r="C104" s="13"/>
      <c r="D104" s="1">
        <f>SUM(OSRRefD22_10x_0)</f>
        <v>53</v>
      </c>
      <c r="E104" s="1"/>
      <c r="F104" s="5">
        <f t="shared" ref="F104:F107" si="67">IF(D$12=0,0,D104/D$12)</f>
        <v>0</v>
      </c>
      <c r="G104" s="1"/>
      <c r="H104" s="1">
        <f>SUM(OSRRefH22_10x_0)</f>
        <v>87.84</v>
      </c>
      <c r="I104" s="1"/>
      <c r="J104" s="5">
        <f t="shared" ref="J104:J107" si="68">IF(H$12=0,0,H104/H$12)</f>
        <v>4.0435286969010683E-3</v>
      </c>
      <c r="K104" s="1"/>
      <c r="L104" s="1">
        <f t="shared" ref="L104:L107" si="69">+D104-H104</f>
        <v>-34.840000000000003</v>
      </c>
      <c r="M104" s="1"/>
      <c r="N104" s="5">
        <f t="shared" ref="N104:N107" si="70">IF(H104=0,0,L104/H104)</f>
        <v>-0.39663023679417125</v>
      </c>
      <c r="O104" s="13"/>
      <c r="P104" s="1">
        <f>SUM(OSRRefP22_10x_0)</f>
        <v>366.05</v>
      </c>
      <c r="Q104" s="1"/>
      <c r="R104" s="5">
        <f t="shared" ref="R104:R107" si="71">IF(P$12=0,0,P104/P$12)</f>
        <v>1.7175833993370849E-2</v>
      </c>
      <c r="S104" s="1"/>
      <c r="T104" s="1">
        <f>SUM(OSRRefT22_10x_0)</f>
        <v>576.57000000000005</v>
      </c>
      <c r="U104" s="1"/>
      <c r="V104" s="5">
        <f t="shared" ref="V104:V107" si="72">IF(T$12=0,0,T104/T$12)</f>
        <v>2.1446258258968668E-3</v>
      </c>
      <c r="W104" s="1"/>
      <c r="X104" s="1">
        <f t="shared" ref="X104:X107" si="73">+P104-T104</f>
        <v>-210.52000000000004</v>
      </c>
      <c r="Y104" s="1"/>
      <c r="Z104" s="5">
        <f t="shared" ref="Z104:Z107" si="74">IF(T104=0,0,X104/T104)</f>
        <v>-0.36512478970463258</v>
      </c>
    </row>
    <row r="105" spans="1:26" s="24" customFormat="1" hidden="1" outlineLevel="2" x14ac:dyDescent="0.25">
      <c r="A105" s="27"/>
      <c r="B105" s="11" t="str">
        <f>CONCATENATE("          ", "6309", " - ", "TELEPHONE")</f>
        <v xml:space="preserve">          6309 - TELEPHONE</v>
      </c>
      <c r="C105" s="11"/>
      <c r="D105" s="7">
        <v>53</v>
      </c>
      <c r="E105" s="2"/>
      <c r="F105" s="6">
        <f t="shared" si="67"/>
        <v>0</v>
      </c>
      <c r="G105" s="2"/>
      <c r="H105" s="7">
        <v>87.84</v>
      </c>
      <c r="I105" s="2"/>
      <c r="J105" s="6">
        <f t="shared" si="68"/>
        <v>4.0435286969010683E-3</v>
      </c>
      <c r="K105" s="2"/>
      <c r="L105" s="7">
        <f t="shared" si="69"/>
        <v>-34.840000000000003</v>
      </c>
      <c r="M105" s="2"/>
      <c r="N105" s="6">
        <f t="shared" si="70"/>
        <v>-0.39663023679417125</v>
      </c>
      <c r="O105" s="11"/>
      <c r="P105" s="7">
        <v>366.05</v>
      </c>
      <c r="Q105" s="2"/>
      <c r="R105" s="6">
        <f t="shared" si="71"/>
        <v>1.7175833993370849E-2</v>
      </c>
      <c r="S105" s="2"/>
      <c r="T105" s="7">
        <v>576.57000000000005</v>
      </c>
      <c r="U105" s="2"/>
      <c r="V105" s="6">
        <f t="shared" si="72"/>
        <v>2.1446258258968668E-3</v>
      </c>
      <c r="W105" s="2"/>
      <c r="X105" s="7">
        <f t="shared" si="73"/>
        <v>-210.52000000000004</v>
      </c>
      <c r="Y105" s="2"/>
      <c r="Z105" s="6">
        <f t="shared" si="74"/>
        <v>-0.36512478970463258</v>
      </c>
    </row>
    <row r="106" spans="1:26" s="25" customFormat="1" outlineLevel="1" collapsed="1" x14ac:dyDescent="0.25">
      <c r="A106" s="26"/>
      <c r="B106" s="13" t="str">
        <f>CONCATENATE("     ","Training                                          ")</f>
        <v xml:space="preserve">     Training                                          </v>
      </c>
      <c r="C106" s="13"/>
      <c r="D106" s="1">
        <f>SUM(OSRRefD22_11x_0)</f>
        <v>0</v>
      </c>
      <c r="E106" s="1"/>
      <c r="F106" s="5">
        <f t="shared" si="67"/>
        <v>0</v>
      </c>
      <c r="G106" s="1"/>
      <c r="H106" s="1">
        <f>SUM(OSRRefH22_11x_0)</f>
        <v>0</v>
      </c>
      <c r="I106" s="1"/>
      <c r="J106" s="5">
        <f t="shared" si="68"/>
        <v>0</v>
      </c>
      <c r="K106" s="1"/>
      <c r="L106" s="1">
        <f t="shared" si="69"/>
        <v>0</v>
      </c>
      <c r="M106" s="1"/>
      <c r="N106" s="5">
        <f t="shared" si="70"/>
        <v>0</v>
      </c>
      <c r="O106" s="13"/>
      <c r="P106" s="1">
        <f>SUM(OSRRefP22_11x_0)</f>
        <v>14</v>
      </c>
      <c r="Q106" s="1"/>
      <c r="R106" s="5">
        <f t="shared" si="71"/>
        <v>6.5690937278293094E-4</v>
      </c>
      <c r="S106" s="1"/>
      <c r="T106" s="1">
        <f>SUM(OSRRefT22_11x_0)</f>
        <v>80</v>
      </c>
      <c r="U106" s="1"/>
      <c r="V106" s="5">
        <f t="shared" si="72"/>
        <v>2.9757022750359771E-4</v>
      </c>
      <c r="W106" s="1"/>
      <c r="X106" s="1">
        <f t="shared" si="73"/>
        <v>-66</v>
      </c>
      <c r="Y106" s="1"/>
      <c r="Z106" s="5">
        <f t="shared" si="74"/>
        <v>-0.82499999999999996</v>
      </c>
    </row>
    <row r="107" spans="1:26" s="24" customFormat="1" hidden="1" outlineLevel="2" x14ac:dyDescent="0.25">
      <c r="A107" s="27"/>
      <c r="B107" s="11" t="str">
        <f>CONCATENATE("          ", "6376", " - ", "TRAINING")</f>
        <v xml:space="preserve">          6376 - TRAINING</v>
      </c>
      <c r="C107" s="11"/>
      <c r="D107" s="7"/>
      <c r="E107" s="2"/>
      <c r="F107" s="6">
        <f t="shared" si="67"/>
        <v>0</v>
      </c>
      <c r="G107" s="2"/>
      <c r="H107" s="7"/>
      <c r="I107" s="2"/>
      <c r="J107" s="6">
        <f t="shared" si="68"/>
        <v>0</v>
      </c>
      <c r="K107" s="2"/>
      <c r="L107" s="7">
        <f t="shared" si="69"/>
        <v>0</v>
      </c>
      <c r="M107" s="2"/>
      <c r="N107" s="6">
        <f t="shared" si="70"/>
        <v>0</v>
      </c>
      <c r="O107" s="11"/>
      <c r="P107" s="7">
        <v>14</v>
      </c>
      <c r="Q107" s="2"/>
      <c r="R107" s="6">
        <f t="shared" si="71"/>
        <v>6.5690937278293094E-4</v>
      </c>
      <c r="S107" s="2"/>
      <c r="T107" s="7">
        <v>80</v>
      </c>
      <c r="U107" s="2"/>
      <c r="V107" s="6">
        <f t="shared" si="72"/>
        <v>2.9757022750359771E-4</v>
      </c>
      <c r="W107" s="2"/>
      <c r="X107" s="7">
        <f t="shared" si="73"/>
        <v>-66</v>
      </c>
      <c r="Y107" s="2"/>
      <c r="Z107" s="6">
        <f t="shared" si="74"/>
        <v>-0.82499999999999996</v>
      </c>
    </row>
    <row r="108" spans="1:26" s="55" customFormat="1" x14ac:dyDescent="0.25">
      <c r="A108" s="37"/>
      <c r="B108" s="37"/>
      <c r="C108" s="37"/>
      <c r="D108" s="1"/>
      <c r="E108" s="1"/>
      <c r="F108" s="5"/>
      <c r="G108" s="1"/>
      <c r="H108" s="1"/>
      <c r="I108" s="1"/>
      <c r="J108" s="5"/>
      <c r="K108" s="1"/>
      <c r="L108" s="1"/>
      <c r="M108" s="1"/>
      <c r="N108" s="5"/>
      <c r="O108" s="37"/>
      <c r="P108" s="1"/>
      <c r="Q108" s="1"/>
      <c r="R108" s="5"/>
      <c r="S108" s="1"/>
      <c r="T108" s="1"/>
      <c r="U108" s="1"/>
      <c r="V108" s="5"/>
      <c r="W108" s="1"/>
      <c r="X108" s="1"/>
      <c r="Y108" s="1"/>
      <c r="Z108" s="5"/>
    </row>
    <row r="109" spans="1:26" s="23" customFormat="1" collapsed="1" x14ac:dyDescent="0.25">
      <c r="A109" s="10"/>
      <c r="B109" s="29" t="s">
        <v>0</v>
      </c>
      <c r="C109" s="10"/>
      <c r="D109" s="4">
        <f>SUM(OSRRefD25x_0)</f>
        <v>0</v>
      </c>
      <c r="E109" s="4"/>
      <c r="F109" s="12">
        <f t="shared" ref="F109:F110" si="75">IF(D$12=0,0,D109/D$12)</f>
        <v>0</v>
      </c>
      <c r="G109" s="4"/>
      <c r="H109" s="4">
        <f>SUM(OSRRefH25x_0)</f>
        <v>68.760000000000005</v>
      </c>
      <c r="I109" s="4"/>
      <c r="J109" s="12">
        <f t="shared" ref="J109:J110" si="76">IF(H$12=0,0,H109/H$12)</f>
        <v>3.1652212340496067E-3</v>
      </c>
      <c r="K109" s="4"/>
      <c r="L109" s="4">
        <f t="shared" ref="L109:L110" si="77">+D109-H109</f>
        <v>-68.760000000000005</v>
      </c>
      <c r="M109" s="4"/>
      <c r="N109" s="12">
        <f t="shared" ref="N109:N110" si="78">IF(H109=0,0,L109/H109)</f>
        <v>-1</v>
      </c>
      <c r="O109" s="10"/>
      <c r="P109" s="4">
        <f>SUM(OSRRefP25x_0)</f>
        <v>0</v>
      </c>
      <c r="Q109" s="4"/>
      <c r="R109" s="12">
        <f t="shared" ref="R109:R110" si="79">IF(P$12=0,0,P109/P$12)</f>
        <v>0</v>
      </c>
      <c r="S109" s="4"/>
      <c r="T109" s="4">
        <f>SUM(OSRRefT25x_0)</f>
        <v>68.760000000000005</v>
      </c>
      <c r="U109" s="4"/>
      <c r="V109" s="12">
        <f t="shared" ref="V109:V110" si="80">IF(T$12=0,0,T109/T$12)</f>
        <v>2.5576161053934225E-4</v>
      </c>
      <c r="W109" s="4"/>
      <c r="X109" s="4">
        <f t="shared" ref="X109:X110" si="81">+P109-T109</f>
        <v>-68.760000000000005</v>
      </c>
      <c r="Y109" s="4"/>
      <c r="Z109" s="12">
        <f t="shared" ref="Z109:Z110" si="82">IF(T109=0,0,X109/T109)</f>
        <v>-1</v>
      </c>
    </row>
    <row r="110" spans="1:26" s="24" customFormat="1" hidden="1" outlineLevel="1" x14ac:dyDescent="0.25">
      <c r="A110" s="44"/>
      <c r="B110" s="11" t="str">
        <f>CONCATENATE("          ", "9150", " - ", "MISC. INCOME")</f>
        <v xml:space="preserve">          9150 - MISC. INCOME</v>
      </c>
      <c r="C110" s="11"/>
      <c r="D110" s="2">
        <f>0</f>
        <v>0</v>
      </c>
      <c r="E110" s="2"/>
      <c r="F110" s="19">
        <f t="shared" si="75"/>
        <v>0</v>
      </c>
      <c r="G110" s="2"/>
      <c r="H110" s="2">
        <f>--68.76</f>
        <v>68.760000000000005</v>
      </c>
      <c r="I110" s="2"/>
      <c r="J110" s="19">
        <f t="shared" si="76"/>
        <v>3.1652212340496067E-3</v>
      </c>
      <c r="K110" s="2"/>
      <c r="L110" s="2">
        <f t="shared" si="77"/>
        <v>-68.760000000000005</v>
      </c>
      <c r="M110" s="2"/>
      <c r="N110" s="19">
        <f t="shared" si="78"/>
        <v>-1</v>
      </c>
      <c r="O110" s="11"/>
      <c r="P110" s="2">
        <f>0</f>
        <v>0</v>
      </c>
      <c r="Q110" s="2"/>
      <c r="R110" s="19">
        <f t="shared" si="79"/>
        <v>0</v>
      </c>
      <c r="S110" s="2"/>
      <c r="T110" s="2">
        <f>--68.76</f>
        <v>68.760000000000005</v>
      </c>
      <c r="U110" s="2"/>
      <c r="V110" s="19">
        <f t="shared" si="80"/>
        <v>2.5576161053934225E-4</v>
      </c>
      <c r="W110" s="2"/>
      <c r="X110" s="2">
        <f t="shared" si="81"/>
        <v>-68.760000000000005</v>
      </c>
      <c r="Y110" s="2"/>
      <c r="Z110" s="19">
        <f t="shared" si="82"/>
        <v>-1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8" t="s">
        <v>3</v>
      </c>
      <c r="C112" s="28"/>
      <c r="D112" s="20">
        <f>+D66-D68+D109</f>
        <v>214.81</v>
      </c>
      <c r="E112" s="14"/>
      <c r="F112" s="21">
        <f>IF(D$12=0,0,D112/D$12)</f>
        <v>0</v>
      </c>
      <c r="G112" s="14"/>
      <c r="H112" s="20">
        <f>+H66-H68+H109</f>
        <v>328.52999999998951</v>
      </c>
      <c r="I112" s="14"/>
      <c r="J112" s="21">
        <f>IF(H$12=0,0,H112/H$12)</f>
        <v>1.5123184002651018E-2</v>
      </c>
      <c r="K112" s="15"/>
      <c r="L112" s="20">
        <f>+D112-H112</f>
        <v>-113.71999999998951</v>
      </c>
      <c r="M112" s="15"/>
      <c r="N112" s="21">
        <f>IF(H112=0,0,L112/H112)</f>
        <v>-0.3461479925729557</v>
      </c>
      <c r="O112" s="29"/>
      <c r="P112" s="20">
        <f>+P66-P68+P109</f>
        <v>-4827.5699999999924</v>
      </c>
      <c r="Q112" s="14"/>
      <c r="R112" s="21">
        <f>IF(P$12=0,0,P112/P$12)</f>
        <v>-0.22651971291183493</v>
      </c>
      <c r="S112" s="14"/>
      <c r="T112" s="20">
        <f>+T66-T68+T109</f>
        <v>57056.510000000075</v>
      </c>
      <c r="U112" s="14"/>
      <c r="V112" s="21">
        <f>IF(T$12=0,0,T112/T$12)</f>
        <v>0.2122289832657665</v>
      </c>
      <c r="W112" s="15"/>
      <c r="X112" s="20">
        <f>+P112-T112</f>
        <v>-61884.080000000067</v>
      </c>
      <c r="Y112" s="15"/>
      <c r="Z112" s="21">
        <f>IF(T112=0,0,X112/T112)</f>
        <v>-1.0846103275507035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1"/>
      <c r="B114" s="10" t="s">
        <v>13</v>
      </c>
      <c r="C114" s="10"/>
      <c r="D114" s="4">
        <v>556.70000000000005</v>
      </c>
      <c r="E114" s="4"/>
      <c r="F114" s="12">
        <f>IF(D$12=0,0,D114/D$12)</f>
        <v>0</v>
      </c>
      <c r="G114" s="4"/>
      <c r="H114" s="4">
        <v>2868.84</v>
      </c>
      <c r="I114" s="4"/>
      <c r="J114" s="12">
        <f>IF(H$12=0,0,H114/H$12)</f>
        <v>0.13206098436723201</v>
      </c>
      <c r="K114" s="4"/>
      <c r="L114" s="4">
        <f>+D114-H114</f>
        <v>-2312.1400000000003</v>
      </c>
      <c r="M114" s="4"/>
      <c r="N114" s="12">
        <f>IF(H114=0,0,L114/H114)</f>
        <v>-0.80594944298043814</v>
      </c>
      <c r="O114" s="10"/>
      <c r="P114" s="4">
        <v>3943.16</v>
      </c>
      <c r="Q114" s="4"/>
      <c r="R114" s="12">
        <f>IF(P$12=0,0,P114/P$12)</f>
        <v>0.18502134017019584</v>
      </c>
      <c r="S114" s="4"/>
      <c r="T114" s="4">
        <v>29037.230000000003</v>
      </c>
      <c r="U114" s="4"/>
      <c r="V114" s="12">
        <f>IF(T$12=0,0,T114/T$12)</f>
        <v>0.10800768921467867</v>
      </c>
      <c r="W114" s="4"/>
      <c r="X114" s="4">
        <f>+P114-T114</f>
        <v>-25094.070000000003</v>
      </c>
      <c r="Y114" s="4"/>
      <c r="Z114" s="12">
        <f>IF(T114=0,0,X114/T114)</f>
        <v>-0.86420330038367987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8" t="s">
        <v>4</v>
      </c>
      <c r="C116" s="28"/>
      <c r="D116" s="33">
        <f>+D112-D114</f>
        <v>-341.89000000000004</v>
      </c>
      <c r="E116" s="14"/>
      <c r="F116" s="34">
        <f>IF(D$12=0,0,D116/D$12)</f>
        <v>0</v>
      </c>
      <c r="G116" s="14"/>
      <c r="H116" s="33">
        <f>+H112-H114</f>
        <v>-2540.3100000000104</v>
      </c>
      <c r="I116" s="14"/>
      <c r="J116" s="34">
        <f>IF(H$12=0,0,H116/H$12)</f>
        <v>-0.11693780036458098</v>
      </c>
      <c r="K116" s="15"/>
      <c r="L116" s="33">
        <f>D116-H116</f>
        <v>2198.4200000000105</v>
      </c>
      <c r="M116" s="15"/>
      <c r="N116" s="34">
        <f>IF(H116=0,0,L116/H116)</f>
        <v>-0.86541406363790307</v>
      </c>
      <c r="O116" s="29"/>
      <c r="P116" s="33">
        <f>+P112-P114</f>
        <v>-8770.7299999999923</v>
      </c>
      <c r="Q116" s="14"/>
      <c r="R116" s="34">
        <f>IF(P$12=0,0,P116/P$12)</f>
        <v>-0.41154105308203076</v>
      </c>
      <c r="S116" s="14"/>
      <c r="T116" s="33">
        <f>+T112-T114</f>
        <v>28019.280000000072</v>
      </c>
      <c r="U116" s="14"/>
      <c r="V116" s="34">
        <f>IF(T$12=0,0,T116/T$12)</f>
        <v>0.10422129405108783</v>
      </c>
      <c r="W116" s="15"/>
      <c r="X116" s="33">
        <f>P116-T116</f>
        <v>-36790.010000000068</v>
      </c>
      <c r="Y116" s="15"/>
      <c r="Z116" s="34">
        <f>IF(T116=0,0,X116/T116)</f>
        <v>-1.3130248171973002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8" t="s">
        <v>5</v>
      </c>
      <c r="C119" s="28"/>
      <c r="D119" s="30">
        <f>SUM(D116:D118)</f>
        <v>-341.89000000000004</v>
      </c>
      <c r="E119" s="14"/>
      <c r="F119" s="32">
        <f>IF(D$12=0,0,D119/D$12)</f>
        <v>0</v>
      </c>
      <c r="G119" s="14"/>
      <c r="H119" s="30">
        <f>SUM(H116:H118)</f>
        <v>-2540.3100000000104</v>
      </c>
      <c r="I119" s="14"/>
      <c r="J119" s="32">
        <f>IF(H$12=0,0,H119/H$12)</f>
        <v>-0.11693780036458098</v>
      </c>
      <c r="K119" s="15"/>
      <c r="L119" s="30">
        <f>+D119-H119</f>
        <v>2198.4200000000105</v>
      </c>
      <c r="M119" s="15"/>
      <c r="N119" s="32">
        <f>IF(H119=0,0,L119/H119)</f>
        <v>-0.86541406363790307</v>
      </c>
      <c r="O119" s="29"/>
      <c r="P119" s="30">
        <f>SUM(P116:P118)</f>
        <v>-8770.7299999999923</v>
      </c>
      <c r="Q119" s="14"/>
      <c r="R119" s="32">
        <f>IF(P$12=0,0,P119/P$12)</f>
        <v>-0.41154105308203076</v>
      </c>
      <c r="S119" s="14"/>
      <c r="T119" s="30">
        <f>SUM(T116:T118)</f>
        <v>28019.280000000072</v>
      </c>
      <c r="U119" s="14"/>
      <c r="V119" s="32">
        <f>IF(T$12=0,0,T119/T$12)</f>
        <v>0.10422129405108783</v>
      </c>
      <c r="W119" s="15"/>
      <c r="X119" s="30">
        <f>+P119-T119</f>
        <v>-36790.010000000068</v>
      </c>
      <c r="Y119" s="15"/>
      <c r="Z119" s="32">
        <f>IF(T119=0,0,X119/T119)</f>
        <v>-1.3130248171973002</v>
      </c>
    </row>
    <row r="120" spans="1:26" ht="15.75" thickTop="1" x14ac:dyDescent="0.25">
      <c r="A120" s="9"/>
      <c r="C120" s="9"/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25">
      <c r="A121" s="9"/>
      <c r="B121" s="58">
        <v>44209.521734837967</v>
      </c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25">
      <c r="A122" s="9"/>
      <c r="B122" s="61" t="s">
        <v>313</v>
      </c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25">
      <c r="A123" s="9"/>
      <c r="B123" s="57"/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  <row r="124" spans="1:26" x14ac:dyDescent="0.25"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","314", " - ", "Tech/Supplies")</f>
        <v>Department 314 - Tech/Supplies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22472.85</v>
      </c>
      <c r="I12" s="4"/>
      <c r="J12" s="12"/>
      <c r="K12" s="4"/>
      <c r="L12" s="4">
        <f t="shared" ref="L12:L32" si="0">+D12-H12</f>
        <v>-22472.85</v>
      </c>
      <c r="M12" s="4"/>
      <c r="N12" s="12">
        <f t="shared" ref="N12:N32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247133.21000000002</v>
      </c>
      <c r="U12" s="4"/>
      <c r="V12" s="12"/>
      <c r="W12" s="4"/>
      <c r="X12" s="4">
        <f t="shared" ref="X12:X32" si="2">+P12-T12</f>
        <v>-247133.21000000002</v>
      </c>
      <c r="Y12" s="4"/>
      <c r="Z12" s="12">
        <f t="shared" ref="Z12:Z32" si="3">IF(T12=0,0,X12/T12)</f>
        <v>-1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 t="shared" ref="D13:D32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32" si="6">0</f>
        <v>0</v>
      </c>
      <c r="Q13" s="2"/>
      <c r="R13" s="19"/>
      <c r="S13" s="2"/>
      <c r="T13" s="2">
        <f>--209.2</f>
        <v>209.2</v>
      </c>
      <c r="U13" s="2"/>
      <c r="V13" s="19"/>
      <c r="W13" s="2"/>
      <c r="X13" s="2">
        <f t="shared" si="2"/>
        <v>-209.2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6"/>
        <v>0</v>
      </c>
      <c r="Q14" s="2"/>
      <c r="R14" s="19"/>
      <c r="S14" s="2"/>
      <c r="T14" s="2">
        <f>--33.88</f>
        <v>33.880000000000003</v>
      </c>
      <c r="U14" s="2"/>
      <c r="V14" s="19"/>
      <c r="W14" s="2"/>
      <c r="X14" s="2">
        <f t="shared" si="2"/>
        <v>-33.880000000000003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4"/>
        <v>0</v>
      </c>
      <c r="E15" s="2"/>
      <c r="F15" s="19"/>
      <c r="G15" s="2"/>
      <c r="H15" s="2">
        <f>--5292.54</f>
        <v>5292.54</v>
      </c>
      <c r="I15" s="2"/>
      <c r="J15" s="19"/>
      <c r="K15" s="2"/>
      <c r="L15" s="2">
        <f t="shared" si="0"/>
        <v>-5292.54</v>
      </c>
      <c r="M15" s="2"/>
      <c r="N15" s="19">
        <f t="shared" si="1"/>
        <v>-1</v>
      </c>
      <c r="O15" s="11"/>
      <c r="P15" s="2">
        <f t="shared" si="6"/>
        <v>0</v>
      </c>
      <c r="Q15" s="2"/>
      <c r="R15" s="19"/>
      <c r="S15" s="2"/>
      <c r="T15" s="2">
        <f>--33528.09</f>
        <v>33528.089999999997</v>
      </c>
      <c r="U15" s="2"/>
      <c r="V15" s="19"/>
      <c r="W15" s="2"/>
      <c r="X15" s="2">
        <f t="shared" si="2"/>
        <v>-33528.089999999997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 t="shared" si="4"/>
        <v>0</v>
      </c>
      <c r="E16" s="2"/>
      <c r="F16" s="19"/>
      <c r="G16" s="2"/>
      <c r="H16" s="2">
        <f>--5746.25</f>
        <v>5746.25</v>
      </c>
      <c r="I16" s="2"/>
      <c r="J16" s="19"/>
      <c r="K16" s="2"/>
      <c r="L16" s="2">
        <f t="shared" si="0"/>
        <v>-5746.25</v>
      </c>
      <c r="M16" s="2"/>
      <c r="N16" s="19">
        <f t="shared" si="1"/>
        <v>-1</v>
      </c>
      <c r="O16" s="11"/>
      <c r="P16" s="2">
        <f t="shared" si="6"/>
        <v>0</v>
      </c>
      <c r="Q16" s="2"/>
      <c r="R16" s="19"/>
      <c r="S16" s="2"/>
      <c r="T16" s="2">
        <f>--45820.98</f>
        <v>45820.98</v>
      </c>
      <c r="U16" s="2"/>
      <c r="V16" s="19"/>
      <c r="W16" s="2"/>
      <c r="X16" s="2">
        <f t="shared" si="2"/>
        <v>-45820.98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 t="shared" si="4"/>
        <v>0</v>
      </c>
      <c r="E17" s="2"/>
      <c r="F17" s="19"/>
      <c r="G17" s="2"/>
      <c r="H17" s="2">
        <f>--10317.01</f>
        <v>10317.01</v>
      </c>
      <c r="I17" s="2"/>
      <c r="J17" s="19"/>
      <c r="K17" s="2"/>
      <c r="L17" s="2">
        <f t="shared" si="0"/>
        <v>-10317.01</v>
      </c>
      <c r="M17" s="2"/>
      <c r="N17" s="19">
        <f t="shared" si="1"/>
        <v>-1</v>
      </c>
      <c r="O17" s="11"/>
      <c r="P17" s="2">
        <f t="shared" si="6"/>
        <v>0</v>
      </c>
      <c r="Q17" s="2"/>
      <c r="R17" s="19"/>
      <c r="S17" s="2"/>
      <c r="T17" s="2">
        <f>--159493.64</f>
        <v>159493.64000000001</v>
      </c>
      <c r="U17" s="2"/>
      <c r="V17" s="19"/>
      <c r="W17" s="2"/>
      <c r="X17" s="2">
        <f t="shared" si="2"/>
        <v>-159493.64000000001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 t="shared" si="4"/>
        <v>0</v>
      </c>
      <c r="E18" s="2"/>
      <c r="F18" s="19"/>
      <c r="G18" s="2"/>
      <c r="H18" s="2">
        <f>--1001.73</f>
        <v>1001.73</v>
      </c>
      <c r="I18" s="2"/>
      <c r="J18" s="19"/>
      <c r="K18" s="2"/>
      <c r="L18" s="2">
        <f t="shared" si="0"/>
        <v>-1001.73</v>
      </c>
      <c r="M18" s="2"/>
      <c r="N18" s="19">
        <f t="shared" si="1"/>
        <v>-1</v>
      </c>
      <c r="O18" s="11"/>
      <c r="P18" s="2">
        <f t="shared" si="6"/>
        <v>0</v>
      </c>
      <c r="Q18" s="2"/>
      <c r="R18" s="19"/>
      <c r="S18" s="2"/>
      <c r="T18" s="2">
        <f>--7686.51</f>
        <v>7686.51</v>
      </c>
      <c r="U18" s="2"/>
      <c r="V18" s="19"/>
      <c r="W18" s="2"/>
      <c r="X18" s="2">
        <f t="shared" si="2"/>
        <v>-7686.51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 t="shared" si="4"/>
        <v>0</v>
      </c>
      <c r="E19" s="2"/>
      <c r="F19" s="19"/>
      <c r="G19" s="2"/>
      <c r="H19" s="2">
        <f t="shared" ref="H19:H20" si="7"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6"/>
        <v>0</v>
      </c>
      <c r="Q19" s="2"/>
      <c r="R19" s="19"/>
      <c r="S19" s="2"/>
      <c r="T19" s="2">
        <f>--16.2</f>
        <v>16.2</v>
      </c>
      <c r="U19" s="2"/>
      <c r="V19" s="19"/>
      <c r="W19" s="2"/>
      <c r="X19" s="2">
        <f t="shared" si="2"/>
        <v>-16.2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 t="shared" si="4"/>
        <v>0</v>
      </c>
      <c r="E20" s="2"/>
      <c r="F20" s="19"/>
      <c r="G20" s="2"/>
      <c r="H20" s="2">
        <f t="shared" si="7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6"/>
        <v>0</v>
      </c>
      <c r="Q20" s="2"/>
      <c r="R20" s="19"/>
      <c r="S20" s="2"/>
      <c r="T20" s="2">
        <f>--124.18</f>
        <v>124.18</v>
      </c>
      <c r="U20" s="2"/>
      <c r="V20" s="19"/>
      <c r="W20" s="2"/>
      <c r="X20" s="2">
        <f t="shared" si="2"/>
        <v>-124.18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 t="shared" si="4"/>
        <v>0</v>
      </c>
      <c r="E21" s="2"/>
      <c r="F21" s="19"/>
      <c r="G21" s="2"/>
      <c r="H21" s="2">
        <f>--38.73</f>
        <v>38.729999999999997</v>
      </c>
      <c r="I21" s="2"/>
      <c r="J21" s="19"/>
      <c r="K21" s="2"/>
      <c r="L21" s="2">
        <f t="shared" si="0"/>
        <v>-38.729999999999997</v>
      </c>
      <c r="M21" s="2"/>
      <c r="N21" s="19">
        <f t="shared" si="1"/>
        <v>-1</v>
      </c>
      <c r="O21" s="11"/>
      <c r="P21" s="2">
        <f t="shared" si="6"/>
        <v>0</v>
      </c>
      <c r="Q21" s="2"/>
      <c r="R21" s="19"/>
      <c r="S21" s="2"/>
      <c r="T21" s="2">
        <f>--1509.11</f>
        <v>1509.11</v>
      </c>
      <c r="U21" s="2"/>
      <c r="V21" s="19"/>
      <c r="W21" s="2"/>
      <c r="X21" s="2">
        <f t="shared" si="2"/>
        <v>-1509.11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 t="shared" si="4"/>
        <v>0</v>
      </c>
      <c r="E22" s="2"/>
      <c r="F22" s="19"/>
      <c r="G22" s="2"/>
      <c r="H22" s="2">
        <f t="shared" ref="H22:H23" si="8"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si="6"/>
        <v>0</v>
      </c>
      <c r="Q22" s="2"/>
      <c r="R22" s="19"/>
      <c r="S22" s="2"/>
      <c r="T22" s="2">
        <f>--2591.23</f>
        <v>2591.23</v>
      </c>
      <c r="U22" s="2"/>
      <c r="V22" s="19"/>
      <c r="W22" s="2"/>
      <c r="X22" s="2">
        <f t="shared" si="2"/>
        <v>-2591.23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 t="shared" si="4"/>
        <v>0</v>
      </c>
      <c r="E23" s="2"/>
      <c r="F23" s="19"/>
      <c r="G23" s="2"/>
      <c r="H23" s="2">
        <f t="shared" si="8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si="6"/>
        <v>0</v>
      </c>
      <c r="Q23" s="2"/>
      <c r="R23" s="19"/>
      <c r="S23" s="2"/>
      <c r="T23" s="2">
        <f>--253.32</f>
        <v>253.32</v>
      </c>
      <c r="U23" s="2"/>
      <c r="V23" s="19"/>
      <c r="W23" s="2"/>
      <c r="X23" s="2">
        <f t="shared" si="2"/>
        <v>-253.32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 t="shared" si="4"/>
        <v>0</v>
      </c>
      <c r="E24" s="2"/>
      <c r="F24" s="19"/>
      <c r="G24" s="2"/>
      <c r="H24" s="2">
        <f>--160.66</f>
        <v>160.66</v>
      </c>
      <c r="I24" s="2"/>
      <c r="J24" s="19"/>
      <c r="K24" s="2"/>
      <c r="L24" s="2">
        <f t="shared" si="0"/>
        <v>-160.66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--954.49</f>
        <v>954.49</v>
      </c>
      <c r="U24" s="2"/>
      <c r="V24" s="19"/>
      <c r="W24" s="2"/>
      <c r="X24" s="2">
        <f t="shared" si="2"/>
        <v>-954.49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 t="shared" si="4"/>
        <v>0</v>
      </c>
      <c r="E25" s="2"/>
      <c r="F25" s="19"/>
      <c r="G25" s="2"/>
      <c r="H25" s="2">
        <f>--173.67</f>
        <v>173.67</v>
      </c>
      <c r="I25" s="2"/>
      <c r="J25" s="19"/>
      <c r="K25" s="2"/>
      <c r="L25" s="2">
        <f t="shared" si="0"/>
        <v>-173.67</v>
      </c>
      <c r="M25" s="2"/>
      <c r="N25" s="19">
        <f t="shared" si="1"/>
        <v>-1</v>
      </c>
      <c r="O25" s="11"/>
      <c r="P25" s="2">
        <f t="shared" si="6"/>
        <v>0</v>
      </c>
      <c r="Q25" s="2"/>
      <c r="R25" s="19"/>
      <c r="S25" s="2"/>
      <c r="T25" s="2">
        <f>--1514.79</f>
        <v>1514.79</v>
      </c>
      <c r="U25" s="2"/>
      <c r="V25" s="19"/>
      <c r="W25" s="2"/>
      <c r="X25" s="2">
        <f t="shared" si="2"/>
        <v>-1514.79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 t="shared" si="4"/>
        <v>0</v>
      </c>
      <c r="E26" s="2"/>
      <c r="F26" s="19"/>
      <c r="G26" s="2"/>
      <c r="H26" s="2">
        <f t="shared" ref="H26:H27" si="9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6"/>
        <v>0</v>
      </c>
      <c r="Q26" s="2"/>
      <c r="R26" s="19"/>
      <c r="S26" s="2"/>
      <c r="T26" s="2">
        <f>--50.16</f>
        <v>50.16</v>
      </c>
      <c r="U26" s="2"/>
      <c r="V26" s="19"/>
      <c r="W26" s="2"/>
      <c r="X26" s="2">
        <f t="shared" si="2"/>
        <v>-50.16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"4217", " - ", "NON-TAXABLE SALES-DORM/HOUSEWA")</f>
        <v xml:space="preserve">          4217 - NON-TAXABLE SALES-DORM/HOUSEWA</v>
      </c>
      <c r="C27" s="11"/>
      <c r="D27" s="2">
        <f t="shared" si="4"/>
        <v>0</v>
      </c>
      <c r="E27" s="2"/>
      <c r="F27" s="19"/>
      <c r="G27" s="2"/>
      <c r="H27" s="2">
        <f t="shared" si="9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6"/>
        <v>0</v>
      </c>
      <c r="Q27" s="2"/>
      <c r="R27" s="19"/>
      <c r="S27" s="2"/>
      <c r="T27" s="2">
        <f>-2.98</f>
        <v>-2.98</v>
      </c>
      <c r="U27" s="2"/>
      <c r="V27" s="19"/>
      <c r="W27" s="2"/>
      <c r="X27" s="2">
        <f t="shared" si="2"/>
        <v>2.98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 t="shared" si="4"/>
        <v>0</v>
      </c>
      <c r="E28" s="2"/>
      <c r="F28" s="19"/>
      <c r="G28" s="2"/>
      <c r="H28" s="2">
        <f>-14.61</f>
        <v>-14.61</v>
      </c>
      <c r="I28" s="2"/>
      <c r="J28" s="19"/>
      <c r="K28" s="2"/>
      <c r="L28" s="2">
        <f t="shared" si="0"/>
        <v>14.61</v>
      </c>
      <c r="M28" s="2"/>
      <c r="N28" s="19">
        <f t="shared" si="1"/>
        <v>-1</v>
      </c>
      <c r="O28" s="11"/>
      <c r="P28" s="2">
        <f t="shared" si="6"/>
        <v>0</v>
      </c>
      <c r="Q28" s="2"/>
      <c r="R28" s="19"/>
      <c r="S28" s="2"/>
      <c r="T28" s="2">
        <f>-79.58</f>
        <v>-79.58</v>
      </c>
      <c r="U28" s="2"/>
      <c r="V28" s="19"/>
      <c r="W28" s="2"/>
      <c r="X28" s="2">
        <f t="shared" si="2"/>
        <v>79.58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 t="shared" si="4"/>
        <v>0</v>
      </c>
      <c r="E29" s="2"/>
      <c r="F29" s="19"/>
      <c r="G29" s="2"/>
      <c r="H29" s="2">
        <f>-40.86</f>
        <v>-40.86</v>
      </c>
      <c r="I29" s="2"/>
      <c r="J29" s="19"/>
      <c r="K29" s="2"/>
      <c r="L29" s="2">
        <f t="shared" si="0"/>
        <v>40.86</v>
      </c>
      <c r="M29" s="2"/>
      <c r="N29" s="19">
        <f t="shared" si="1"/>
        <v>-1</v>
      </c>
      <c r="O29" s="11"/>
      <c r="P29" s="2">
        <f t="shared" si="6"/>
        <v>0</v>
      </c>
      <c r="Q29" s="2"/>
      <c r="R29" s="19"/>
      <c r="S29" s="2"/>
      <c r="T29" s="2">
        <f>-389.79</f>
        <v>-389.79</v>
      </c>
      <c r="U29" s="2"/>
      <c r="V29" s="19"/>
      <c r="W29" s="2"/>
      <c r="X29" s="2">
        <f t="shared" si="2"/>
        <v>389.79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 t="shared" si="4"/>
        <v>0</v>
      </c>
      <c r="E30" s="2"/>
      <c r="F30" s="19"/>
      <c r="G30" s="2"/>
      <c r="H30" s="2">
        <f>-202.27</f>
        <v>-202.27</v>
      </c>
      <c r="I30" s="2"/>
      <c r="J30" s="19"/>
      <c r="K30" s="2"/>
      <c r="L30" s="2">
        <f t="shared" si="0"/>
        <v>202.27</v>
      </c>
      <c r="M30" s="2"/>
      <c r="N30" s="19">
        <f t="shared" si="1"/>
        <v>-1</v>
      </c>
      <c r="O30" s="11"/>
      <c r="P30" s="2">
        <f t="shared" si="6"/>
        <v>0</v>
      </c>
      <c r="Q30" s="2"/>
      <c r="R30" s="19"/>
      <c r="S30" s="2"/>
      <c r="T30" s="2">
        <f>-5920.6</f>
        <v>-5920.6</v>
      </c>
      <c r="U30" s="2"/>
      <c r="V30" s="19"/>
      <c r="W30" s="2"/>
      <c r="X30" s="2">
        <f t="shared" si="2"/>
        <v>5920.6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"4228", " - ", "SALES RETURN TAXABLE-ART/TECH")</f>
        <v xml:space="preserve">          4228 - SALES RETURN TAXABLE-ART/TECH</v>
      </c>
      <c r="C31" s="11"/>
      <c r="D31" s="2">
        <f t="shared" si="4"/>
        <v>0</v>
      </c>
      <c r="E31" s="2"/>
      <c r="F31" s="19"/>
      <c r="G31" s="2"/>
      <c r="H31" s="2">
        <f t="shared" ref="H31:H32" si="10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6"/>
        <v>0</v>
      </c>
      <c r="Q31" s="2"/>
      <c r="R31" s="19"/>
      <c r="S31" s="2"/>
      <c r="T31" s="2">
        <f>-237.75</f>
        <v>-237.75</v>
      </c>
      <c r="U31" s="2"/>
      <c r="V31" s="19"/>
      <c r="W31" s="2"/>
      <c r="X31" s="2">
        <f t="shared" si="2"/>
        <v>237.75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"4327", " - ", "SALES RETURN NON TAXABLE-SCHOO")</f>
        <v xml:space="preserve">          4327 - SALES RETURN NON TAXABLE-SCHOO</v>
      </c>
      <c r="C32" s="11"/>
      <c r="D32" s="2">
        <f t="shared" si="4"/>
        <v>0</v>
      </c>
      <c r="E32" s="2"/>
      <c r="F32" s="19"/>
      <c r="G32" s="2"/>
      <c r="H32" s="2">
        <f t="shared" si="10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6"/>
        <v>0</v>
      </c>
      <c r="Q32" s="2"/>
      <c r="R32" s="19"/>
      <c r="S32" s="2"/>
      <c r="T32" s="2">
        <f>-21.87</f>
        <v>-21.87</v>
      </c>
      <c r="U32" s="2"/>
      <c r="V32" s="19"/>
      <c r="W32" s="2"/>
      <c r="X32" s="2">
        <f t="shared" si="2"/>
        <v>21.87</v>
      </c>
      <c r="Y32" s="2"/>
      <c r="Z32" s="19">
        <f t="shared" si="3"/>
        <v>-1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9" t="s">
        <v>8</v>
      </c>
      <c r="C34" s="10"/>
      <c r="D34" s="4">
        <f>SUM(OSRRefD16x_0)</f>
        <v>0</v>
      </c>
      <c r="E34" s="4"/>
      <c r="F34" s="12">
        <f t="shared" ref="F34:F49" si="11">IF(D$12=0,0,D34/D$12)</f>
        <v>0</v>
      </c>
      <c r="G34" s="4"/>
      <c r="H34" s="4">
        <f>SUM(OSRRefH16x_0)</f>
        <v>10839.510000000002</v>
      </c>
      <c r="I34" s="4"/>
      <c r="J34" s="12">
        <f t="shared" ref="J34:J49" si="12">IF(H$12=0,0,H34/H$12)</f>
        <v>0.48233802121226294</v>
      </c>
      <c r="K34" s="4"/>
      <c r="L34" s="4">
        <f t="shared" ref="L34:L49" si="13">+D34-H34</f>
        <v>-10839.510000000002</v>
      </c>
      <c r="M34" s="4"/>
      <c r="N34" s="12">
        <f t="shared" ref="N34:N49" si="14">IF(H34=0,0,L34/H34)</f>
        <v>-1</v>
      </c>
      <c r="O34" s="10"/>
      <c r="P34" s="4">
        <f>SUM(OSRRefP16x_0)</f>
        <v>0</v>
      </c>
      <c r="Q34" s="4"/>
      <c r="R34" s="12">
        <f t="shared" ref="R34:R49" si="15">IF(P$12=0,0,P34/P$12)</f>
        <v>0</v>
      </c>
      <c r="S34" s="4"/>
      <c r="T34" s="4">
        <f>SUM(OSRRefT16x_0)</f>
        <v>115405.70000000004</v>
      </c>
      <c r="U34" s="4"/>
      <c r="V34" s="12">
        <f t="shared" ref="V34:V49" si="16">IF(T$12=0,0,T34/T$12)</f>
        <v>0.46697770809516065</v>
      </c>
      <c r="W34" s="4"/>
      <c r="X34" s="4">
        <f t="shared" ref="X34:X49" si="17">+P34-T34</f>
        <v>-115405.70000000004</v>
      </c>
      <c r="Y34" s="4"/>
      <c r="Z34" s="12">
        <f t="shared" ref="Z34:Z49" si="18">IF(T34=0,0,X34/T34)</f>
        <v>-1</v>
      </c>
    </row>
    <row r="35" spans="1:26" s="24" customFormat="1" hidden="1" outlineLevel="1" x14ac:dyDescent="0.25">
      <c r="A35" s="44"/>
      <c r="B35" s="11" t="str">
        <f>CONCATENATE("          ", "5017", " - ", "PURCHASES @ COST-DORM/HOUSEWAR")</f>
        <v xml:space="preserve">          5017 - PURCHASES @ COST-DORM/HOUSEWAR</v>
      </c>
      <c r="C35" s="11"/>
      <c r="D35" s="2"/>
      <c r="E35" s="2"/>
      <c r="F35" s="19">
        <f t="shared" si="11"/>
        <v>0</v>
      </c>
      <c r="G35" s="2"/>
      <c r="H35" s="2"/>
      <c r="I35" s="2"/>
      <c r="J35" s="19">
        <f t="shared" si="12"/>
        <v>0</v>
      </c>
      <c r="K35" s="2"/>
      <c r="L35" s="2">
        <f t="shared" si="13"/>
        <v>0</v>
      </c>
      <c r="M35" s="2"/>
      <c r="N35" s="19">
        <f t="shared" si="14"/>
        <v>0</v>
      </c>
      <c r="O35" s="11"/>
      <c r="P35" s="2"/>
      <c r="Q35" s="2"/>
      <c r="R35" s="19">
        <f t="shared" si="15"/>
        <v>0</v>
      </c>
      <c r="S35" s="2"/>
      <c r="T35" s="2">
        <v>0</v>
      </c>
      <c r="U35" s="2"/>
      <c r="V35" s="19">
        <f t="shared" si="16"/>
        <v>0</v>
      </c>
      <c r="W35" s="2"/>
      <c r="X35" s="2">
        <f t="shared" si="17"/>
        <v>0</v>
      </c>
      <c r="Y35" s="2"/>
      <c r="Z35" s="19">
        <f t="shared" si="18"/>
        <v>0</v>
      </c>
    </row>
    <row r="36" spans="1:26" s="24" customFormat="1" hidden="1" outlineLevel="1" x14ac:dyDescent="0.25">
      <c r="A36" s="44"/>
      <c r="B36" s="11" t="str">
        <f>CONCATENATE("          ", "5025", " - ", "PURCHASES @ COST-TEST FORMS")</f>
        <v xml:space="preserve">          5025 - PURCHASES @ COST-TEST FORMS</v>
      </c>
      <c r="C36" s="11"/>
      <c r="D36" s="2"/>
      <c r="E36" s="2"/>
      <c r="F36" s="19">
        <f t="shared" si="11"/>
        <v>0</v>
      </c>
      <c r="G36" s="2"/>
      <c r="H36" s="2">
        <v>-68.08</v>
      </c>
      <c r="I36" s="2"/>
      <c r="J36" s="19">
        <f t="shared" si="12"/>
        <v>-3.0294332939524806E-3</v>
      </c>
      <c r="K36" s="2"/>
      <c r="L36" s="2">
        <f t="shared" si="13"/>
        <v>68.08</v>
      </c>
      <c r="M36" s="2"/>
      <c r="N36" s="19">
        <f t="shared" si="14"/>
        <v>-1</v>
      </c>
      <c r="O36" s="11"/>
      <c r="P36" s="2"/>
      <c r="Q36" s="2"/>
      <c r="R36" s="19">
        <f t="shared" si="15"/>
        <v>0</v>
      </c>
      <c r="S36" s="2"/>
      <c r="T36" s="2">
        <v>21626.030000000002</v>
      </c>
      <c r="U36" s="2"/>
      <c r="V36" s="19">
        <f t="shared" si="16"/>
        <v>8.7507583460757862E-2</v>
      </c>
      <c r="W36" s="2"/>
      <c r="X36" s="2">
        <f t="shared" si="17"/>
        <v>-21626.030000000002</v>
      </c>
      <c r="Y36" s="2"/>
      <c r="Z36" s="19">
        <f t="shared" si="18"/>
        <v>-1</v>
      </c>
    </row>
    <row r="37" spans="1:26" s="24" customFormat="1" hidden="1" outlineLevel="1" x14ac:dyDescent="0.25">
      <c r="A37" s="44"/>
      <c r="B37" s="11" t="str">
        <f>CONCATENATE("          ", "5026", " - ", "PURCHASES @ COST-WRITING INSTR")</f>
        <v xml:space="preserve">          5026 - PURCHASES @ COST-WRITING INSTR</v>
      </c>
      <c r="C37" s="11"/>
      <c r="D37" s="2"/>
      <c r="E37" s="2"/>
      <c r="F37" s="19">
        <f t="shared" si="11"/>
        <v>0</v>
      </c>
      <c r="G37" s="2"/>
      <c r="H37" s="2">
        <v>4317.49</v>
      </c>
      <c r="I37" s="2"/>
      <c r="J37" s="19">
        <f t="shared" si="12"/>
        <v>0.19212026956972525</v>
      </c>
      <c r="K37" s="2"/>
      <c r="L37" s="2">
        <f t="shared" si="13"/>
        <v>-4317.49</v>
      </c>
      <c r="M37" s="2"/>
      <c r="N37" s="19">
        <f t="shared" si="14"/>
        <v>-1</v>
      </c>
      <c r="O37" s="11"/>
      <c r="P37" s="2"/>
      <c r="Q37" s="2"/>
      <c r="R37" s="19">
        <f t="shared" si="15"/>
        <v>0</v>
      </c>
      <c r="S37" s="2"/>
      <c r="T37" s="2">
        <v>31727.820000000003</v>
      </c>
      <c r="U37" s="2"/>
      <c r="V37" s="19">
        <f t="shared" si="16"/>
        <v>0.12838347383583129</v>
      </c>
      <c r="W37" s="2"/>
      <c r="X37" s="2">
        <f t="shared" si="17"/>
        <v>-31727.820000000003</v>
      </c>
      <c r="Y37" s="2"/>
      <c r="Z37" s="19">
        <f t="shared" si="18"/>
        <v>-1</v>
      </c>
    </row>
    <row r="38" spans="1:26" s="24" customFormat="1" hidden="1" outlineLevel="1" x14ac:dyDescent="0.25">
      <c r="A38" s="44"/>
      <c r="B38" s="11" t="str">
        <f>CONCATENATE("          ", "5027", " - ", "PURCHASES @ COST-SCHOOL SUPPLI")</f>
        <v xml:space="preserve">          5027 - PURCHASES @ COST-SCHOOL SUPPLI</v>
      </c>
      <c r="C38" s="11"/>
      <c r="D38" s="2"/>
      <c r="E38" s="2"/>
      <c r="F38" s="19">
        <f t="shared" si="11"/>
        <v>0</v>
      </c>
      <c r="G38" s="2"/>
      <c r="H38" s="2">
        <v>2406.77</v>
      </c>
      <c r="I38" s="2"/>
      <c r="J38" s="19">
        <f t="shared" si="12"/>
        <v>0.10709678567693907</v>
      </c>
      <c r="K38" s="2"/>
      <c r="L38" s="2">
        <f t="shared" si="13"/>
        <v>-2406.77</v>
      </c>
      <c r="M38" s="2"/>
      <c r="N38" s="19">
        <f t="shared" si="14"/>
        <v>-1</v>
      </c>
      <c r="O38" s="11"/>
      <c r="P38" s="2"/>
      <c r="Q38" s="2"/>
      <c r="R38" s="19">
        <f t="shared" si="15"/>
        <v>0</v>
      </c>
      <c r="S38" s="2"/>
      <c r="T38" s="2">
        <v>76006.77</v>
      </c>
      <c r="U38" s="2"/>
      <c r="V38" s="19">
        <f t="shared" si="16"/>
        <v>0.30755384919736201</v>
      </c>
      <c r="W38" s="2"/>
      <c r="X38" s="2">
        <f t="shared" si="17"/>
        <v>-76006.77</v>
      </c>
      <c r="Y38" s="2"/>
      <c r="Z38" s="19">
        <f t="shared" si="18"/>
        <v>-1</v>
      </c>
    </row>
    <row r="39" spans="1:26" s="24" customFormat="1" hidden="1" outlineLevel="1" x14ac:dyDescent="0.25">
      <c r="A39" s="44"/>
      <c r="B39" s="11" t="str">
        <f>CONCATENATE("          ", "5028", " - ", "PURCHASES @ COST-ART/TECH")</f>
        <v xml:space="preserve">          5028 - PURCHASES @ COST-ART/TECH</v>
      </c>
      <c r="C39" s="11"/>
      <c r="D39" s="2"/>
      <c r="E39" s="2"/>
      <c r="F39" s="19">
        <f t="shared" si="11"/>
        <v>0</v>
      </c>
      <c r="G39" s="2"/>
      <c r="H39" s="2">
        <v>231.73</v>
      </c>
      <c r="I39" s="2"/>
      <c r="J39" s="19">
        <f t="shared" si="12"/>
        <v>1.0311553719265691E-2</v>
      </c>
      <c r="K39" s="2"/>
      <c r="L39" s="2">
        <f t="shared" si="13"/>
        <v>-231.73</v>
      </c>
      <c r="M39" s="2"/>
      <c r="N39" s="19">
        <f t="shared" si="14"/>
        <v>-1</v>
      </c>
      <c r="O39" s="11"/>
      <c r="P39" s="2"/>
      <c r="Q39" s="2"/>
      <c r="R39" s="19">
        <f t="shared" si="15"/>
        <v>0</v>
      </c>
      <c r="S39" s="2"/>
      <c r="T39" s="2">
        <v>3509.99</v>
      </c>
      <c r="U39" s="2"/>
      <c r="V39" s="19">
        <f t="shared" si="16"/>
        <v>1.4202826079101224E-2</v>
      </c>
      <c r="W39" s="2"/>
      <c r="X39" s="2">
        <f t="shared" si="17"/>
        <v>-3509.99</v>
      </c>
      <c r="Y39" s="2"/>
      <c r="Z39" s="19">
        <f t="shared" si="18"/>
        <v>-1</v>
      </c>
    </row>
    <row r="40" spans="1:26" s="24" customFormat="1" hidden="1" outlineLevel="1" x14ac:dyDescent="0.25">
      <c r="A40" s="44"/>
      <c r="B40" s="11" t="str">
        <f>CONCATENATE("          ", "5031", " - ", "PURCHASES @ COST-FOOD")</f>
        <v xml:space="preserve">          5031 - PURCHASES @ COST-FOOD</v>
      </c>
      <c r="C40" s="11"/>
      <c r="D40" s="2"/>
      <c r="E40" s="2"/>
      <c r="F40" s="19">
        <f t="shared" si="11"/>
        <v>0</v>
      </c>
      <c r="G40" s="2"/>
      <c r="H40" s="2">
        <v>2.33</v>
      </c>
      <c r="I40" s="2"/>
      <c r="J40" s="19">
        <f t="shared" si="12"/>
        <v>1.0368066355624677E-4</v>
      </c>
      <c r="K40" s="2"/>
      <c r="L40" s="2">
        <f t="shared" si="13"/>
        <v>-2.33</v>
      </c>
      <c r="M40" s="2"/>
      <c r="N40" s="19">
        <f t="shared" si="14"/>
        <v>-1</v>
      </c>
      <c r="O40" s="11"/>
      <c r="P40" s="2"/>
      <c r="Q40" s="2"/>
      <c r="R40" s="19">
        <f t="shared" si="15"/>
        <v>0</v>
      </c>
      <c r="S40" s="2"/>
      <c r="T40" s="2">
        <v>268.17</v>
      </c>
      <c r="U40" s="2"/>
      <c r="V40" s="19">
        <f t="shared" si="16"/>
        <v>1.0851232822978343E-3</v>
      </c>
      <c r="W40" s="2"/>
      <c r="X40" s="2">
        <f t="shared" si="17"/>
        <v>-268.17</v>
      </c>
      <c r="Y40" s="2"/>
      <c r="Z40" s="19">
        <f t="shared" si="18"/>
        <v>-1</v>
      </c>
    </row>
    <row r="41" spans="1:26" s="24" customFormat="1" hidden="1" outlineLevel="1" x14ac:dyDescent="0.25">
      <c r="A41" s="44"/>
      <c r="B41" s="11" t="str">
        <f>CONCATENATE("          ", "5033", " - ", "PURCHASES @ COST-CANDY")</f>
        <v xml:space="preserve">          5033 - PURCHASES @ COST-CANDY</v>
      </c>
      <c r="C41" s="11"/>
      <c r="D41" s="2"/>
      <c r="E41" s="2"/>
      <c r="F41" s="19">
        <f t="shared" si="11"/>
        <v>0</v>
      </c>
      <c r="G41" s="2"/>
      <c r="H41" s="2">
        <v>0.72</v>
      </c>
      <c r="I41" s="2"/>
      <c r="J41" s="19">
        <f t="shared" si="12"/>
        <v>3.2038659983046208E-5</v>
      </c>
      <c r="K41" s="2"/>
      <c r="L41" s="2">
        <f t="shared" si="13"/>
        <v>-0.72</v>
      </c>
      <c r="M41" s="2"/>
      <c r="N41" s="19">
        <f t="shared" si="14"/>
        <v>-1</v>
      </c>
      <c r="O41" s="11"/>
      <c r="P41" s="2"/>
      <c r="Q41" s="2"/>
      <c r="R41" s="19">
        <f t="shared" si="15"/>
        <v>0</v>
      </c>
      <c r="S41" s="2"/>
      <c r="T41" s="2">
        <v>289.60000000000002</v>
      </c>
      <c r="U41" s="2"/>
      <c r="V41" s="19">
        <f t="shared" si="16"/>
        <v>1.1718376498245622E-3</v>
      </c>
      <c r="W41" s="2"/>
      <c r="X41" s="2">
        <f t="shared" si="17"/>
        <v>-289.60000000000002</v>
      </c>
      <c r="Y41" s="2"/>
      <c r="Z41" s="19">
        <f t="shared" si="18"/>
        <v>-1</v>
      </c>
    </row>
    <row r="42" spans="1:26" s="24" customFormat="1" hidden="1" outlineLevel="1" x14ac:dyDescent="0.25">
      <c r="A42" s="44"/>
      <c r="B42" s="11" t="str">
        <f>CONCATENATE("          ", "5035", " - ", "PURCHASES @ COST-HEALTH &amp; BEAU")</f>
        <v xml:space="preserve">          5035 - PURCHASES @ COST-HEALTH &amp; BEAU</v>
      </c>
      <c r="C42" s="11"/>
      <c r="D42" s="2"/>
      <c r="E42" s="2"/>
      <c r="F42" s="19">
        <f t="shared" si="11"/>
        <v>0</v>
      </c>
      <c r="G42" s="2"/>
      <c r="H42" s="2">
        <v>1.76</v>
      </c>
      <c r="I42" s="2"/>
      <c r="J42" s="19">
        <f t="shared" si="12"/>
        <v>7.8316724403001845E-5</v>
      </c>
      <c r="K42" s="2"/>
      <c r="L42" s="2">
        <f t="shared" si="13"/>
        <v>-1.76</v>
      </c>
      <c r="M42" s="2"/>
      <c r="N42" s="19">
        <f t="shared" si="14"/>
        <v>-1</v>
      </c>
      <c r="O42" s="11"/>
      <c r="P42" s="2"/>
      <c r="Q42" s="2"/>
      <c r="R42" s="19">
        <f t="shared" si="15"/>
        <v>0</v>
      </c>
      <c r="S42" s="2"/>
      <c r="T42" s="2">
        <v>36.25</v>
      </c>
      <c r="U42" s="2"/>
      <c r="V42" s="19">
        <f t="shared" si="16"/>
        <v>1.4668202626429689E-4</v>
      </c>
      <c r="W42" s="2"/>
      <c r="X42" s="2">
        <f t="shared" si="17"/>
        <v>-36.25</v>
      </c>
      <c r="Y42" s="2"/>
      <c r="Z42" s="19">
        <f t="shared" si="18"/>
        <v>-1</v>
      </c>
    </row>
    <row r="43" spans="1:26" s="24" customFormat="1" hidden="1" outlineLevel="1" x14ac:dyDescent="0.25">
      <c r="A43" s="44"/>
      <c r="B43" s="11" t="str">
        <f>CONCATENATE("          ", "5200", " - ", "PURCHASES OFFSET")</f>
        <v xml:space="preserve">          5200 - PURCHASES OFFSET</v>
      </c>
      <c r="C43" s="11"/>
      <c r="D43" s="2"/>
      <c r="E43" s="2"/>
      <c r="F43" s="19">
        <f t="shared" si="11"/>
        <v>0</v>
      </c>
      <c r="G43" s="2"/>
      <c r="H43" s="2">
        <v>-7217</v>
      </c>
      <c r="I43" s="2"/>
      <c r="J43" s="19">
        <f t="shared" si="12"/>
        <v>-0.32114306819117294</v>
      </c>
      <c r="K43" s="2"/>
      <c r="L43" s="2">
        <f t="shared" si="13"/>
        <v>7217</v>
      </c>
      <c r="M43" s="2"/>
      <c r="N43" s="19">
        <f t="shared" si="14"/>
        <v>-1</v>
      </c>
      <c r="O43" s="11"/>
      <c r="P43" s="2"/>
      <c r="Q43" s="2"/>
      <c r="R43" s="19">
        <f t="shared" si="15"/>
        <v>0</v>
      </c>
      <c r="S43" s="2"/>
      <c r="T43" s="2">
        <v>-135290</v>
      </c>
      <c r="U43" s="2"/>
      <c r="V43" s="19">
        <f t="shared" si="16"/>
        <v>-0.54743755402197858</v>
      </c>
      <c r="W43" s="2"/>
      <c r="X43" s="2">
        <f t="shared" si="17"/>
        <v>135290</v>
      </c>
      <c r="Y43" s="2"/>
      <c r="Z43" s="19">
        <f t="shared" si="18"/>
        <v>-1</v>
      </c>
    </row>
    <row r="44" spans="1:26" s="24" customFormat="1" hidden="1" outlineLevel="1" x14ac:dyDescent="0.25">
      <c r="A44" s="44"/>
      <c r="B44" s="11" t="str">
        <f>CONCATENATE("          ", "5300", " - ", "COG$ OFFSET")</f>
        <v xml:space="preserve">          5300 - COG$ OFFSET</v>
      </c>
      <c r="C44" s="11"/>
      <c r="D44" s="2"/>
      <c r="E44" s="2"/>
      <c r="F44" s="19">
        <f t="shared" si="11"/>
        <v>0</v>
      </c>
      <c r="G44" s="2"/>
      <c r="H44" s="2">
        <v>10839</v>
      </c>
      <c r="I44" s="2"/>
      <c r="J44" s="19">
        <f t="shared" si="12"/>
        <v>0.48231532716144149</v>
      </c>
      <c r="K44" s="2"/>
      <c r="L44" s="2">
        <f t="shared" si="13"/>
        <v>-10839</v>
      </c>
      <c r="M44" s="2"/>
      <c r="N44" s="19">
        <f t="shared" si="14"/>
        <v>-1</v>
      </c>
      <c r="O44" s="11"/>
      <c r="P44" s="2"/>
      <c r="Q44" s="2"/>
      <c r="R44" s="19">
        <f t="shared" si="15"/>
        <v>0</v>
      </c>
      <c r="S44" s="2"/>
      <c r="T44" s="2">
        <v>115400</v>
      </c>
      <c r="U44" s="2"/>
      <c r="V44" s="19">
        <f t="shared" si="16"/>
        <v>0.46695464361103062</v>
      </c>
      <c r="W44" s="2"/>
      <c r="X44" s="2">
        <f t="shared" si="17"/>
        <v>-115400</v>
      </c>
      <c r="Y44" s="2"/>
      <c r="Z44" s="19">
        <f t="shared" si="18"/>
        <v>-1</v>
      </c>
    </row>
    <row r="45" spans="1:26" s="24" customFormat="1" hidden="1" outlineLevel="1" x14ac:dyDescent="0.25">
      <c r="A45" s="44"/>
      <c r="B45" s="11" t="str">
        <f>CONCATENATE("          ", "5500", " - ", "FREIGHT-IN")</f>
        <v xml:space="preserve">          5500 - FREIGHT-IN</v>
      </c>
      <c r="C45" s="11"/>
      <c r="D45" s="2"/>
      <c r="E45" s="2"/>
      <c r="F45" s="19">
        <f t="shared" si="11"/>
        <v>0</v>
      </c>
      <c r="G45" s="2"/>
      <c r="H45" s="2"/>
      <c r="I45" s="2"/>
      <c r="J45" s="19">
        <f t="shared" si="12"/>
        <v>0</v>
      </c>
      <c r="K45" s="2"/>
      <c r="L45" s="2">
        <f t="shared" si="13"/>
        <v>0</v>
      </c>
      <c r="M45" s="2"/>
      <c r="N45" s="19">
        <f t="shared" si="14"/>
        <v>0</v>
      </c>
      <c r="O45" s="11"/>
      <c r="P45" s="2"/>
      <c r="Q45" s="2"/>
      <c r="R45" s="19">
        <f t="shared" si="15"/>
        <v>0</v>
      </c>
      <c r="S45" s="2"/>
      <c r="T45" s="2">
        <v>6</v>
      </c>
      <c r="U45" s="2"/>
      <c r="V45" s="19">
        <f t="shared" si="16"/>
        <v>2.4278404347193966E-5</v>
      </c>
      <c r="W45" s="2"/>
      <c r="X45" s="2">
        <f t="shared" si="17"/>
        <v>-6</v>
      </c>
      <c r="Y45" s="2"/>
      <c r="Z45" s="19">
        <f t="shared" si="18"/>
        <v>-1</v>
      </c>
    </row>
    <row r="46" spans="1:26" s="24" customFormat="1" hidden="1" outlineLevel="1" x14ac:dyDescent="0.25">
      <c r="A46" s="44"/>
      <c r="B46" s="11" t="str">
        <f>CONCATENATE("          ", "5525", " - ", "FREIGHT-IN-TEST FORMS")</f>
        <v xml:space="preserve">          5525 - FREIGHT-IN-TEST FORMS</v>
      </c>
      <c r="C46" s="11"/>
      <c r="D46" s="2"/>
      <c r="E46" s="2"/>
      <c r="F46" s="19">
        <f t="shared" si="11"/>
        <v>0</v>
      </c>
      <c r="G46" s="2"/>
      <c r="H46" s="2">
        <v>247.49</v>
      </c>
      <c r="I46" s="2"/>
      <c r="J46" s="19">
        <f t="shared" si="12"/>
        <v>1.1012844387783481E-2</v>
      </c>
      <c r="K46" s="2"/>
      <c r="L46" s="2">
        <f t="shared" si="13"/>
        <v>-247.49</v>
      </c>
      <c r="M46" s="2"/>
      <c r="N46" s="19">
        <f t="shared" si="14"/>
        <v>-1</v>
      </c>
      <c r="O46" s="11"/>
      <c r="P46" s="2"/>
      <c r="Q46" s="2"/>
      <c r="R46" s="19">
        <f t="shared" si="15"/>
        <v>0</v>
      </c>
      <c r="S46" s="2"/>
      <c r="T46" s="2">
        <v>622.41</v>
      </c>
      <c r="U46" s="2"/>
      <c r="V46" s="19">
        <f t="shared" si="16"/>
        <v>2.5185202749561661E-3</v>
      </c>
      <c r="W46" s="2"/>
      <c r="X46" s="2">
        <f t="shared" si="17"/>
        <v>-622.41</v>
      </c>
      <c r="Y46" s="2"/>
      <c r="Z46" s="19">
        <f t="shared" si="18"/>
        <v>-1</v>
      </c>
    </row>
    <row r="47" spans="1:26" s="24" customFormat="1" hidden="1" outlineLevel="1" x14ac:dyDescent="0.25">
      <c r="A47" s="44"/>
      <c r="B47" s="11" t="str">
        <f>CONCATENATE("          ", "5526", " - ", "FREIGHT-IN-WRITING INSTRUMENTS")</f>
        <v xml:space="preserve">          5526 - FREIGHT-IN-WRITING INSTRUMENTS</v>
      </c>
      <c r="C47" s="11"/>
      <c r="D47" s="2"/>
      <c r="E47" s="2"/>
      <c r="F47" s="19">
        <f t="shared" si="11"/>
        <v>0</v>
      </c>
      <c r="G47" s="2"/>
      <c r="H47" s="2">
        <v>42.86</v>
      </c>
      <c r="I47" s="2"/>
      <c r="J47" s="19">
        <f t="shared" si="12"/>
        <v>1.9071902317685564E-3</v>
      </c>
      <c r="K47" s="2"/>
      <c r="L47" s="2">
        <f t="shared" si="13"/>
        <v>-42.86</v>
      </c>
      <c r="M47" s="2"/>
      <c r="N47" s="19">
        <f t="shared" si="14"/>
        <v>-1</v>
      </c>
      <c r="O47" s="11"/>
      <c r="P47" s="2"/>
      <c r="Q47" s="2"/>
      <c r="R47" s="19">
        <f t="shared" si="15"/>
        <v>0</v>
      </c>
      <c r="S47" s="2"/>
      <c r="T47" s="2">
        <v>260.35000000000002</v>
      </c>
      <c r="U47" s="2"/>
      <c r="V47" s="19">
        <f t="shared" si="16"/>
        <v>1.0534804286319915E-3</v>
      </c>
      <c r="W47" s="2"/>
      <c r="X47" s="2">
        <f t="shared" si="17"/>
        <v>-260.35000000000002</v>
      </c>
      <c r="Y47" s="2"/>
      <c r="Z47" s="19">
        <f t="shared" si="18"/>
        <v>-1</v>
      </c>
    </row>
    <row r="48" spans="1:26" s="24" customFormat="1" hidden="1" outlineLevel="1" x14ac:dyDescent="0.25">
      <c r="A48" s="44"/>
      <c r="B48" s="11" t="str">
        <f>CONCATENATE("          ", "5527", " - ", "FREIGHT-IN-SCHOOL SUPPLIES")</f>
        <v xml:space="preserve">          5527 - FREIGHT-IN-SCHOOL SUPPLIES</v>
      </c>
      <c r="C48" s="11"/>
      <c r="D48" s="2"/>
      <c r="E48" s="2"/>
      <c r="F48" s="19">
        <f t="shared" si="11"/>
        <v>0</v>
      </c>
      <c r="G48" s="2"/>
      <c r="H48" s="2">
        <v>25.34</v>
      </c>
      <c r="I48" s="2"/>
      <c r="J48" s="19">
        <f t="shared" si="12"/>
        <v>1.1275828388477654E-3</v>
      </c>
      <c r="K48" s="2"/>
      <c r="L48" s="2">
        <f t="shared" si="13"/>
        <v>-25.34</v>
      </c>
      <c r="M48" s="2"/>
      <c r="N48" s="19">
        <f t="shared" si="14"/>
        <v>-1</v>
      </c>
      <c r="O48" s="11"/>
      <c r="P48" s="2"/>
      <c r="Q48" s="2"/>
      <c r="R48" s="19">
        <f t="shared" si="15"/>
        <v>0</v>
      </c>
      <c r="S48" s="2"/>
      <c r="T48" s="2">
        <v>885.4</v>
      </c>
      <c r="U48" s="2"/>
      <c r="V48" s="19">
        <f t="shared" si="16"/>
        <v>3.5826832015009229E-3</v>
      </c>
      <c r="W48" s="2"/>
      <c r="X48" s="2">
        <f t="shared" si="17"/>
        <v>-885.4</v>
      </c>
      <c r="Y48" s="2"/>
      <c r="Z48" s="19">
        <f t="shared" si="18"/>
        <v>-1</v>
      </c>
    </row>
    <row r="49" spans="1:26" s="24" customFormat="1" hidden="1" outlineLevel="1" x14ac:dyDescent="0.25">
      <c r="A49" s="44"/>
      <c r="B49" s="11" t="str">
        <f>CONCATENATE("          ", "5528", " - ", "FREIGHT-IN-ART/TECH")</f>
        <v xml:space="preserve">          5528 - FREIGHT-IN-ART/TECH</v>
      </c>
      <c r="C49" s="11"/>
      <c r="D49" s="2"/>
      <c r="E49" s="2"/>
      <c r="F49" s="19">
        <f t="shared" si="11"/>
        <v>0</v>
      </c>
      <c r="G49" s="2"/>
      <c r="H49" s="2">
        <v>9.1</v>
      </c>
      <c r="I49" s="2"/>
      <c r="J49" s="19">
        <f t="shared" si="12"/>
        <v>4.0493306367461181E-4</v>
      </c>
      <c r="K49" s="2"/>
      <c r="L49" s="2">
        <f t="shared" si="13"/>
        <v>-9.1</v>
      </c>
      <c r="M49" s="2"/>
      <c r="N49" s="19">
        <f t="shared" si="14"/>
        <v>-1</v>
      </c>
      <c r="O49" s="11"/>
      <c r="P49" s="2"/>
      <c r="Q49" s="2"/>
      <c r="R49" s="19">
        <f t="shared" si="15"/>
        <v>0</v>
      </c>
      <c r="S49" s="2"/>
      <c r="T49" s="2">
        <v>56.91</v>
      </c>
      <c r="U49" s="2"/>
      <c r="V49" s="19">
        <f t="shared" si="16"/>
        <v>2.3028066523313477E-4</v>
      </c>
      <c r="W49" s="2"/>
      <c r="X49" s="2">
        <f t="shared" si="17"/>
        <v>-56.91</v>
      </c>
      <c r="Y49" s="2"/>
      <c r="Z49" s="19">
        <f t="shared" si="18"/>
        <v>-1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8" t="s">
        <v>6</v>
      </c>
      <c r="C51" s="28"/>
      <c r="D51" s="20">
        <f>D12-D34</f>
        <v>0</v>
      </c>
      <c r="E51" s="14"/>
      <c r="F51" s="21">
        <f>IF(D$12=0,0,D51/D$12)</f>
        <v>0</v>
      </c>
      <c r="G51" s="14"/>
      <c r="H51" s="20">
        <f>H12-H34</f>
        <v>11633.339999999997</v>
      </c>
      <c r="I51" s="14"/>
      <c r="J51" s="21">
        <f>IF(H$12=0,0,H51/H$12)</f>
        <v>0.51766197878773712</v>
      </c>
      <c r="K51" s="15"/>
      <c r="L51" s="20">
        <f>+D51-H51</f>
        <v>-11633.339999999997</v>
      </c>
      <c r="M51" s="15"/>
      <c r="N51" s="21">
        <f>IF(H51=0,0,L51/H51)</f>
        <v>-1</v>
      </c>
      <c r="O51" s="29"/>
      <c r="P51" s="20">
        <f>P12-P34</f>
        <v>0</v>
      </c>
      <c r="Q51" s="14"/>
      <c r="R51" s="21">
        <f>IF(P$12=0,0,P51/P$12)</f>
        <v>0</v>
      </c>
      <c r="S51" s="14"/>
      <c r="T51" s="20">
        <f>T12-T34</f>
        <v>131727.50999999998</v>
      </c>
      <c r="U51" s="14"/>
      <c r="V51" s="21">
        <f>IF(T$12=0,0,T51/T$12)</f>
        <v>0.53302229190483941</v>
      </c>
      <c r="W51" s="15"/>
      <c r="X51" s="20">
        <f>+P51-T51</f>
        <v>-131727.50999999998</v>
      </c>
      <c r="Y51" s="15"/>
      <c r="Z51" s="21">
        <f>IF(T51=0,0,X51/T51)</f>
        <v>-1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9" t="s">
        <v>9</v>
      </c>
      <c r="C53" s="10"/>
      <c r="D53" s="22">
        <f>SUM(OSRRefD22x_0)</f>
        <v>0</v>
      </c>
      <c r="E53" s="22"/>
      <c r="F53" s="36">
        <f t="shared" ref="F53:F61" si="19">IF(D$12=0,0,D53/D$12)</f>
        <v>0</v>
      </c>
      <c r="G53" s="22"/>
      <c r="H53" s="22">
        <f>SUM(OSRRefH22x_0)</f>
        <v>8744.32</v>
      </c>
      <c r="I53" s="22"/>
      <c r="J53" s="36">
        <f t="shared" ref="J53:J61" si="20">IF(H$12=0,0,H53/H$12)</f>
        <v>0.389105965642987</v>
      </c>
      <c r="K53" s="4"/>
      <c r="L53" s="22">
        <f t="shared" ref="L53:L61" si="21">+D53-H53</f>
        <v>-8744.32</v>
      </c>
      <c r="M53" s="4"/>
      <c r="N53" s="36">
        <f t="shared" ref="N53:N61" si="22">IF(H53=0,0,L53/H53)</f>
        <v>-1</v>
      </c>
      <c r="O53" s="10"/>
      <c r="P53" s="22">
        <f>SUM(OSRRefP22x_0)</f>
        <v>0</v>
      </c>
      <c r="Q53" s="22"/>
      <c r="R53" s="36">
        <f t="shared" ref="R53:R61" si="23">IF(P$12=0,0,P53/P$12)</f>
        <v>0</v>
      </c>
      <c r="S53" s="22"/>
      <c r="T53" s="22">
        <f>SUM(OSRRefT22x_0)</f>
        <v>59579.82</v>
      </c>
      <c r="U53" s="22"/>
      <c r="V53" s="36">
        <f t="shared" ref="V53:V61" si="24">IF(T$12=0,0,T53/T$12)</f>
        <v>0.24108382681550566</v>
      </c>
      <c r="W53" s="4"/>
      <c r="X53" s="22">
        <f t="shared" ref="X53:X61" si="25">+P53-T53</f>
        <v>-59579.82</v>
      </c>
      <c r="Y53" s="4"/>
      <c r="Z53" s="36">
        <f t="shared" ref="Z53:Z61" si="26">IF(T53=0,0,X53/T53)</f>
        <v>-1</v>
      </c>
    </row>
    <row r="54" spans="1:26" s="25" customFormat="1" outlineLevel="1" collapsed="1" x14ac:dyDescent="0.25">
      <c r="A54" s="26"/>
      <c r="B54" s="13" t="str">
        <f>CONCATENATE("     ","*Benefits                                         ")</f>
        <v xml:space="preserve">     *Benefits                                         </v>
      </c>
      <c r="C54" s="13"/>
      <c r="D54" s="1">
        <f>SUM(OSRRefD22_0x_0)</f>
        <v>0</v>
      </c>
      <c r="E54" s="1"/>
      <c r="F54" s="5">
        <f t="shared" si="19"/>
        <v>0</v>
      </c>
      <c r="G54" s="1"/>
      <c r="H54" s="1">
        <f>SUM(OSRRefH22_0x_0)</f>
        <v>2042.7599999999998</v>
      </c>
      <c r="I54" s="1"/>
      <c r="J54" s="5">
        <f t="shared" si="20"/>
        <v>9.0899018148565935E-2</v>
      </c>
      <c r="K54" s="1"/>
      <c r="L54" s="1">
        <f t="shared" si="21"/>
        <v>-2042.7599999999998</v>
      </c>
      <c r="M54" s="1"/>
      <c r="N54" s="5">
        <f t="shared" si="22"/>
        <v>-1</v>
      </c>
      <c r="O54" s="13"/>
      <c r="P54" s="1">
        <f>SUM(OSRRefP22_0x_0)</f>
        <v>0</v>
      </c>
      <c r="Q54" s="1"/>
      <c r="R54" s="5">
        <f t="shared" si="23"/>
        <v>0</v>
      </c>
      <c r="S54" s="1"/>
      <c r="T54" s="1">
        <f>SUM(OSRRefT22_0x_0)</f>
        <v>10639.530000000002</v>
      </c>
      <c r="U54" s="1"/>
      <c r="V54" s="5">
        <f t="shared" si="24"/>
        <v>4.3051801900683445E-2</v>
      </c>
      <c r="W54" s="1"/>
      <c r="X54" s="1">
        <f t="shared" si="25"/>
        <v>-10639.530000000002</v>
      </c>
      <c r="Y54" s="1"/>
      <c r="Z54" s="5">
        <f t="shared" si="26"/>
        <v>-1</v>
      </c>
    </row>
    <row r="55" spans="1:26" s="24" customFormat="1" hidden="1" outlineLevel="2" x14ac:dyDescent="0.25">
      <c r="A55" s="27"/>
      <c r="B55" s="11" t="str">
        <f>CONCATENATE("          ", "6111", " - ", "F.I.C.A.")</f>
        <v xml:space="preserve">          6111 - F.I.C.A.</v>
      </c>
      <c r="C55" s="11"/>
      <c r="D55" s="7"/>
      <c r="E55" s="2"/>
      <c r="F55" s="6">
        <f t="shared" si="19"/>
        <v>0</v>
      </c>
      <c r="G55" s="2"/>
      <c r="H55" s="7">
        <v>254.5</v>
      </c>
      <c r="I55" s="2"/>
      <c r="J55" s="6">
        <f t="shared" si="20"/>
        <v>1.1324776341229529E-2</v>
      </c>
      <c r="K55" s="2"/>
      <c r="L55" s="7">
        <f t="shared" si="21"/>
        <v>-254.5</v>
      </c>
      <c r="M55" s="2"/>
      <c r="N55" s="6">
        <f t="shared" si="22"/>
        <v>-1</v>
      </c>
      <c r="O55" s="11"/>
      <c r="P55" s="7"/>
      <c r="Q55" s="2"/>
      <c r="R55" s="6">
        <f t="shared" si="23"/>
        <v>0</v>
      </c>
      <c r="S55" s="2"/>
      <c r="T55" s="7">
        <v>1669.67</v>
      </c>
      <c r="U55" s="2"/>
      <c r="V55" s="6">
        <f t="shared" si="24"/>
        <v>6.7561538977298921E-3</v>
      </c>
      <c r="W55" s="2"/>
      <c r="X55" s="7">
        <f t="shared" si="25"/>
        <v>-1669.67</v>
      </c>
      <c r="Y55" s="2"/>
      <c r="Z55" s="6">
        <f t="shared" si="26"/>
        <v>-1</v>
      </c>
    </row>
    <row r="56" spans="1:26" s="24" customFormat="1" hidden="1" outlineLevel="2" x14ac:dyDescent="0.25">
      <c r="A56" s="27"/>
      <c r="B56" s="11" t="str">
        <f>CONCATENATE("          ", "6112", " - ", "COMPENSATION INSURANCE")</f>
        <v xml:space="preserve">          6112 - COMPENSATION INSURANCE</v>
      </c>
      <c r="C56" s="11"/>
      <c r="D56" s="7"/>
      <c r="E56" s="2"/>
      <c r="F56" s="6">
        <f t="shared" si="19"/>
        <v>0</v>
      </c>
      <c r="G56" s="2"/>
      <c r="H56" s="7">
        <v>177.32</v>
      </c>
      <c r="I56" s="2"/>
      <c r="J56" s="6">
        <f t="shared" si="20"/>
        <v>7.8904099836024366E-3</v>
      </c>
      <c r="K56" s="2"/>
      <c r="L56" s="7">
        <f t="shared" si="21"/>
        <v>-177.32</v>
      </c>
      <c r="M56" s="2"/>
      <c r="N56" s="6">
        <f t="shared" si="22"/>
        <v>-1</v>
      </c>
      <c r="O56" s="11"/>
      <c r="P56" s="7"/>
      <c r="Q56" s="2"/>
      <c r="R56" s="6">
        <f t="shared" si="23"/>
        <v>0</v>
      </c>
      <c r="S56" s="2"/>
      <c r="T56" s="7">
        <v>704.38</v>
      </c>
      <c r="U56" s="2"/>
      <c r="V56" s="6">
        <f t="shared" si="24"/>
        <v>2.8502037423460812E-3</v>
      </c>
      <c r="W56" s="2"/>
      <c r="X56" s="7">
        <f t="shared" si="25"/>
        <v>-704.38</v>
      </c>
      <c r="Y56" s="2"/>
      <c r="Z56" s="6">
        <f t="shared" si="26"/>
        <v>-1</v>
      </c>
    </row>
    <row r="57" spans="1:26" s="24" customFormat="1" hidden="1" outlineLevel="2" x14ac:dyDescent="0.25">
      <c r="A57" s="27"/>
      <c r="B57" s="11" t="str">
        <f>CONCATENATE("          ", "6113", " - ", "GROUP INSURANCE")</f>
        <v xml:space="preserve">          6113 - GROUP INSURANCE</v>
      </c>
      <c r="C57" s="11"/>
      <c r="D57" s="7"/>
      <c r="E57" s="2"/>
      <c r="F57" s="6">
        <f t="shared" si="19"/>
        <v>0</v>
      </c>
      <c r="G57" s="2"/>
      <c r="H57" s="7">
        <v>1138.32</v>
      </c>
      <c r="I57" s="2"/>
      <c r="J57" s="6">
        <f t="shared" si="20"/>
        <v>5.0653121433196058E-2</v>
      </c>
      <c r="K57" s="2"/>
      <c r="L57" s="7">
        <f t="shared" si="21"/>
        <v>-1138.32</v>
      </c>
      <c r="M57" s="2"/>
      <c r="N57" s="6">
        <f t="shared" si="22"/>
        <v>-1</v>
      </c>
      <c r="O57" s="11"/>
      <c r="P57" s="7"/>
      <c r="Q57" s="2"/>
      <c r="R57" s="6">
        <f t="shared" si="23"/>
        <v>0</v>
      </c>
      <c r="S57" s="2"/>
      <c r="T57" s="7">
        <v>5018.76</v>
      </c>
      <c r="U57" s="2"/>
      <c r="V57" s="6">
        <f t="shared" si="24"/>
        <v>2.0307914100253868E-2</v>
      </c>
      <c r="W57" s="2"/>
      <c r="X57" s="7">
        <f t="shared" si="25"/>
        <v>-5018.76</v>
      </c>
      <c r="Y57" s="2"/>
      <c r="Z57" s="6">
        <f t="shared" si="26"/>
        <v>-1</v>
      </c>
    </row>
    <row r="58" spans="1:26" s="24" customFormat="1" hidden="1" outlineLevel="2" x14ac:dyDescent="0.25">
      <c r="A58" s="27"/>
      <c r="B58" s="11" t="str">
        <f>CONCATENATE("          ", "6114", " - ", "STATE UNEMPLOYMENT INSURANCE")</f>
        <v xml:space="preserve">          6114 - STATE UNEMPLOYMENT INSURANCE</v>
      </c>
      <c r="C58" s="11"/>
      <c r="D58" s="7"/>
      <c r="E58" s="2"/>
      <c r="F58" s="6">
        <f t="shared" si="19"/>
        <v>0</v>
      </c>
      <c r="G58" s="2"/>
      <c r="H58" s="7">
        <v>24.26</v>
      </c>
      <c r="I58" s="2"/>
      <c r="J58" s="6">
        <f t="shared" si="20"/>
        <v>1.079524848873196E-3</v>
      </c>
      <c r="K58" s="2"/>
      <c r="L58" s="7">
        <f t="shared" si="21"/>
        <v>-24.26</v>
      </c>
      <c r="M58" s="2"/>
      <c r="N58" s="6">
        <f t="shared" si="22"/>
        <v>-1</v>
      </c>
      <c r="O58" s="11"/>
      <c r="P58" s="7"/>
      <c r="Q58" s="2"/>
      <c r="R58" s="6">
        <f t="shared" si="23"/>
        <v>0</v>
      </c>
      <c r="S58" s="2"/>
      <c r="T58" s="7">
        <v>115.96</v>
      </c>
      <c r="U58" s="2"/>
      <c r="V58" s="6">
        <f t="shared" si="24"/>
        <v>4.692206280167687E-4</v>
      </c>
      <c r="W58" s="2"/>
      <c r="X58" s="7">
        <f t="shared" si="25"/>
        <v>-115.96</v>
      </c>
      <c r="Y58" s="2"/>
      <c r="Z58" s="6">
        <f t="shared" si="26"/>
        <v>-1</v>
      </c>
    </row>
    <row r="59" spans="1:26" s="24" customFormat="1" hidden="1" outlineLevel="2" x14ac:dyDescent="0.25">
      <c r="A59" s="27"/>
      <c r="B59" s="11" t="str">
        <f>CONCATENATE("          ", "6115", " - ", "P.E.R.S.")</f>
        <v xml:space="preserve">          6115 - P.E.R.S.</v>
      </c>
      <c r="C59" s="11"/>
      <c r="D59" s="7"/>
      <c r="E59" s="2"/>
      <c r="F59" s="6">
        <f t="shared" si="19"/>
        <v>0</v>
      </c>
      <c r="G59" s="2"/>
      <c r="H59" s="7">
        <v>232.24</v>
      </c>
      <c r="I59" s="2"/>
      <c r="J59" s="6">
        <f t="shared" si="20"/>
        <v>1.0334247770087018E-2</v>
      </c>
      <c r="K59" s="2"/>
      <c r="L59" s="7">
        <f t="shared" si="21"/>
        <v>-232.24</v>
      </c>
      <c r="M59" s="2"/>
      <c r="N59" s="6">
        <f t="shared" si="22"/>
        <v>-1</v>
      </c>
      <c r="O59" s="11"/>
      <c r="P59" s="7"/>
      <c r="Q59" s="2"/>
      <c r="R59" s="6">
        <f t="shared" si="23"/>
        <v>0</v>
      </c>
      <c r="S59" s="2"/>
      <c r="T59" s="7">
        <v>1027.52</v>
      </c>
      <c r="U59" s="2"/>
      <c r="V59" s="6">
        <f t="shared" si="24"/>
        <v>4.1577576724714576E-3</v>
      </c>
      <c r="W59" s="2"/>
      <c r="X59" s="7">
        <f t="shared" si="25"/>
        <v>-1027.52</v>
      </c>
      <c r="Y59" s="2"/>
      <c r="Z59" s="6">
        <f t="shared" si="26"/>
        <v>-1</v>
      </c>
    </row>
    <row r="60" spans="1:26" s="24" customFormat="1" hidden="1" outlineLevel="2" x14ac:dyDescent="0.25">
      <c r="A60" s="27"/>
      <c r="B60" s="11" t="str">
        <f>CONCATENATE("          ", "6118", " - ", "VACATION")</f>
        <v xml:space="preserve">          6118 - VACATION</v>
      </c>
      <c r="C60" s="11"/>
      <c r="D60" s="7"/>
      <c r="E60" s="2"/>
      <c r="F60" s="6">
        <f t="shared" si="19"/>
        <v>0</v>
      </c>
      <c r="G60" s="2"/>
      <c r="H60" s="7">
        <v>62.76</v>
      </c>
      <c r="I60" s="2"/>
      <c r="J60" s="6">
        <f t="shared" si="20"/>
        <v>2.7927031951888613E-3</v>
      </c>
      <c r="K60" s="2"/>
      <c r="L60" s="7">
        <f t="shared" si="21"/>
        <v>-62.76</v>
      </c>
      <c r="M60" s="2"/>
      <c r="N60" s="6">
        <f t="shared" si="22"/>
        <v>-1</v>
      </c>
      <c r="O60" s="11"/>
      <c r="P60" s="7"/>
      <c r="Q60" s="2"/>
      <c r="R60" s="6">
        <f t="shared" si="23"/>
        <v>0</v>
      </c>
      <c r="S60" s="2"/>
      <c r="T60" s="7">
        <v>997.86</v>
      </c>
      <c r="U60" s="2"/>
      <c r="V60" s="6">
        <f t="shared" si="24"/>
        <v>4.0377414269818284E-3</v>
      </c>
      <c r="W60" s="2"/>
      <c r="X60" s="7">
        <f t="shared" si="25"/>
        <v>-997.86</v>
      </c>
      <c r="Y60" s="2"/>
      <c r="Z60" s="6">
        <f t="shared" si="26"/>
        <v>-1</v>
      </c>
    </row>
    <row r="61" spans="1:26" s="24" customFormat="1" hidden="1" outlineLevel="2" x14ac:dyDescent="0.25">
      <c r="A61" s="27"/>
      <c r="B61" s="11" t="str">
        <f>CONCATENATE("          ", "6119", " - ", "SICK LEAVE")</f>
        <v xml:space="preserve">          6119 - SICK LEAVE</v>
      </c>
      <c r="C61" s="11"/>
      <c r="D61" s="7"/>
      <c r="E61" s="2"/>
      <c r="F61" s="6">
        <f t="shared" si="19"/>
        <v>0</v>
      </c>
      <c r="G61" s="2"/>
      <c r="H61" s="7">
        <v>153.36000000000001</v>
      </c>
      <c r="I61" s="2"/>
      <c r="J61" s="6">
        <f t="shared" si="20"/>
        <v>6.824234576388844E-3</v>
      </c>
      <c r="K61" s="2"/>
      <c r="L61" s="7">
        <f t="shared" si="21"/>
        <v>-153.36000000000001</v>
      </c>
      <c r="M61" s="2"/>
      <c r="N61" s="6">
        <f t="shared" si="22"/>
        <v>-1</v>
      </c>
      <c r="O61" s="11"/>
      <c r="P61" s="7"/>
      <c r="Q61" s="2"/>
      <c r="R61" s="6">
        <f t="shared" si="23"/>
        <v>0</v>
      </c>
      <c r="S61" s="2"/>
      <c r="T61" s="7">
        <v>1105.3800000000001</v>
      </c>
      <c r="U61" s="2"/>
      <c r="V61" s="6">
        <f t="shared" si="24"/>
        <v>4.4728104328835448E-3</v>
      </c>
      <c r="W61" s="2"/>
      <c r="X61" s="7">
        <f t="shared" si="25"/>
        <v>-1105.3800000000001</v>
      </c>
      <c r="Y61" s="2"/>
      <c r="Z61" s="6">
        <f t="shared" si="26"/>
        <v>-1</v>
      </c>
    </row>
    <row r="62" spans="1:26" s="25" customFormat="1" outlineLevel="1" collapsed="1" x14ac:dyDescent="0.25">
      <c r="A62" s="26"/>
      <c r="B62" s="13" t="str">
        <f>CONCATENATE("     ","*Payroll                                          ")</f>
        <v xml:space="preserve">     *Payroll                                          </v>
      </c>
      <c r="C62" s="13"/>
      <c r="D62" s="1">
        <f>SUM(OSRRefD22_1x_0)</f>
        <v>0</v>
      </c>
      <c r="E62" s="1"/>
      <c r="F62" s="5">
        <f t="shared" ref="F62:F65" si="27">IF(D$12=0,0,D62/D$12)</f>
        <v>0</v>
      </c>
      <c r="G62" s="1"/>
      <c r="H62" s="1">
        <f>SUM(OSRRefH22_1x_0)</f>
        <v>5878.3</v>
      </c>
      <c r="I62" s="1"/>
      <c r="J62" s="5">
        <f t="shared" ref="J62:J65" si="28">IF(H$12=0,0,H62/H$12)</f>
        <v>0.26157340969213966</v>
      </c>
      <c r="K62" s="1"/>
      <c r="L62" s="1">
        <f t="shared" ref="L62:L65" si="29">+D62-H62</f>
        <v>-5878.3</v>
      </c>
      <c r="M62" s="1"/>
      <c r="N62" s="5">
        <f t="shared" ref="N62:N65" si="30">IF(H62=0,0,L62/H62)</f>
        <v>-1</v>
      </c>
      <c r="O62" s="13"/>
      <c r="P62" s="1">
        <f>SUM(OSRRefP22_1x_0)</f>
        <v>0</v>
      </c>
      <c r="Q62" s="1"/>
      <c r="R62" s="5">
        <f t="shared" ref="R62:R65" si="31">IF(P$12=0,0,P62/P$12)</f>
        <v>0</v>
      </c>
      <c r="S62" s="1"/>
      <c r="T62" s="1">
        <f>SUM(OSRRefT22_1x_0)</f>
        <v>41907.949999999997</v>
      </c>
      <c r="U62" s="1"/>
      <c r="V62" s="5">
        <f t="shared" ref="V62:V65" si="32">IF(T$12=0,0,T62/T$12)</f>
        <v>0.16957635924366454</v>
      </c>
      <c r="W62" s="1"/>
      <c r="X62" s="1">
        <f t="shared" ref="X62:X65" si="33">+P62-T62</f>
        <v>-41907.949999999997</v>
      </c>
      <c r="Y62" s="1"/>
      <c r="Z62" s="5">
        <f t="shared" ref="Z62:Z65" si="34">IF(T62=0,0,X62/T62)</f>
        <v>-1</v>
      </c>
    </row>
    <row r="63" spans="1:26" s="24" customFormat="1" hidden="1" outlineLevel="2" x14ac:dyDescent="0.25">
      <c r="A63" s="27"/>
      <c r="B63" s="11" t="str">
        <f>CONCATENATE("          ", "6002", " - ", "STAFF SALARIES")</f>
        <v xml:space="preserve">          6002 - STAFF SALARIES</v>
      </c>
      <c r="C63" s="11"/>
      <c r="D63" s="7"/>
      <c r="E63" s="2"/>
      <c r="F63" s="6">
        <f t="shared" si="27"/>
        <v>0</v>
      </c>
      <c r="G63" s="2"/>
      <c r="H63" s="7">
        <v>3228.8</v>
      </c>
      <c r="I63" s="2"/>
      <c r="J63" s="6">
        <f t="shared" si="28"/>
        <v>0.14367559076841613</v>
      </c>
      <c r="K63" s="2"/>
      <c r="L63" s="7">
        <f t="shared" si="29"/>
        <v>-3228.8</v>
      </c>
      <c r="M63" s="2"/>
      <c r="N63" s="6">
        <f t="shared" si="30"/>
        <v>-1</v>
      </c>
      <c r="O63" s="11"/>
      <c r="P63" s="7"/>
      <c r="Q63" s="2"/>
      <c r="R63" s="6">
        <f t="shared" si="31"/>
        <v>0</v>
      </c>
      <c r="S63" s="2"/>
      <c r="T63" s="7">
        <v>14225.71</v>
      </c>
      <c r="U63" s="2"/>
      <c r="V63" s="6">
        <f t="shared" si="32"/>
        <v>5.7562923250986775E-2</v>
      </c>
      <c r="W63" s="2"/>
      <c r="X63" s="7">
        <f t="shared" si="33"/>
        <v>-14225.71</v>
      </c>
      <c r="Y63" s="2"/>
      <c r="Z63" s="6">
        <f t="shared" si="34"/>
        <v>-1</v>
      </c>
    </row>
    <row r="64" spans="1:26" s="24" customFormat="1" hidden="1" outlineLevel="2" x14ac:dyDescent="0.25">
      <c r="A64" s="27"/>
      <c r="B64" s="11" t="str">
        <f>CONCATENATE("          ", "6004", " - ", "STAFF HOURLY")</f>
        <v xml:space="preserve">          6004 - STAFF HOURLY</v>
      </c>
      <c r="C64" s="11"/>
      <c r="D64" s="7"/>
      <c r="E64" s="2"/>
      <c r="F64" s="6">
        <f t="shared" si="27"/>
        <v>0</v>
      </c>
      <c r="G64" s="2"/>
      <c r="H64" s="7"/>
      <c r="I64" s="2"/>
      <c r="J64" s="6">
        <f t="shared" si="28"/>
        <v>0</v>
      </c>
      <c r="K64" s="2"/>
      <c r="L64" s="7">
        <f t="shared" si="29"/>
        <v>0</v>
      </c>
      <c r="M64" s="2"/>
      <c r="N64" s="6">
        <f t="shared" si="30"/>
        <v>0</v>
      </c>
      <c r="O64" s="11"/>
      <c r="P64" s="7"/>
      <c r="Q64" s="2"/>
      <c r="R64" s="6">
        <f t="shared" si="31"/>
        <v>0</v>
      </c>
      <c r="S64" s="2"/>
      <c r="T64" s="7">
        <v>-48</v>
      </c>
      <c r="U64" s="2"/>
      <c r="V64" s="6">
        <f t="shared" si="32"/>
        <v>-1.9422723477755172E-4</v>
      </c>
      <c r="W64" s="2"/>
      <c r="X64" s="7">
        <f t="shared" si="33"/>
        <v>48</v>
      </c>
      <c r="Y64" s="2"/>
      <c r="Z64" s="6">
        <f t="shared" si="34"/>
        <v>-1</v>
      </c>
    </row>
    <row r="65" spans="1:26" s="24" customFormat="1" hidden="1" outlineLevel="2" x14ac:dyDescent="0.25">
      <c r="A65" s="27"/>
      <c r="B65" s="11" t="str">
        <f>CONCATENATE("          ", "6007", " - ", "STUDENT HOURLY")</f>
        <v xml:space="preserve">          6007 - STUDENT HOURLY</v>
      </c>
      <c r="C65" s="11"/>
      <c r="D65" s="7"/>
      <c r="E65" s="2"/>
      <c r="F65" s="6">
        <f t="shared" si="27"/>
        <v>0</v>
      </c>
      <c r="G65" s="2"/>
      <c r="H65" s="7">
        <v>2649.5</v>
      </c>
      <c r="I65" s="2"/>
      <c r="J65" s="6">
        <f t="shared" si="28"/>
        <v>0.11789781892372353</v>
      </c>
      <c r="K65" s="2"/>
      <c r="L65" s="7">
        <f t="shared" si="29"/>
        <v>-2649.5</v>
      </c>
      <c r="M65" s="2"/>
      <c r="N65" s="6">
        <f t="shared" si="30"/>
        <v>-1</v>
      </c>
      <c r="O65" s="11"/>
      <c r="P65" s="7"/>
      <c r="Q65" s="2"/>
      <c r="R65" s="6">
        <f t="shared" si="31"/>
        <v>0</v>
      </c>
      <c r="S65" s="2"/>
      <c r="T65" s="7">
        <v>27730.240000000002</v>
      </c>
      <c r="U65" s="2"/>
      <c r="V65" s="6">
        <f t="shared" si="32"/>
        <v>0.11220766322745535</v>
      </c>
      <c r="W65" s="2"/>
      <c r="X65" s="7">
        <f t="shared" si="33"/>
        <v>-27730.240000000002</v>
      </c>
      <c r="Y65" s="2"/>
      <c r="Z65" s="6">
        <f t="shared" si="34"/>
        <v>-1</v>
      </c>
    </row>
    <row r="66" spans="1:26" s="25" customFormat="1" outlineLevel="1" collapsed="1" x14ac:dyDescent="0.25">
      <c r="A66" s="26"/>
      <c r="B66" s="13" t="str">
        <f>CONCATENATE("     ","Advertising/Promo                                 ")</f>
        <v xml:space="preserve">     Advertising/Promo                                 </v>
      </c>
      <c r="C66" s="13"/>
      <c r="D66" s="1">
        <f>SUM(OSRRefD22_2x_0)</f>
        <v>0</v>
      </c>
      <c r="E66" s="1"/>
      <c r="F66" s="5">
        <f t="shared" ref="F66:F70" si="35">IF(D$12=0,0,D66/D$12)</f>
        <v>0</v>
      </c>
      <c r="G66" s="1"/>
      <c r="H66" s="1">
        <f>SUM(OSRRefH22_2x_0)</f>
        <v>258.51</v>
      </c>
      <c r="I66" s="1"/>
      <c r="J66" s="5">
        <f t="shared" ref="J66:J70" si="36">IF(H$12=0,0,H66/H$12)</f>
        <v>1.150321387807955E-2</v>
      </c>
      <c r="K66" s="1"/>
      <c r="L66" s="1">
        <f t="shared" ref="L66:L70" si="37">+D66-H66</f>
        <v>-258.51</v>
      </c>
      <c r="M66" s="1"/>
      <c r="N66" s="5">
        <f t="shared" ref="N66:N70" si="38">IF(H66=0,0,L66/H66)</f>
        <v>-1</v>
      </c>
      <c r="O66" s="13"/>
      <c r="P66" s="1">
        <f>SUM(OSRRefP22_2x_0)</f>
        <v>0</v>
      </c>
      <c r="Q66" s="1"/>
      <c r="R66" s="5">
        <f t="shared" ref="R66:R70" si="39">IF(P$12=0,0,P66/P$12)</f>
        <v>0</v>
      </c>
      <c r="S66" s="1"/>
      <c r="T66" s="1">
        <f>SUM(OSRRefT22_2x_0)</f>
        <v>1140.3699999999999</v>
      </c>
      <c r="U66" s="1"/>
      <c r="V66" s="5">
        <f t="shared" ref="V66:V70" si="40">IF(T$12=0,0,T66/T$12)</f>
        <v>4.6143939942349301E-3</v>
      </c>
      <c r="W66" s="1"/>
      <c r="X66" s="1">
        <f t="shared" ref="X66:X70" si="41">+P66-T66</f>
        <v>-1140.3699999999999</v>
      </c>
      <c r="Y66" s="1"/>
      <c r="Z66" s="5">
        <f t="shared" ref="Z66:Z70" si="42">IF(T66=0,0,X66/T66)</f>
        <v>-1</v>
      </c>
    </row>
    <row r="67" spans="1:26" s="24" customFormat="1" hidden="1" outlineLevel="2" x14ac:dyDescent="0.25">
      <c r="A67" s="27"/>
      <c r="B67" s="11" t="str">
        <f>CONCATENATE("          ", "6362", " - ", "ADVERTISING EXPENSE")</f>
        <v xml:space="preserve">          6362 - ADVERTISING EXPENSE</v>
      </c>
      <c r="C67" s="11"/>
      <c r="D67" s="7"/>
      <c r="E67" s="2"/>
      <c r="F67" s="6">
        <f t="shared" si="35"/>
        <v>0</v>
      </c>
      <c r="G67" s="2"/>
      <c r="H67" s="7">
        <v>258.51</v>
      </c>
      <c r="I67" s="2"/>
      <c r="J67" s="6">
        <f t="shared" si="36"/>
        <v>1.150321387807955E-2</v>
      </c>
      <c r="K67" s="2"/>
      <c r="L67" s="7">
        <f t="shared" si="37"/>
        <v>-258.51</v>
      </c>
      <c r="M67" s="2"/>
      <c r="N67" s="6">
        <f t="shared" si="38"/>
        <v>-1</v>
      </c>
      <c r="O67" s="11"/>
      <c r="P67" s="7"/>
      <c r="Q67" s="2"/>
      <c r="R67" s="6">
        <f t="shared" si="39"/>
        <v>0</v>
      </c>
      <c r="S67" s="2"/>
      <c r="T67" s="7">
        <v>1140.3699999999999</v>
      </c>
      <c r="U67" s="2"/>
      <c r="V67" s="6">
        <f t="shared" si="40"/>
        <v>4.6143939942349301E-3</v>
      </c>
      <c r="W67" s="2"/>
      <c r="X67" s="7">
        <f t="shared" si="41"/>
        <v>-1140.3699999999999</v>
      </c>
      <c r="Y67" s="2"/>
      <c r="Z67" s="6">
        <f t="shared" si="42"/>
        <v>-1</v>
      </c>
    </row>
    <row r="68" spans="1:26" s="25" customFormat="1" outlineLevel="1" collapsed="1" x14ac:dyDescent="0.25">
      <c r="A68" s="26"/>
      <c r="B68" s="13" t="str">
        <f>CONCATENATE("     ","Discounts and Markdowns                           ")</f>
        <v xml:space="preserve">     Discounts and Markdowns                           </v>
      </c>
      <c r="C68" s="13"/>
      <c r="D68" s="1">
        <f>SUM(OSRRefD22_3x_0)</f>
        <v>0</v>
      </c>
      <c r="E68" s="1"/>
      <c r="F68" s="5">
        <f t="shared" si="35"/>
        <v>0</v>
      </c>
      <c r="G68" s="1"/>
      <c r="H68" s="1">
        <f>SUM(OSRRefH22_3x_0)</f>
        <v>887.76</v>
      </c>
      <c r="I68" s="1"/>
      <c r="J68" s="5">
        <f t="shared" si="36"/>
        <v>3.950366775909598E-2</v>
      </c>
      <c r="K68" s="1"/>
      <c r="L68" s="1">
        <f t="shared" si="37"/>
        <v>-887.76</v>
      </c>
      <c r="M68" s="1"/>
      <c r="N68" s="5">
        <f t="shared" si="38"/>
        <v>-1</v>
      </c>
      <c r="O68" s="13"/>
      <c r="P68" s="1">
        <f>SUM(OSRRefP22_3x_0)</f>
        <v>0</v>
      </c>
      <c r="Q68" s="1"/>
      <c r="R68" s="5">
        <f t="shared" si="39"/>
        <v>0</v>
      </c>
      <c r="S68" s="1"/>
      <c r="T68" s="1">
        <f>SUM(OSRRefT22_3x_0)</f>
        <v>5837.33</v>
      </c>
      <c r="U68" s="1"/>
      <c r="V68" s="5">
        <f t="shared" si="40"/>
        <v>2.3620176341334294E-2</v>
      </c>
      <c r="W68" s="1"/>
      <c r="X68" s="1">
        <f t="shared" si="41"/>
        <v>-5837.33</v>
      </c>
      <c r="Y68" s="1"/>
      <c r="Z68" s="5">
        <f t="shared" si="42"/>
        <v>-1</v>
      </c>
    </row>
    <row r="69" spans="1:26" s="24" customFormat="1" hidden="1" outlineLevel="2" x14ac:dyDescent="0.25">
      <c r="A69" s="27"/>
      <c r="B69" s="11" t="str">
        <f>CONCATENATE("          ", "6382", " - ", "DISCOUNTS/MARK DOWNS")</f>
        <v xml:space="preserve">          6382 - DISCOUNTS/MARK DOWNS</v>
      </c>
      <c r="C69" s="11"/>
      <c r="D69" s="7"/>
      <c r="E69" s="2"/>
      <c r="F69" s="6">
        <f t="shared" si="35"/>
        <v>0</v>
      </c>
      <c r="G69" s="2"/>
      <c r="H69" s="7">
        <v>887.76</v>
      </c>
      <c r="I69" s="2"/>
      <c r="J69" s="6">
        <f t="shared" si="36"/>
        <v>3.950366775909598E-2</v>
      </c>
      <c r="K69" s="2"/>
      <c r="L69" s="7">
        <f t="shared" si="37"/>
        <v>-887.76</v>
      </c>
      <c r="M69" s="2"/>
      <c r="N69" s="6">
        <f t="shared" si="38"/>
        <v>-1</v>
      </c>
      <c r="O69" s="11"/>
      <c r="P69" s="7"/>
      <c r="Q69" s="2"/>
      <c r="R69" s="6">
        <f t="shared" si="39"/>
        <v>0</v>
      </c>
      <c r="S69" s="2"/>
      <c r="T69" s="7">
        <v>5837.33</v>
      </c>
      <c r="U69" s="2"/>
      <c r="V69" s="6">
        <f t="shared" si="40"/>
        <v>2.3620176341334294E-2</v>
      </c>
      <c r="W69" s="2"/>
      <c r="X69" s="7">
        <f t="shared" si="41"/>
        <v>-5837.33</v>
      </c>
      <c r="Y69" s="2"/>
      <c r="Z69" s="6">
        <f t="shared" si="42"/>
        <v>-1</v>
      </c>
    </row>
    <row r="70" spans="1:26" s="24" customFormat="1" hidden="1" outlineLevel="2" x14ac:dyDescent="0.25">
      <c r="A70" s="27"/>
      <c r="B70" s="11" t="str">
        <f>CONCATENATE("          ", "9175", " - ", "EARNED DISCOUNTS")</f>
        <v xml:space="preserve">          9175 - EARNED DISCOUNTS</v>
      </c>
      <c r="C70" s="11"/>
      <c r="D70" s="7"/>
      <c r="E70" s="2"/>
      <c r="F70" s="6">
        <f t="shared" si="35"/>
        <v>0</v>
      </c>
      <c r="G70" s="2"/>
      <c r="H70" s="7"/>
      <c r="I70" s="2"/>
      <c r="J70" s="6">
        <f t="shared" si="36"/>
        <v>0</v>
      </c>
      <c r="K70" s="2"/>
      <c r="L70" s="7">
        <f t="shared" si="37"/>
        <v>0</v>
      </c>
      <c r="M70" s="2"/>
      <c r="N70" s="6">
        <f t="shared" si="38"/>
        <v>0</v>
      </c>
      <c r="O70" s="11"/>
      <c r="P70" s="7"/>
      <c r="Q70" s="2"/>
      <c r="R70" s="6">
        <f t="shared" si="39"/>
        <v>0</v>
      </c>
      <c r="S70" s="2"/>
      <c r="T70" s="7">
        <v>0</v>
      </c>
      <c r="U70" s="2"/>
      <c r="V70" s="6">
        <f t="shared" si="40"/>
        <v>0</v>
      </c>
      <c r="W70" s="2"/>
      <c r="X70" s="7">
        <f t="shared" si="41"/>
        <v>0</v>
      </c>
      <c r="Y70" s="2"/>
      <c r="Z70" s="6">
        <f t="shared" si="42"/>
        <v>0</v>
      </c>
    </row>
    <row r="71" spans="1:26" s="25" customFormat="1" outlineLevel="1" collapsed="1" x14ac:dyDescent="0.25">
      <c r="A71" s="26"/>
      <c r="B71" s="13" t="str">
        <f>CONCATENATE("     ","Freight out/Postage                               ")</f>
        <v xml:space="preserve">     Freight out/Postage                               </v>
      </c>
      <c r="C71" s="13"/>
      <c r="D71" s="1">
        <f>SUM(OSRRefD22_4x_0)</f>
        <v>0</v>
      </c>
      <c r="E71" s="1"/>
      <c r="F71" s="5">
        <f t="shared" ref="F71:F78" si="43">IF(D$12=0,0,D71/D$12)</f>
        <v>0</v>
      </c>
      <c r="G71" s="1"/>
      <c r="H71" s="1">
        <f>SUM(OSRRefH22_4x_0)</f>
        <v>0</v>
      </c>
      <c r="I71" s="1"/>
      <c r="J71" s="5">
        <f t="shared" ref="J71:J78" si="44">IF(H$12=0,0,H71/H$12)</f>
        <v>0</v>
      </c>
      <c r="K71" s="1"/>
      <c r="L71" s="1">
        <f t="shared" ref="L71:L78" si="45">+D71-H71</f>
        <v>0</v>
      </c>
      <c r="M71" s="1"/>
      <c r="N71" s="5">
        <f t="shared" ref="N71:N78" si="46">IF(H71=0,0,L71/H71)</f>
        <v>0</v>
      </c>
      <c r="O71" s="13"/>
      <c r="P71" s="1">
        <f>SUM(OSRRefP22_4x_0)</f>
        <v>0</v>
      </c>
      <c r="Q71" s="1"/>
      <c r="R71" s="5">
        <f t="shared" ref="R71:R78" si="47">IF(P$12=0,0,P71/P$12)</f>
        <v>0</v>
      </c>
      <c r="S71" s="1"/>
      <c r="T71" s="1">
        <f>SUM(OSRRefT22_4x_0)</f>
        <v>15.81</v>
      </c>
      <c r="U71" s="1"/>
      <c r="V71" s="5">
        <f t="shared" ref="V71:V78" si="48">IF(T$12=0,0,T71/T$12)</f>
        <v>6.397359545485611E-5</v>
      </c>
      <c r="W71" s="1"/>
      <c r="X71" s="1">
        <f t="shared" ref="X71:X78" si="49">+P71-T71</f>
        <v>-15.81</v>
      </c>
      <c r="Y71" s="1"/>
      <c r="Z71" s="5">
        <f t="shared" ref="Z71:Z78" si="50">IF(T71=0,0,X71/T71)</f>
        <v>-1</v>
      </c>
    </row>
    <row r="72" spans="1:26" s="24" customFormat="1" hidden="1" outlineLevel="2" x14ac:dyDescent="0.25">
      <c r="A72" s="27"/>
      <c r="B72" s="11" t="str">
        <f>CONCATENATE("          ", "6305", " - ", "FREIGHT OUT")</f>
        <v xml:space="preserve">          6305 - FREIGHT OUT</v>
      </c>
      <c r="C72" s="11"/>
      <c r="D72" s="7"/>
      <c r="E72" s="2"/>
      <c r="F72" s="6">
        <f t="shared" si="43"/>
        <v>0</v>
      </c>
      <c r="G72" s="2"/>
      <c r="H72" s="7"/>
      <c r="I72" s="2"/>
      <c r="J72" s="6">
        <f t="shared" si="44"/>
        <v>0</v>
      </c>
      <c r="K72" s="2"/>
      <c r="L72" s="7">
        <f t="shared" si="45"/>
        <v>0</v>
      </c>
      <c r="M72" s="2"/>
      <c r="N72" s="6">
        <f t="shared" si="46"/>
        <v>0</v>
      </c>
      <c r="O72" s="11"/>
      <c r="P72" s="7"/>
      <c r="Q72" s="2"/>
      <c r="R72" s="6">
        <f t="shared" si="47"/>
        <v>0</v>
      </c>
      <c r="S72" s="2"/>
      <c r="T72" s="7">
        <v>15.81</v>
      </c>
      <c r="U72" s="2"/>
      <c r="V72" s="6">
        <f t="shared" si="48"/>
        <v>6.397359545485611E-5</v>
      </c>
      <c r="W72" s="2"/>
      <c r="X72" s="7">
        <f t="shared" si="49"/>
        <v>-15.81</v>
      </c>
      <c r="Y72" s="2"/>
      <c r="Z72" s="6">
        <f t="shared" si="50"/>
        <v>-1</v>
      </c>
    </row>
    <row r="73" spans="1:26" s="25" customFormat="1" outlineLevel="1" collapsed="1" x14ac:dyDescent="0.25">
      <c r="A73" s="26"/>
      <c r="B73" s="13" t="str">
        <f>CONCATENATE("     ","Subscriptions &amp; Dues                              ")</f>
        <v xml:space="preserve">     Subscriptions &amp; Dues                              </v>
      </c>
      <c r="C73" s="13"/>
      <c r="D73" s="1">
        <f>SUM(OSRRefD22_5x_0)</f>
        <v>0</v>
      </c>
      <c r="E73" s="1"/>
      <c r="F73" s="5">
        <f t="shared" si="43"/>
        <v>0</v>
      </c>
      <c r="G73" s="1"/>
      <c r="H73" s="1">
        <f>SUM(OSRRefH22_5x_0)</f>
        <v>0</v>
      </c>
      <c r="I73" s="1"/>
      <c r="J73" s="5">
        <f t="shared" si="44"/>
        <v>0</v>
      </c>
      <c r="K73" s="1"/>
      <c r="L73" s="1">
        <f t="shared" si="45"/>
        <v>0</v>
      </c>
      <c r="M73" s="1"/>
      <c r="N73" s="5">
        <f t="shared" si="46"/>
        <v>0</v>
      </c>
      <c r="O73" s="13"/>
      <c r="P73" s="1">
        <f>SUM(OSRRefP22_5x_0)</f>
        <v>0</v>
      </c>
      <c r="Q73" s="1"/>
      <c r="R73" s="5">
        <f t="shared" si="47"/>
        <v>0</v>
      </c>
      <c r="S73" s="1"/>
      <c r="T73" s="1">
        <f>SUM(OSRRefT22_5x_0)</f>
        <v>120</v>
      </c>
      <c r="U73" s="1"/>
      <c r="V73" s="5">
        <f t="shared" si="48"/>
        <v>4.8556808694387931E-4</v>
      </c>
      <c r="W73" s="1"/>
      <c r="X73" s="1">
        <f t="shared" si="49"/>
        <v>-120</v>
      </c>
      <c r="Y73" s="1"/>
      <c r="Z73" s="5">
        <f t="shared" si="50"/>
        <v>-1</v>
      </c>
    </row>
    <row r="74" spans="1:26" s="24" customFormat="1" hidden="1" outlineLevel="2" x14ac:dyDescent="0.25">
      <c r="A74" s="27"/>
      <c r="B74" s="11" t="str">
        <f>CONCATENATE("          ", "6258", " - ", "MEMBERSHIP DUES")</f>
        <v xml:space="preserve">          6258 - MEMBERSHIP DUES</v>
      </c>
      <c r="C74" s="11"/>
      <c r="D74" s="7"/>
      <c r="E74" s="2"/>
      <c r="F74" s="6">
        <f t="shared" si="43"/>
        <v>0</v>
      </c>
      <c r="G74" s="2"/>
      <c r="H74" s="7"/>
      <c r="I74" s="2"/>
      <c r="J74" s="6">
        <f t="shared" si="44"/>
        <v>0</v>
      </c>
      <c r="K74" s="2"/>
      <c r="L74" s="7">
        <f t="shared" si="45"/>
        <v>0</v>
      </c>
      <c r="M74" s="2"/>
      <c r="N74" s="6">
        <f t="shared" si="46"/>
        <v>0</v>
      </c>
      <c r="O74" s="11"/>
      <c r="P74" s="7"/>
      <c r="Q74" s="2"/>
      <c r="R74" s="6">
        <f t="shared" si="47"/>
        <v>0</v>
      </c>
      <c r="S74" s="2"/>
      <c r="T74" s="7">
        <v>120</v>
      </c>
      <c r="U74" s="2"/>
      <c r="V74" s="6">
        <f t="shared" si="48"/>
        <v>4.8556808694387931E-4</v>
      </c>
      <c r="W74" s="2"/>
      <c r="X74" s="7">
        <f t="shared" si="49"/>
        <v>-120</v>
      </c>
      <c r="Y74" s="2"/>
      <c r="Z74" s="6">
        <f t="shared" si="50"/>
        <v>-1</v>
      </c>
    </row>
    <row r="75" spans="1:26" s="25" customFormat="1" outlineLevel="1" collapsed="1" x14ac:dyDescent="0.25">
      <c r="A75" s="26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SUM(OSRRefD22_6x_0)</f>
        <v>0</v>
      </c>
      <c r="E75" s="1"/>
      <c r="F75" s="5">
        <f t="shared" si="43"/>
        <v>0</v>
      </c>
      <c r="G75" s="1"/>
      <c r="H75" s="1">
        <f>SUM(OSRRefH22_6x_0)</f>
        <v>0</v>
      </c>
      <c r="I75" s="1"/>
      <c r="J75" s="5">
        <f t="shared" si="44"/>
        <v>0</v>
      </c>
      <c r="K75" s="1"/>
      <c r="L75" s="1">
        <f t="shared" si="45"/>
        <v>0</v>
      </c>
      <c r="M75" s="1"/>
      <c r="N75" s="5">
        <f t="shared" si="46"/>
        <v>0</v>
      </c>
      <c r="O75" s="13"/>
      <c r="P75" s="1">
        <f>SUM(OSRRefP22_6x_0)</f>
        <v>0</v>
      </c>
      <c r="Q75" s="1"/>
      <c r="R75" s="5">
        <f t="shared" si="47"/>
        <v>0</v>
      </c>
      <c r="S75" s="1"/>
      <c r="T75" s="1">
        <f>SUM(OSRRefT22_6x_0)</f>
        <v>241.84</v>
      </c>
      <c r="U75" s="1"/>
      <c r="V75" s="5">
        <f t="shared" si="48"/>
        <v>9.7858155122089821E-4</v>
      </c>
      <c r="W75" s="1"/>
      <c r="X75" s="1">
        <f t="shared" si="49"/>
        <v>-241.84</v>
      </c>
      <c r="Y75" s="1"/>
      <c r="Z75" s="5">
        <f t="shared" si="50"/>
        <v>-1</v>
      </c>
    </row>
    <row r="76" spans="1:26" s="24" customFormat="1" hidden="1" outlineLevel="2" x14ac:dyDescent="0.25">
      <c r="A76" s="27"/>
      <c r="B76" s="11" t="str">
        <f>CONCATENATE("          ", "6241", " - ", "OFFICE EXPENSE")</f>
        <v xml:space="preserve">          6241 - OFFICE EXPENSE</v>
      </c>
      <c r="C76" s="11"/>
      <c r="D76" s="7"/>
      <c r="E76" s="2"/>
      <c r="F76" s="6">
        <f t="shared" si="43"/>
        <v>0</v>
      </c>
      <c r="G76" s="2"/>
      <c r="H76" s="7"/>
      <c r="I76" s="2"/>
      <c r="J76" s="6">
        <f t="shared" si="44"/>
        <v>0</v>
      </c>
      <c r="K76" s="2"/>
      <c r="L76" s="7">
        <f t="shared" si="45"/>
        <v>0</v>
      </c>
      <c r="M76" s="2"/>
      <c r="N76" s="6">
        <f t="shared" si="46"/>
        <v>0</v>
      </c>
      <c r="O76" s="11"/>
      <c r="P76" s="7"/>
      <c r="Q76" s="2"/>
      <c r="R76" s="6">
        <f t="shared" si="47"/>
        <v>0</v>
      </c>
      <c r="S76" s="2"/>
      <c r="T76" s="7">
        <v>241.84</v>
      </c>
      <c r="U76" s="2"/>
      <c r="V76" s="6">
        <f t="shared" si="48"/>
        <v>9.7858155122089821E-4</v>
      </c>
      <c r="W76" s="2"/>
      <c r="X76" s="7">
        <f t="shared" si="49"/>
        <v>-241.84</v>
      </c>
      <c r="Y76" s="2"/>
      <c r="Z76" s="6">
        <f t="shared" si="50"/>
        <v>-1</v>
      </c>
    </row>
    <row r="77" spans="1:26" s="25" customFormat="1" outlineLevel="1" collapsed="1" x14ac:dyDescent="0.25">
      <c r="A77" s="26"/>
      <c r="B77" s="13" t="str">
        <f>CONCATENATE("     ","Travel                                            ")</f>
        <v xml:space="preserve">     Travel                                            </v>
      </c>
      <c r="C77" s="13"/>
      <c r="D77" s="1">
        <f>SUM(OSRRefD22_7x_0)</f>
        <v>0</v>
      </c>
      <c r="E77" s="1"/>
      <c r="F77" s="5">
        <f t="shared" si="43"/>
        <v>0</v>
      </c>
      <c r="G77" s="1"/>
      <c r="H77" s="1">
        <f>SUM(OSRRefH22_7x_0)</f>
        <v>-323.01</v>
      </c>
      <c r="I77" s="1"/>
      <c r="J77" s="5">
        <f t="shared" si="44"/>
        <v>-1.4373343834894105E-2</v>
      </c>
      <c r="K77" s="1"/>
      <c r="L77" s="1">
        <f t="shared" si="45"/>
        <v>323.01</v>
      </c>
      <c r="M77" s="1"/>
      <c r="N77" s="5">
        <f t="shared" si="46"/>
        <v>-1</v>
      </c>
      <c r="O77" s="13"/>
      <c r="P77" s="1">
        <f>SUM(OSRRefP22_7x_0)</f>
        <v>0</v>
      </c>
      <c r="Q77" s="1"/>
      <c r="R77" s="5">
        <f t="shared" si="47"/>
        <v>0</v>
      </c>
      <c r="S77" s="1"/>
      <c r="T77" s="1">
        <f>SUM(OSRRefT22_7x_0)</f>
        <v>-323.01</v>
      </c>
      <c r="U77" s="1"/>
      <c r="V77" s="5">
        <f t="shared" si="48"/>
        <v>-1.3070278980311871E-3</v>
      </c>
      <c r="W77" s="1"/>
      <c r="X77" s="1">
        <f t="shared" si="49"/>
        <v>323.01</v>
      </c>
      <c r="Y77" s="1"/>
      <c r="Z77" s="5">
        <f t="shared" si="50"/>
        <v>-1</v>
      </c>
    </row>
    <row r="78" spans="1:26" s="24" customFormat="1" hidden="1" outlineLevel="2" x14ac:dyDescent="0.25">
      <c r="A78" s="27"/>
      <c r="B78" s="11" t="str">
        <f>CONCATENATE("          ", "6292", " - ", "TRAVEL/CONFERENCE")</f>
        <v xml:space="preserve">          6292 - TRAVEL/CONFERENCE</v>
      </c>
      <c r="C78" s="11"/>
      <c r="D78" s="7"/>
      <c r="E78" s="2"/>
      <c r="F78" s="6">
        <f t="shared" si="43"/>
        <v>0</v>
      </c>
      <c r="G78" s="2"/>
      <c r="H78" s="7">
        <v>-323.01</v>
      </c>
      <c r="I78" s="2"/>
      <c r="J78" s="6">
        <f t="shared" si="44"/>
        <v>-1.4373343834894105E-2</v>
      </c>
      <c r="K78" s="2"/>
      <c r="L78" s="7">
        <f t="shared" si="45"/>
        <v>323.01</v>
      </c>
      <c r="M78" s="2"/>
      <c r="N78" s="6">
        <f t="shared" si="46"/>
        <v>-1</v>
      </c>
      <c r="O78" s="11"/>
      <c r="P78" s="7"/>
      <c r="Q78" s="2"/>
      <c r="R78" s="6">
        <f t="shared" si="47"/>
        <v>0</v>
      </c>
      <c r="S78" s="2"/>
      <c r="T78" s="7">
        <v>-323.01</v>
      </c>
      <c r="U78" s="2"/>
      <c r="V78" s="6">
        <f t="shared" si="48"/>
        <v>-1.3070278980311871E-3</v>
      </c>
      <c r="W78" s="2"/>
      <c r="X78" s="7">
        <f t="shared" si="49"/>
        <v>323.01</v>
      </c>
      <c r="Y78" s="2"/>
      <c r="Z78" s="6">
        <f t="shared" si="50"/>
        <v>-1</v>
      </c>
    </row>
    <row r="79" spans="1:26" s="55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9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8" t="s">
        <v>3</v>
      </c>
      <c r="C82" s="28"/>
      <c r="D82" s="20">
        <f>+D51-D53+D80</f>
        <v>0</v>
      </c>
      <c r="E82" s="14"/>
      <c r="F82" s="21">
        <f>IF(D$12=0,0,D82/D$12)</f>
        <v>0</v>
      </c>
      <c r="G82" s="14"/>
      <c r="H82" s="20">
        <f>+H51-H53+H80</f>
        <v>2889.0199999999968</v>
      </c>
      <c r="I82" s="14"/>
      <c r="J82" s="21">
        <f>IF(H$12=0,0,H82/H$12)</f>
        <v>0.1285560131447501</v>
      </c>
      <c r="K82" s="15"/>
      <c r="L82" s="20">
        <f>+D82-H82</f>
        <v>-2889.0199999999968</v>
      </c>
      <c r="M82" s="15"/>
      <c r="N82" s="21">
        <f>IF(H82=0,0,L82/H82)</f>
        <v>-1</v>
      </c>
      <c r="O82" s="29"/>
      <c r="P82" s="20">
        <f>+P51-P53+P80</f>
        <v>0</v>
      </c>
      <c r="Q82" s="14"/>
      <c r="R82" s="21">
        <f>IF(P$12=0,0,P82/P$12)</f>
        <v>0</v>
      </c>
      <c r="S82" s="14"/>
      <c r="T82" s="20">
        <f>+T51-T53+T80</f>
        <v>72147.689999999973</v>
      </c>
      <c r="U82" s="14"/>
      <c r="V82" s="21">
        <f>IF(T$12=0,0,T82/T$12)</f>
        <v>0.29193846508933369</v>
      </c>
      <c r="W82" s="15"/>
      <c r="X82" s="20">
        <f>+P82-T82</f>
        <v>-72147.689999999973</v>
      </c>
      <c r="Y82" s="15"/>
      <c r="Z82" s="21">
        <f>IF(T82=0,0,X82/T82)</f>
        <v>-1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13</v>
      </c>
      <c r="C84" s="10"/>
      <c r="D84" s="4"/>
      <c r="E84" s="4"/>
      <c r="F84" s="12">
        <f>IF(D$12=0,0,D84/D$12)</f>
        <v>0</v>
      </c>
      <c r="G84" s="4"/>
      <c r="H84" s="4">
        <v>2902.28</v>
      </c>
      <c r="I84" s="4"/>
      <c r="J84" s="12">
        <f>IF(H$12=0,0,H84/H$12)</f>
        <v>0.12914605846610466</v>
      </c>
      <c r="K84" s="4"/>
      <c r="L84" s="4">
        <f>+D84-H84</f>
        <v>-2902.28</v>
      </c>
      <c r="M84" s="4"/>
      <c r="N84" s="12">
        <f>IF(H84=0,0,L84/H84)</f>
        <v>-1</v>
      </c>
      <c r="O84" s="10"/>
      <c r="P84" s="4"/>
      <c r="Q84" s="4"/>
      <c r="R84" s="12">
        <f>IF(P$12=0,0,P84/P$12)</f>
        <v>0</v>
      </c>
      <c r="S84" s="4"/>
      <c r="T84" s="4">
        <v>26692.289999999997</v>
      </c>
      <c r="U84" s="4"/>
      <c r="V84" s="12">
        <f>IF(T$12=0,0,T84/T$12)</f>
        <v>0.108007701595427</v>
      </c>
      <c r="W84" s="4"/>
      <c r="X84" s="4">
        <f>+P84-T84</f>
        <v>-26692.289999999997</v>
      </c>
      <c r="Y84" s="4"/>
      <c r="Z84" s="12">
        <f>IF(T84=0,0,X84/T84)</f>
        <v>-1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4</v>
      </c>
      <c r="C86" s="28"/>
      <c r="D86" s="33">
        <f>+D82-D84</f>
        <v>0</v>
      </c>
      <c r="E86" s="14"/>
      <c r="F86" s="34">
        <f>IF(D$12=0,0,D86/D$12)</f>
        <v>0</v>
      </c>
      <c r="G86" s="14"/>
      <c r="H86" s="33">
        <f>+H82-H84</f>
        <v>-13.260000000003402</v>
      </c>
      <c r="I86" s="14"/>
      <c r="J86" s="34">
        <f>IF(H$12=0,0,H86/H$12)</f>
        <v>-5.9004532135458572E-4</v>
      </c>
      <c r="K86" s="15"/>
      <c r="L86" s="33">
        <f>D86-H86</f>
        <v>13.260000000003402</v>
      </c>
      <c r="M86" s="15"/>
      <c r="N86" s="34">
        <f>IF(H86=0,0,L86/H86)</f>
        <v>-1</v>
      </c>
      <c r="O86" s="29"/>
      <c r="P86" s="33">
        <f>+P82-P84</f>
        <v>0</v>
      </c>
      <c r="Q86" s="14"/>
      <c r="R86" s="34">
        <f>IF(P$12=0,0,P86/P$12)</f>
        <v>0</v>
      </c>
      <c r="S86" s="14"/>
      <c r="T86" s="33">
        <f>+T82-T84</f>
        <v>45455.39999999998</v>
      </c>
      <c r="U86" s="14"/>
      <c r="V86" s="34">
        <f>IF(T$12=0,0,T86/T$12)</f>
        <v>0.18393076349390669</v>
      </c>
      <c r="W86" s="15"/>
      <c r="X86" s="33">
        <f>P86-T86</f>
        <v>-45455.39999999998</v>
      </c>
      <c r="Y86" s="15"/>
      <c r="Z86" s="34">
        <f>IF(T86=0,0,X86/T86)</f>
        <v>-1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5</v>
      </c>
      <c r="C89" s="28"/>
      <c r="D89" s="30">
        <f>SUM(D86:D88)</f>
        <v>0</v>
      </c>
      <c r="E89" s="14"/>
      <c r="F89" s="32">
        <f>IF(D$12=0,0,D89/D$12)</f>
        <v>0</v>
      </c>
      <c r="G89" s="14"/>
      <c r="H89" s="30">
        <f>SUM(H86:H88)</f>
        <v>-13.260000000003402</v>
      </c>
      <c r="I89" s="14"/>
      <c r="J89" s="32">
        <f>IF(H$12=0,0,H89/H$12)</f>
        <v>-5.9004532135458572E-4</v>
      </c>
      <c r="K89" s="15"/>
      <c r="L89" s="30">
        <f>+D89-H89</f>
        <v>13.260000000003402</v>
      </c>
      <c r="M89" s="15"/>
      <c r="N89" s="32">
        <f>IF(H89=0,0,L89/H89)</f>
        <v>-1</v>
      </c>
      <c r="O89" s="29"/>
      <c r="P89" s="30">
        <f>SUM(P86:P88)</f>
        <v>0</v>
      </c>
      <c r="Q89" s="14"/>
      <c r="R89" s="32">
        <f>IF(P$12=0,0,P89/P$12)</f>
        <v>0</v>
      </c>
      <c r="S89" s="14"/>
      <c r="T89" s="30">
        <f>SUM(T86:T88)</f>
        <v>45455.39999999998</v>
      </c>
      <c r="U89" s="14"/>
      <c r="V89" s="32">
        <f>IF(T$12=0,0,T89/T$12)</f>
        <v>0.18393076349390669</v>
      </c>
      <c r="W89" s="15"/>
      <c r="X89" s="30">
        <f>+P89-T89</f>
        <v>-45455.39999999998</v>
      </c>
      <c r="Y89" s="15"/>
      <c r="Z89" s="32">
        <f>IF(T89=0,0,X89/T89)</f>
        <v>-1</v>
      </c>
    </row>
    <row r="90" spans="1:26" ht="15.75" thickTop="1" x14ac:dyDescent="0.25">
      <c r="A90" s="9"/>
      <c r="C90" s="9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58">
        <v>44209.521803206022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61" t="s">
        <v>313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57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301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17722.289999999997</v>
      </c>
      <c r="E12" s="4"/>
      <c r="F12" s="12"/>
      <c r="G12" s="4"/>
      <c r="H12" s="4">
        <f>SUM(OSRRefH13x_0)</f>
        <v>63198.529999999984</v>
      </c>
      <c r="I12" s="4"/>
      <c r="J12" s="12"/>
      <c r="K12" s="4"/>
      <c r="L12" s="4">
        <f t="shared" ref="L12:L41" si="0">+D12-H12</f>
        <v>-45476.239999999991</v>
      </c>
      <c r="M12" s="4"/>
      <c r="N12" s="12">
        <f t="shared" ref="N12:N41" si="1">IF(H12=0,0,L12/H12)</f>
        <v>-0.71957749650189651</v>
      </c>
      <c r="O12" s="10"/>
      <c r="P12" s="4">
        <f>SUM(OSRRefP13x_0)</f>
        <v>1571952.4699999997</v>
      </c>
      <c r="Q12" s="4"/>
      <c r="R12" s="12"/>
      <c r="S12" s="4"/>
      <c r="T12" s="4">
        <f>SUM(OSRRefT13x_0)</f>
        <v>2940253.9199999995</v>
      </c>
      <c r="U12" s="4"/>
      <c r="V12" s="12"/>
      <c r="W12" s="4"/>
      <c r="X12" s="4">
        <f t="shared" ref="X12:X41" si="2">+P12-T12</f>
        <v>-1368301.4499999997</v>
      </c>
      <c r="Y12" s="4"/>
      <c r="Z12" s="12">
        <f t="shared" ref="Z12:Z41" si="3">IF(T12=0,0,X12/T12)</f>
        <v>-0.46536846382301567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-325.86</f>
        <v>-325.86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-325.86</v>
      </c>
      <c r="M13" s="2"/>
      <c r="N13" s="19">
        <f t="shared" si="1"/>
        <v>0</v>
      </c>
      <c r="O13" s="11"/>
      <c r="P13" s="2">
        <f>-6925.73</f>
        <v>-6925.73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-6925.73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--11522</f>
        <v>11522</v>
      </c>
      <c r="E14" s="2"/>
      <c r="F14" s="19"/>
      <c r="G14" s="2"/>
      <c r="H14" s="2">
        <f>--36689.95</f>
        <v>36689.949999999997</v>
      </c>
      <c r="I14" s="2"/>
      <c r="J14" s="19"/>
      <c r="K14" s="2"/>
      <c r="L14" s="2">
        <f t="shared" si="0"/>
        <v>-25167.949999999997</v>
      </c>
      <c r="M14" s="2"/>
      <c r="N14" s="19">
        <f t="shared" si="1"/>
        <v>-0.68596304982699619</v>
      </c>
      <c r="O14" s="11"/>
      <c r="P14" s="2">
        <f>--730666.02</f>
        <v>730666.02</v>
      </c>
      <c r="Q14" s="2"/>
      <c r="R14" s="19"/>
      <c r="S14" s="2"/>
      <c r="T14" s="2">
        <f>--1540034.38</f>
        <v>1540034.38</v>
      </c>
      <c r="U14" s="2"/>
      <c r="V14" s="19"/>
      <c r="W14" s="2"/>
      <c r="X14" s="2">
        <f t="shared" si="2"/>
        <v>-809368.35999999987</v>
      </c>
      <c r="Y14" s="2"/>
      <c r="Z14" s="19">
        <f t="shared" si="3"/>
        <v>-0.52555213734903761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--2822.44</f>
        <v>2822.44</v>
      </c>
      <c r="E15" s="2"/>
      <c r="F15" s="19"/>
      <c r="G15" s="2"/>
      <c r="H15" s="2">
        <f>--10615.68</f>
        <v>10615.68</v>
      </c>
      <c r="I15" s="2"/>
      <c r="J15" s="19"/>
      <c r="K15" s="2"/>
      <c r="L15" s="2">
        <f t="shared" si="0"/>
        <v>-7793.24</v>
      </c>
      <c r="M15" s="2"/>
      <c r="N15" s="19">
        <f t="shared" si="1"/>
        <v>-0.73412536926508709</v>
      </c>
      <c r="O15" s="11"/>
      <c r="P15" s="2">
        <f>--323454.06</f>
        <v>323454.06</v>
      </c>
      <c r="Q15" s="2"/>
      <c r="R15" s="19"/>
      <c r="S15" s="2"/>
      <c r="T15" s="2">
        <f>--681094.97</f>
        <v>681094.97</v>
      </c>
      <c r="U15" s="2"/>
      <c r="V15" s="19"/>
      <c r="W15" s="2"/>
      <c r="X15" s="2">
        <f t="shared" si="2"/>
        <v>-357640.91</v>
      </c>
      <c r="Y15" s="2"/>
      <c r="Z15" s="19">
        <f t="shared" si="3"/>
        <v>-0.52509697729818794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>
        <f>--586.01</f>
        <v>586.01</v>
      </c>
      <c r="I16" s="2"/>
      <c r="J16" s="19"/>
      <c r="K16" s="2"/>
      <c r="L16" s="2">
        <f t="shared" si="0"/>
        <v>-586.01</v>
      </c>
      <c r="M16" s="2"/>
      <c r="N16" s="19">
        <f t="shared" si="1"/>
        <v>-1</v>
      </c>
      <c r="O16" s="11"/>
      <c r="P16" s="2">
        <f>--10665.63</f>
        <v>10665.63</v>
      </c>
      <c r="Q16" s="2"/>
      <c r="R16" s="19"/>
      <c r="S16" s="2"/>
      <c r="T16" s="2">
        <f>--16430.67</f>
        <v>16430.669999999998</v>
      </c>
      <c r="U16" s="2"/>
      <c r="V16" s="19"/>
      <c r="W16" s="2"/>
      <c r="X16" s="2">
        <f t="shared" si="2"/>
        <v>-5765.0399999999991</v>
      </c>
      <c r="Y16" s="2"/>
      <c r="Z16" s="19">
        <f t="shared" si="3"/>
        <v>-0.35087065834807707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--2459.56</f>
        <v>2459.56</v>
      </c>
      <c r="Q17" s="2"/>
      <c r="R17" s="19"/>
      <c r="S17" s="2"/>
      <c r="T17" s="2">
        <f>--30279.88</f>
        <v>30279.88</v>
      </c>
      <c r="U17" s="2"/>
      <c r="V17" s="19"/>
      <c r="W17" s="2"/>
      <c r="X17" s="2">
        <f t="shared" si="2"/>
        <v>-27820.32</v>
      </c>
      <c r="Y17" s="2"/>
      <c r="Z17" s="19">
        <f t="shared" si="3"/>
        <v>-0.91877246541267665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--3.62</f>
        <v>3.62</v>
      </c>
      <c r="I18" s="2"/>
      <c r="J18" s="19"/>
      <c r="K18" s="2"/>
      <c r="L18" s="2">
        <f t="shared" si="0"/>
        <v>-3.62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--13.22</f>
        <v>13.22</v>
      </c>
      <c r="U18" s="2"/>
      <c r="V18" s="19"/>
      <c r="W18" s="2"/>
      <c r="X18" s="2">
        <f t="shared" si="2"/>
        <v>-13.22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--78.85</f>
        <v>78.849999999999994</v>
      </c>
      <c r="E19" s="2"/>
      <c r="F19" s="19"/>
      <c r="G19" s="2"/>
      <c r="H19" s="2">
        <f>--167.6</f>
        <v>167.6</v>
      </c>
      <c r="I19" s="2"/>
      <c r="J19" s="19"/>
      <c r="K19" s="2"/>
      <c r="L19" s="2">
        <f t="shared" si="0"/>
        <v>-88.75</v>
      </c>
      <c r="M19" s="2"/>
      <c r="N19" s="19">
        <f t="shared" si="1"/>
        <v>-0.52953460620525061</v>
      </c>
      <c r="O19" s="11"/>
      <c r="P19" s="2">
        <f>--583.97</f>
        <v>583.97</v>
      </c>
      <c r="Q19" s="2"/>
      <c r="R19" s="19"/>
      <c r="S19" s="2"/>
      <c r="T19" s="2">
        <f>--1280.32</f>
        <v>1280.32</v>
      </c>
      <c r="U19" s="2"/>
      <c r="V19" s="19"/>
      <c r="W19" s="2"/>
      <c r="X19" s="2">
        <f t="shared" si="2"/>
        <v>-696.34999999999991</v>
      </c>
      <c r="Y19" s="2"/>
      <c r="Z19" s="19">
        <f t="shared" si="3"/>
        <v>-0.54388746563359158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--35.82</f>
        <v>35.82</v>
      </c>
      <c r="E20" s="2"/>
      <c r="F20" s="19"/>
      <c r="G20" s="2"/>
      <c r="H20" s="2">
        <f>--109.34</f>
        <v>109.34</v>
      </c>
      <c r="I20" s="2"/>
      <c r="J20" s="19"/>
      <c r="K20" s="2"/>
      <c r="L20" s="2">
        <f t="shared" si="0"/>
        <v>-73.52000000000001</v>
      </c>
      <c r="M20" s="2"/>
      <c r="N20" s="19">
        <f t="shared" si="1"/>
        <v>-0.67239802451070063</v>
      </c>
      <c r="O20" s="11"/>
      <c r="P20" s="2">
        <f>--376.06</f>
        <v>376.06</v>
      </c>
      <c r="Q20" s="2"/>
      <c r="R20" s="19"/>
      <c r="S20" s="2"/>
      <c r="T20" s="2">
        <f>--992.69</f>
        <v>992.69</v>
      </c>
      <c r="U20" s="2"/>
      <c r="V20" s="19"/>
      <c r="W20" s="2"/>
      <c r="X20" s="2">
        <f t="shared" si="2"/>
        <v>-616.63000000000011</v>
      </c>
      <c r="Y20" s="2"/>
      <c r="Z20" s="19">
        <f t="shared" si="3"/>
        <v>-0.62117075824275458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--6.95</f>
        <v>6.95</v>
      </c>
      <c r="E21" s="2"/>
      <c r="F21" s="19"/>
      <c r="G21" s="2"/>
      <c r="H21" s="2">
        <f>--157.74</f>
        <v>157.74</v>
      </c>
      <c r="I21" s="2"/>
      <c r="J21" s="19"/>
      <c r="K21" s="2"/>
      <c r="L21" s="2">
        <f t="shared" si="0"/>
        <v>-150.79000000000002</v>
      </c>
      <c r="M21" s="2"/>
      <c r="N21" s="19">
        <f t="shared" si="1"/>
        <v>-0.95594015468492466</v>
      </c>
      <c r="O21" s="11"/>
      <c r="P21" s="2">
        <f>--190.84</f>
        <v>190.84</v>
      </c>
      <c r="Q21" s="2"/>
      <c r="R21" s="19"/>
      <c r="S21" s="2"/>
      <c r="T21" s="2">
        <f>--2890.39</f>
        <v>2890.39</v>
      </c>
      <c r="U21" s="2"/>
      <c r="V21" s="19"/>
      <c r="W21" s="2"/>
      <c r="X21" s="2">
        <f t="shared" si="2"/>
        <v>-2699.5499999999997</v>
      </c>
      <c r="Y21" s="2"/>
      <c r="Z21" s="19">
        <f t="shared" si="3"/>
        <v>-0.93397430796536107</v>
      </c>
    </row>
    <row r="22" spans="1:26" s="24" customFormat="1" hidden="1" outlineLevel="1" x14ac:dyDescent="0.25">
      <c r="A22" s="44"/>
      <c r="B22" s="11" t="str">
        <f>CONCATENATE("          ", "4100", " - ", "NON-TAXABLE SALES")</f>
        <v xml:space="preserve">          4100 - NON-TAXABLE SALES</v>
      </c>
      <c r="C22" s="11"/>
      <c r="D22" s="2">
        <f>-225.75</f>
        <v>-225.75</v>
      </c>
      <c r="E22" s="2"/>
      <c r="F22" s="19"/>
      <c r="G22" s="2"/>
      <c r="H22" s="2">
        <f>--87.99</f>
        <v>87.99</v>
      </c>
      <c r="I22" s="2"/>
      <c r="J22" s="19"/>
      <c r="K22" s="2"/>
      <c r="L22" s="2">
        <f t="shared" si="0"/>
        <v>-313.74</v>
      </c>
      <c r="M22" s="2"/>
      <c r="N22" s="19">
        <f t="shared" si="1"/>
        <v>-3.5656324582338907</v>
      </c>
      <c r="O22" s="11"/>
      <c r="P22" s="2">
        <f>--165587.67</f>
        <v>165587.67000000001</v>
      </c>
      <c r="Q22" s="2"/>
      <c r="R22" s="19"/>
      <c r="S22" s="2"/>
      <c r="T22" s="2">
        <f>--335928.55</f>
        <v>335928.55</v>
      </c>
      <c r="U22" s="2"/>
      <c r="V22" s="19"/>
      <c r="W22" s="2"/>
      <c r="X22" s="2">
        <f t="shared" si="2"/>
        <v>-170340.87999999998</v>
      </c>
      <c r="Y22" s="2"/>
      <c r="Z22" s="19">
        <f t="shared" si="3"/>
        <v>-0.50707473360034439</v>
      </c>
    </row>
    <row r="23" spans="1:26" s="24" customFormat="1" hidden="1" outlineLevel="1" x14ac:dyDescent="0.25">
      <c r="A23" s="44"/>
      <c r="B23" s="11" t="str">
        <f>CONCATENATE("          ", "4101", " - ", "NON-TAXABLE SALES-NEW TEXT")</f>
        <v xml:space="preserve">          4101 - NON-TAXABLE SALES-NEW TEXT</v>
      </c>
      <c r="C23" s="11"/>
      <c r="D23" s="2">
        <f>--3205.21</f>
        <v>3205.21</v>
      </c>
      <c r="E23" s="2"/>
      <c r="F23" s="19"/>
      <c r="G23" s="2"/>
      <c r="H23" s="2">
        <f>--2606.82</f>
        <v>2606.8200000000002</v>
      </c>
      <c r="I23" s="2"/>
      <c r="J23" s="19"/>
      <c r="K23" s="2"/>
      <c r="L23" s="2">
        <f t="shared" si="0"/>
        <v>598.38999999999987</v>
      </c>
      <c r="M23" s="2"/>
      <c r="N23" s="19">
        <f t="shared" si="1"/>
        <v>0.22954787825780062</v>
      </c>
      <c r="O23" s="11"/>
      <c r="P23" s="2">
        <f>--82140.93</f>
        <v>82140.929999999993</v>
      </c>
      <c r="Q23" s="2"/>
      <c r="R23" s="19"/>
      <c r="S23" s="2"/>
      <c r="T23" s="2">
        <f>--95287.57</f>
        <v>95287.57</v>
      </c>
      <c r="U23" s="2"/>
      <c r="V23" s="19"/>
      <c r="W23" s="2"/>
      <c r="X23" s="2">
        <f t="shared" si="2"/>
        <v>-13146.640000000014</v>
      </c>
      <c r="Y23" s="2"/>
      <c r="Z23" s="19">
        <f t="shared" si="3"/>
        <v>-0.13796804766875692</v>
      </c>
    </row>
    <row r="24" spans="1:26" s="24" customFormat="1" hidden="1" outlineLevel="1" x14ac:dyDescent="0.25">
      <c r="A24" s="44"/>
      <c r="B24" s="11" t="str">
        <f>CONCATENATE("          ", "4102", " - ", "NON-TAXABLE SALES-USED TEXT")</f>
        <v xml:space="preserve">          4102 - NON-TAXABLE SALES-USED TEXT</v>
      </c>
      <c r="C24" s="11"/>
      <c r="D24" s="2">
        <f>--598.12</f>
        <v>598.12</v>
      </c>
      <c r="E24" s="2"/>
      <c r="F24" s="19"/>
      <c r="G24" s="2"/>
      <c r="H24" s="2">
        <f>--595.75</f>
        <v>595.75</v>
      </c>
      <c r="I24" s="2"/>
      <c r="J24" s="19"/>
      <c r="K24" s="2"/>
      <c r="L24" s="2">
        <f t="shared" si="0"/>
        <v>2.3700000000000045</v>
      </c>
      <c r="M24" s="2"/>
      <c r="N24" s="19">
        <f t="shared" si="1"/>
        <v>3.9781787662610231E-3</v>
      </c>
      <c r="O24" s="11"/>
      <c r="P24" s="2">
        <f>--33631.31</f>
        <v>33631.31</v>
      </c>
      <c r="Q24" s="2"/>
      <c r="R24" s="19"/>
      <c r="S24" s="2"/>
      <c r="T24" s="2">
        <f>--38202.59</f>
        <v>38202.589999999997</v>
      </c>
      <c r="U24" s="2"/>
      <c r="V24" s="19"/>
      <c r="W24" s="2"/>
      <c r="X24" s="2">
        <f t="shared" si="2"/>
        <v>-4571.2799999999988</v>
      </c>
      <c r="Y24" s="2"/>
      <c r="Z24" s="19">
        <f t="shared" si="3"/>
        <v>-0.11965890270790538</v>
      </c>
    </row>
    <row r="25" spans="1:26" s="24" customFormat="1" hidden="1" outlineLevel="1" x14ac:dyDescent="0.25">
      <c r="A25" s="44"/>
      <c r="B25" s="11" t="str">
        <f>CONCATENATE("          ", "4103", " - ", "NON-TAXABLE SALES-RENTAL TEXT")</f>
        <v xml:space="preserve">          4103 - NON-TAXABLE SALES-RENTAL TEXT</v>
      </c>
      <c r="C25" s="11"/>
      <c r="D25" s="2">
        <f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--284.97</f>
        <v>284.97000000000003</v>
      </c>
      <c r="Q25" s="2"/>
      <c r="R25" s="19"/>
      <c r="S25" s="2"/>
      <c r="T25" s="2">
        <f>--329.98</f>
        <v>329.98</v>
      </c>
      <c r="U25" s="2"/>
      <c r="V25" s="19"/>
      <c r="W25" s="2"/>
      <c r="X25" s="2">
        <f t="shared" si="2"/>
        <v>-45.009999999999991</v>
      </c>
      <c r="Y25" s="2"/>
      <c r="Z25" s="19">
        <f t="shared" si="3"/>
        <v>-0.13640220619431478</v>
      </c>
    </row>
    <row r="26" spans="1:26" s="24" customFormat="1" hidden="1" outlineLevel="1" x14ac:dyDescent="0.25">
      <c r="A26" s="44"/>
      <c r="B26" s="11" t="str">
        <f>CONCATENATE("          ", "4104", " - ", "NON-TAXABLE SALES-DIGITAL TEXT")</f>
        <v xml:space="preserve">          4104 - NON-TAXABLE SALES-DIGITAL TEXT</v>
      </c>
      <c r="C26" s="11"/>
      <c r="D26" s="2">
        <f>--1301.3</f>
        <v>1301.3</v>
      </c>
      <c r="E26" s="2"/>
      <c r="F26" s="19"/>
      <c r="G26" s="2"/>
      <c r="H26" s="2">
        <f>--12189.74</f>
        <v>12189.74</v>
      </c>
      <c r="I26" s="2"/>
      <c r="J26" s="19"/>
      <c r="K26" s="2"/>
      <c r="L26" s="2">
        <f t="shared" si="0"/>
        <v>-10888.44</v>
      </c>
      <c r="M26" s="2"/>
      <c r="N26" s="19">
        <f t="shared" si="1"/>
        <v>-0.89324628745157819</v>
      </c>
      <c r="O26" s="11"/>
      <c r="P26" s="2">
        <f>--296191.01</f>
        <v>296191.01</v>
      </c>
      <c r="Q26" s="2"/>
      <c r="R26" s="19"/>
      <c r="S26" s="2"/>
      <c r="T26" s="2">
        <f>--332888.83</f>
        <v>332888.83</v>
      </c>
      <c r="U26" s="2"/>
      <c r="V26" s="19"/>
      <c r="W26" s="2"/>
      <c r="X26" s="2">
        <f t="shared" si="2"/>
        <v>-36697.820000000007</v>
      </c>
      <c r="Y26" s="2"/>
      <c r="Z26" s="19">
        <f t="shared" si="3"/>
        <v>-0.11024046676483559</v>
      </c>
    </row>
    <row r="27" spans="1:26" s="24" customFormat="1" hidden="1" outlineLevel="1" x14ac:dyDescent="0.25">
      <c r="A27" s="44"/>
      <c r="B27" s="11" t="str">
        <f>CONCATENATE("          ", "4111", " - ", "NON-TAXABLE SALES-NO VALUE TEX")</f>
        <v xml:space="preserve">          4111 - NON-TAXABLE SALES-NO VALUE TEX</v>
      </c>
      <c r="C27" s="11"/>
      <c r="D27" s="2">
        <f>0</f>
        <v>0</v>
      </c>
      <c r="E27" s="2"/>
      <c r="F27" s="19"/>
      <c r="G27" s="2"/>
      <c r="H27" s="2">
        <f>--431.78</f>
        <v>431.78</v>
      </c>
      <c r="I27" s="2"/>
      <c r="J27" s="19"/>
      <c r="K27" s="2"/>
      <c r="L27" s="2">
        <f t="shared" si="0"/>
        <v>-431.78</v>
      </c>
      <c r="M27" s="2"/>
      <c r="N27" s="19">
        <f t="shared" si="1"/>
        <v>-1</v>
      </c>
      <c r="O27" s="11"/>
      <c r="P27" s="2">
        <f>0</f>
        <v>0</v>
      </c>
      <c r="Q27" s="2"/>
      <c r="R27" s="19"/>
      <c r="S27" s="2"/>
      <c r="T27" s="2">
        <f>--8023.97</f>
        <v>8023.97</v>
      </c>
      <c r="U27" s="2"/>
      <c r="V27" s="19"/>
      <c r="W27" s="2"/>
      <c r="X27" s="2">
        <f t="shared" si="2"/>
        <v>-8023.97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"4113", " - ", "NON-TAXABLE SALES-TRADE BOOKS")</f>
        <v xml:space="preserve">          4113 - NON-TAXABLE SALES-TRADE BOOKS</v>
      </c>
      <c r="C28" s="11"/>
      <c r="D28" s="2">
        <f>--41.55</f>
        <v>41.55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41.55</v>
      </c>
      <c r="M28" s="2"/>
      <c r="N28" s="19">
        <f t="shared" si="1"/>
        <v>0</v>
      </c>
      <c r="O28" s="11"/>
      <c r="P28" s="2">
        <f>--2327.5</f>
        <v>2327.5</v>
      </c>
      <c r="Q28" s="2"/>
      <c r="R28" s="19"/>
      <c r="S28" s="2"/>
      <c r="T28" s="2">
        <f>--1146.72</f>
        <v>1146.72</v>
      </c>
      <c r="U28" s="2"/>
      <c r="V28" s="19"/>
      <c r="W28" s="2"/>
      <c r="X28" s="2">
        <f t="shared" si="2"/>
        <v>1180.78</v>
      </c>
      <c r="Y28" s="2"/>
      <c r="Z28" s="19">
        <f t="shared" si="3"/>
        <v>1.0297021068787497</v>
      </c>
    </row>
    <row r="29" spans="1:26" s="24" customFormat="1" hidden="1" outlineLevel="1" x14ac:dyDescent="0.25">
      <c r="A29" s="44"/>
      <c r="B29" s="11" t="str">
        <f>CONCATENATE("          ", "4118", " - ", "NON-TAXABLE SALES-STUDY GUIDES")</f>
        <v xml:space="preserve">          4118 - NON-TAXABLE SALES-STUDY GUIDES</v>
      </c>
      <c r="C29" s="11"/>
      <c r="D29" s="2">
        <f>0</f>
        <v>0</v>
      </c>
      <c r="E29" s="2"/>
      <c r="F29" s="19"/>
      <c r="G29" s="2"/>
      <c r="H29" s="2">
        <f>--6.95</f>
        <v>6.95</v>
      </c>
      <c r="I29" s="2"/>
      <c r="J29" s="19"/>
      <c r="K29" s="2"/>
      <c r="L29" s="2">
        <f t="shared" si="0"/>
        <v>-6.95</v>
      </c>
      <c r="M29" s="2"/>
      <c r="N29" s="19">
        <f t="shared" si="1"/>
        <v>-1</v>
      </c>
      <c r="O29" s="11"/>
      <c r="P29" s="2">
        <f>--233.43</f>
        <v>233.43</v>
      </c>
      <c r="Q29" s="2"/>
      <c r="R29" s="19"/>
      <c r="S29" s="2"/>
      <c r="T29" s="2">
        <f>--41.91</f>
        <v>41.91</v>
      </c>
      <c r="U29" s="2"/>
      <c r="V29" s="19"/>
      <c r="W29" s="2"/>
      <c r="X29" s="2">
        <f t="shared" si="2"/>
        <v>191.52</v>
      </c>
      <c r="Y29" s="2"/>
      <c r="Z29" s="19">
        <f t="shared" si="3"/>
        <v>4.5697924123120979</v>
      </c>
    </row>
    <row r="30" spans="1:26" s="24" customFormat="1" hidden="1" outlineLevel="1" x14ac:dyDescent="0.25">
      <c r="A30" s="44"/>
      <c r="B30" s="11" t="str">
        <f>CONCATENATE("          ", "4201", " - ", "SALES RETURN TAXABLE-NEW TEXT")</f>
        <v xml:space="preserve">          4201 - SALES RETURN TAXABLE-NEW TEXT</v>
      </c>
      <c r="C30" s="11"/>
      <c r="D30" s="2">
        <f>-681.18</f>
        <v>-681.18</v>
      </c>
      <c r="E30" s="2"/>
      <c r="F30" s="19"/>
      <c r="G30" s="2"/>
      <c r="H30" s="2">
        <f>-631.8</f>
        <v>-631.79999999999995</v>
      </c>
      <c r="I30" s="2"/>
      <c r="J30" s="19"/>
      <c r="K30" s="2"/>
      <c r="L30" s="2">
        <f t="shared" si="0"/>
        <v>-49.379999999999995</v>
      </c>
      <c r="M30" s="2"/>
      <c r="N30" s="19">
        <f t="shared" si="1"/>
        <v>7.8157644824311492E-2</v>
      </c>
      <c r="O30" s="11"/>
      <c r="P30" s="2">
        <f>-35775.84</f>
        <v>-35775.839999999997</v>
      </c>
      <c r="Q30" s="2"/>
      <c r="R30" s="19"/>
      <c r="S30" s="2"/>
      <c r="T30" s="2">
        <f>-78730.37</f>
        <v>-78730.37</v>
      </c>
      <c r="U30" s="2"/>
      <c r="V30" s="19"/>
      <c r="W30" s="2"/>
      <c r="X30" s="2">
        <f t="shared" si="2"/>
        <v>42954.53</v>
      </c>
      <c r="Y30" s="2"/>
      <c r="Z30" s="19">
        <f t="shared" si="3"/>
        <v>-0.54559034842589971</v>
      </c>
    </row>
    <row r="31" spans="1:26" s="24" customFormat="1" hidden="1" outlineLevel="1" x14ac:dyDescent="0.25">
      <c r="A31" s="44"/>
      <c r="B31" s="11" t="str">
        <f>CONCATENATE("          ", "4202", " - ", "SALES RETURN TAXABLE-USED TEXT")</f>
        <v xml:space="preserve">          4202 - SALES RETURN TAXABLE-USED TEXT</v>
      </c>
      <c r="C31" s="11"/>
      <c r="D31" s="2">
        <f>-62.65</f>
        <v>-62.65</v>
      </c>
      <c r="E31" s="2"/>
      <c r="F31" s="19"/>
      <c r="G31" s="2"/>
      <c r="H31" s="2">
        <f>-166.15</f>
        <v>-166.15</v>
      </c>
      <c r="I31" s="2"/>
      <c r="J31" s="19"/>
      <c r="K31" s="2"/>
      <c r="L31" s="2">
        <f t="shared" si="0"/>
        <v>103.5</v>
      </c>
      <c r="M31" s="2"/>
      <c r="N31" s="19">
        <f t="shared" si="1"/>
        <v>-0.62293108636773997</v>
      </c>
      <c r="O31" s="11"/>
      <c r="P31" s="2">
        <f>-13866</f>
        <v>-13866</v>
      </c>
      <c r="Q31" s="2"/>
      <c r="R31" s="19"/>
      <c r="S31" s="2"/>
      <c r="T31" s="2">
        <f>-27208.35</f>
        <v>-27208.35</v>
      </c>
      <c r="U31" s="2"/>
      <c r="V31" s="19"/>
      <c r="W31" s="2"/>
      <c r="X31" s="2">
        <f t="shared" si="2"/>
        <v>13342.349999999999</v>
      </c>
      <c r="Y31" s="2"/>
      <c r="Z31" s="19">
        <f t="shared" si="3"/>
        <v>-0.49037703499109647</v>
      </c>
    </row>
    <row r="32" spans="1:26" s="24" customFormat="1" hidden="1" outlineLevel="1" x14ac:dyDescent="0.25">
      <c r="A32" s="44"/>
      <c r="B32" s="11" t="str">
        <f>CONCATENATE("          ", "4203", " - ", "SALES RETURN TAXABLE-RENTAL TE")</f>
        <v xml:space="preserve">          4203 - SALES RETURN TAXABLE-RENTAL TE</v>
      </c>
      <c r="C32" s="11"/>
      <c r="D32" s="2">
        <f t="shared" ref="D32:D36" si="5">0</f>
        <v>0</v>
      </c>
      <c r="E32" s="2"/>
      <c r="F32" s="19"/>
      <c r="G32" s="2"/>
      <c r="H32" s="2">
        <f t="shared" ref="H32:H34" si="6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-144.99</f>
        <v>-144.99</v>
      </c>
      <c r="U32" s="2"/>
      <c r="V32" s="19"/>
      <c r="W32" s="2"/>
      <c r="X32" s="2">
        <f t="shared" si="2"/>
        <v>144.99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"4204", " - ", "SALES RETURN TAXABLE-DIGITAL T")</f>
        <v xml:space="preserve">          4204 - SALES RETURN TAXABLE-DIGITAL T</v>
      </c>
      <c r="C33" s="11"/>
      <c r="D33" s="2">
        <f t="shared" si="5"/>
        <v>0</v>
      </c>
      <c r="E33" s="2"/>
      <c r="F33" s="19"/>
      <c r="G33" s="2"/>
      <c r="H33" s="2">
        <f t="shared" si="6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-1630.85</f>
        <v>-1630.85</v>
      </c>
      <c r="Q33" s="2"/>
      <c r="R33" s="19"/>
      <c r="S33" s="2"/>
      <c r="T33" s="2">
        <f>-11369.46</f>
        <v>-11369.46</v>
      </c>
      <c r="U33" s="2"/>
      <c r="V33" s="19"/>
      <c r="W33" s="2"/>
      <c r="X33" s="2">
        <f t="shared" si="2"/>
        <v>9738.6099999999988</v>
      </c>
      <c r="Y33" s="2"/>
      <c r="Z33" s="19">
        <f t="shared" si="3"/>
        <v>-0.85655871079189327</v>
      </c>
    </row>
    <row r="34" spans="1:26" s="24" customFormat="1" hidden="1" outlineLevel="1" x14ac:dyDescent="0.25">
      <c r="A34" s="44"/>
      <c r="B34" s="11" t="str">
        <f>CONCATENATE("          ", "4213", " - ", "NON-TAXABLE SALES-TRADE BOOKS")</f>
        <v xml:space="preserve">          4213 - NON-TAXABLE SALES-TRADE BOOKS</v>
      </c>
      <c r="C34" s="11"/>
      <c r="D34" s="2">
        <f t="shared" si="5"/>
        <v>0</v>
      </c>
      <c r="E34" s="2"/>
      <c r="F34" s="19"/>
      <c r="G34" s="2"/>
      <c r="H34" s="2">
        <f t="shared" si="6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 t="shared" ref="P34:P36" si="7">0</f>
        <v>0</v>
      </c>
      <c r="Q34" s="2"/>
      <c r="R34" s="19"/>
      <c r="S34" s="2"/>
      <c r="T34" s="2">
        <f>-102.71</f>
        <v>-102.71</v>
      </c>
      <c r="U34" s="2"/>
      <c r="V34" s="19"/>
      <c r="W34" s="2"/>
      <c r="X34" s="2">
        <f t="shared" si="2"/>
        <v>102.71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"4214", " - ", "SALES RETURN TAXABLE-REMAINDER")</f>
        <v xml:space="preserve">          4214 - SALES RETURN TAXABLE-REMAINDER</v>
      </c>
      <c r="C35" s="11"/>
      <c r="D35" s="2">
        <f t="shared" si="5"/>
        <v>0</v>
      </c>
      <c r="E35" s="2"/>
      <c r="F35" s="19"/>
      <c r="G35" s="2"/>
      <c r="H35" s="2">
        <f>-11.94</f>
        <v>-11.94</v>
      </c>
      <c r="I35" s="2"/>
      <c r="J35" s="19"/>
      <c r="K35" s="2"/>
      <c r="L35" s="2">
        <f t="shared" si="0"/>
        <v>11.94</v>
      </c>
      <c r="M35" s="2"/>
      <c r="N35" s="19">
        <f t="shared" si="1"/>
        <v>-1</v>
      </c>
      <c r="O35" s="11"/>
      <c r="P35" s="2">
        <f t="shared" si="7"/>
        <v>0</v>
      </c>
      <c r="Q35" s="2"/>
      <c r="R35" s="19"/>
      <c r="S35" s="2"/>
      <c r="T35" s="2">
        <f>-11.94</f>
        <v>-11.94</v>
      </c>
      <c r="U35" s="2"/>
      <c r="V35" s="19"/>
      <c r="W35" s="2"/>
      <c r="X35" s="2">
        <f t="shared" si="2"/>
        <v>11.94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"4218", " - ", "SALES RETURN TAXABLE-STUDY GUI")</f>
        <v xml:space="preserve">          4218 - SALES RETURN TAXABLE-STUDY GUI</v>
      </c>
      <c r="C36" s="11"/>
      <c r="D36" s="2">
        <f t="shared" si="5"/>
        <v>0</v>
      </c>
      <c r="E36" s="2"/>
      <c r="F36" s="19"/>
      <c r="G36" s="2"/>
      <c r="H36" s="2">
        <f t="shared" ref="H36:H37" si="8"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si="7"/>
        <v>0</v>
      </c>
      <c r="Q36" s="2"/>
      <c r="R36" s="19"/>
      <c r="S36" s="2"/>
      <c r="T36" s="2">
        <f>-32.75</f>
        <v>-32.75</v>
      </c>
      <c r="U36" s="2"/>
      <c r="V36" s="19"/>
      <c r="W36" s="2"/>
      <c r="X36" s="2">
        <f t="shared" si="2"/>
        <v>32.75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"4301", " - ", "SALES RETURN NON TAXABLE-NEW T")</f>
        <v xml:space="preserve">          4301 - SALES RETURN NON TAXABLE-NEW T</v>
      </c>
      <c r="C37" s="11"/>
      <c r="D37" s="2">
        <f>-372.93</f>
        <v>-372.93</v>
      </c>
      <c r="E37" s="2"/>
      <c r="F37" s="19"/>
      <c r="G37" s="2"/>
      <c r="H37" s="2">
        <f t="shared" si="8"/>
        <v>0</v>
      </c>
      <c r="I37" s="2"/>
      <c r="J37" s="19"/>
      <c r="K37" s="2"/>
      <c r="L37" s="2">
        <f t="shared" si="0"/>
        <v>-372.93</v>
      </c>
      <c r="M37" s="2"/>
      <c r="N37" s="19">
        <f t="shared" si="1"/>
        <v>0</v>
      </c>
      <c r="O37" s="11"/>
      <c r="P37" s="2">
        <f>-2749.1</f>
        <v>-2749.1</v>
      </c>
      <c r="Q37" s="2"/>
      <c r="R37" s="19"/>
      <c r="S37" s="2"/>
      <c r="T37" s="2">
        <f>-12310.98</f>
        <v>-12310.98</v>
      </c>
      <c r="U37" s="2"/>
      <c r="V37" s="19"/>
      <c r="W37" s="2"/>
      <c r="X37" s="2">
        <f t="shared" si="2"/>
        <v>9561.8799999999992</v>
      </c>
      <c r="Y37" s="2"/>
      <c r="Z37" s="19">
        <f t="shared" si="3"/>
        <v>-0.77669527527459226</v>
      </c>
    </row>
    <row r="38" spans="1:26" s="24" customFormat="1" hidden="1" outlineLevel="1" x14ac:dyDescent="0.25">
      <c r="A38" s="44"/>
      <c r="B38" s="11" t="str">
        <f>CONCATENATE("          ", "4302", " - ", "SALES RETURN NON TAXABLE-TEXT")</f>
        <v xml:space="preserve">          4302 - SALES RETURN NON TAXABLE-TEXT</v>
      </c>
      <c r="C38" s="11"/>
      <c r="D38" s="2">
        <f>-77.35</f>
        <v>-77.349999999999994</v>
      </c>
      <c r="E38" s="2"/>
      <c r="F38" s="19"/>
      <c r="G38" s="2"/>
      <c r="H38" s="2">
        <f>-14.1</f>
        <v>-14.1</v>
      </c>
      <c r="I38" s="2"/>
      <c r="J38" s="19"/>
      <c r="K38" s="2"/>
      <c r="L38" s="2">
        <f t="shared" si="0"/>
        <v>-63.249999999999993</v>
      </c>
      <c r="M38" s="2"/>
      <c r="N38" s="19">
        <f t="shared" si="1"/>
        <v>4.4858156028368787</v>
      </c>
      <c r="O38" s="11"/>
      <c r="P38" s="2">
        <f>-1470.2</f>
        <v>-1470.2</v>
      </c>
      <c r="Q38" s="2"/>
      <c r="R38" s="19"/>
      <c r="S38" s="2"/>
      <c r="T38" s="2">
        <f>-697.9</f>
        <v>-697.9</v>
      </c>
      <c r="U38" s="2"/>
      <c r="V38" s="19"/>
      <c r="W38" s="2"/>
      <c r="X38" s="2">
        <f t="shared" si="2"/>
        <v>-772.30000000000007</v>
      </c>
      <c r="Y38" s="2"/>
      <c r="Z38" s="19">
        <f t="shared" si="3"/>
        <v>1.1066055308783496</v>
      </c>
    </row>
    <row r="39" spans="1:26" s="24" customFormat="1" hidden="1" outlineLevel="1" x14ac:dyDescent="0.25">
      <c r="A39" s="44"/>
      <c r="B39" s="11" t="str">
        <f>CONCATENATE("          ", "4303", " - ", "SALES RETURN NON-TAXABLE-RENTA")</f>
        <v xml:space="preserve">          4303 - SALES RETURN NON-TAXABLE-RENTA</v>
      </c>
      <c r="C39" s="11"/>
      <c r="D39" s="2">
        <f>0</f>
        <v>0</v>
      </c>
      <c r="E39" s="2"/>
      <c r="F39" s="19"/>
      <c r="G39" s="2"/>
      <c r="H39" s="2">
        <f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0</f>
        <v>0</v>
      </c>
      <c r="Q39" s="2"/>
      <c r="R39" s="19"/>
      <c r="S39" s="2"/>
      <c r="T39" s="2">
        <f>-184.99</f>
        <v>-184.99</v>
      </c>
      <c r="U39" s="2"/>
      <c r="V39" s="19"/>
      <c r="W39" s="2"/>
      <c r="X39" s="2">
        <f t="shared" si="2"/>
        <v>184.99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"4304", " - ", "SALES RETURN NON TAXABLE-DIGIT")</f>
        <v xml:space="preserve">          4304 - SALES RETURN NON TAXABLE-DIGIT</v>
      </c>
      <c r="C40" s="11"/>
      <c r="D40" s="2">
        <f>-144.23</f>
        <v>-144.22999999999999</v>
      </c>
      <c r="E40" s="2"/>
      <c r="F40" s="19"/>
      <c r="G40" s="2"/>
      <c r="H40" s="2">
        <f>-226.45</f>
        <v>-226.45</v>
      </c>
      <c r="I40" s="2"/>
      <c r="J40" s="19"/>
      <c r="K40" s="2"/>
      <c r="L40" s="2">
        <f t="shared" si="0"/>
        <v>82.22</v>
      </c>
      <c r="M40" s="2"/>
      <c r="N40" s="19">
        <f t="shared" si="1"/>
        <v>-0.36308235813645395</v>
      </c>
      <c r="O40" s="11"/>
      <c r="P40" s="2">
        <f>-14422.77</f>
        <v>-14422.77</v>
      </c>
      <c r="Q40" s="2"/>
      <c r="R40" s="19"/>
      <c r="S40" s="2"/>
      <c r="T40" s="2">
        <f>-13430.32</f>
        <v>-13430.32</v>
      </c>
      <c r="U40" s="2"/>
      <c r="V40" s="19"/>
      <c r="W40" s="2"/>
      <c r="X40" s="2">
        <f t="shared" si="2"/>
        <v>-992.45000000000073</v>
      </c>
      <c r="Y40" s="2"/>
      <c r="Z40" s="19">
        <f t="shared" si="3"/>
        <v>7.3896228831479865E-2</v>
      </c>
    </row>
    <row r="41" spans="1:26" s="24" customFormat="1" hidden="1" outlineLevel="1" x14ac:dyDescent="0.25">
      <c r="A41" s="44"/>
      <c r="B41" s="11" t="str">
        <f>CONCATENATE("          ", "4311", " - ", "SALES RETURN NON TAXABLE-NO VA")</f>
        <v xml:space="preserve">          4311 - SALES RETURN NON TAXABLE-NO VA</v>
      </c>
      <c r="C41" s="11"/>
      <c r="D41" s="2">
        <f>0</f>
        <v>0</v>
      </c>
      <c r="E41" s="2"/>
      <c r="F41" s="19"/>
      <c r="G41" s="2"/>
      <c r="H41" s="2">
        <f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0</f>
        <v>0</v>
      </c>
      <c r="Q41" s="2"/>
      <c r="R41" s="19"/>
      <c r="S41" s="2"/>
      <c r="T41" s="2">
        <f>-387.96</f>
        <v>-387.96</v>
      </c>
      <c r="U41" s="2"/>
      <c r="V41" s="19"/>
      <c r="W41" s="2"/>
      <c r="X41" s="2">
        <f t="shared" si="2"/>
        <v>387.96</v>
      </c>
      <c r="Y41" s="2"/>
      <c r="Z41" s="19">
        <f t="shared" si="3"/>
        <v>-1</v>
      </c>
    </row>
    <row r="42" spans="1:26" x14ac:dyDescent="0.25">
      <c r="A42" s="9"/>
      <c r="B42" s="10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collapsed="1" x14ac:dyDescent="0.25">
      <c r="A43" s="10"/>
      <c r="B43" s="29" t="s">
        <v>8</v>
      </c>
      <c r="C43" s="10"/>
      <c r="D43" s="4">
        <f>SUM(OSRRefD16x_0)</f>
        <v>9464.3199999999924</v>
      </c>
      <c r="E43" s="4"/>
      <c r="F43" s="12">
        <f t="shared" ref="F43:F58" si="9">IF(D$12=0,0,D43/D$12)</f>
        <v>0.53403482281352999</v>
      </c>
      <c r="G43" s="4"/>
      <c r="H43" s="4">
        <f>SUM(OSRRefH16x_0)</f>
        <v>32413.880000000019</v>
      </c>
      <c r="I43" s="4"/>
      <c r="J43" s="12">
        <f t="shared" ref="J43:J58" si="10">IF(H$12=0,0,H43/H$12)</f>
        <v>0.51288977765780353</v>
      </c>
      <c r="K43" s="4"/>
      <c r="L43" s="4">
        <f t="shared" ref="L43:L58" si="11">+D43-H43</f>
        <v>-22949.560000000027</v>
      </c>
      <c r="M43" s="4"/>
      <c r="N43" s="12">
        <f t="shared" ref="N43:N58" si="12">IF(H43=0,0,L43/H43)</f>
        <v>-0.70801644233889971</v>
      </c>
      <c r="O43" s="10"/>
      <c r="P43" s="4">
        <f>SUM(OSRRefP16x_0)</f>
        <v>1122704.1500000001</v>
      </c>
      <c r="Q43" s="4"/>
      <c r="R43" s="12">
        <f t="shared" ref="R43:R58" si="13">IF(P$12=0,0,P43/P$12)</f>
        <v>0.71420998498765065</v>
      </c>
      <c r="S43" s="4"/>
      <c r="T43" s="4">
        <f>SUM(OSRRefT16x_0)</f>
        <v>2154515.8500000006</v>
      </c>
      <c r="U43" s="4"/>
      <c r="V43" s="12">
        <f t="shared" ref="V43:V58" si="14">IF(T$12=0,0,T43/T$12)</f>
        <v>0.73276523341902422</v>
      </c>
      <c r="W43" s="4"/>
      <c r="X43" s="4">
        <f t="shared" ref="X43:X58" si="15">+P43-T43</f>
        <v>-1031811.7000000004</v>
      </c>
      <c r="Y43" s="4"/>
      <c r="Z43" s="12">
        <f t="shared" ref="Z43:Z58" si="16">IF(T43=0,0,X43/T43)</f>
        <v>-0.47890652556582497</v>
      </c>
    </row>
    <row r="44" spans="1:26" s="24" customFormat="1" hidden="1" outlineLevel="1" x14ac:dyDescent="0.25">
      <c r="A44" s="44"/>
      <c r="B44" s="11" t="str">
        <f>CONCATENATE("          ", "5001", " - ", "PURCHASES @ COST-NEW TEXT")</f>
        <v xml:space="preserve">          5001 - PURCHASES @ COST-NEW TEXT</v>
      </c>
      <c r="C44" s="11"/>
      <c r="D44" s="2">
        <v>37317.56</v>
      </c>
      <c r="E44" s="2"/>
      <c r="F44" s="19">
        <f t="shared" si="9"/>
        <v>2.1056849876624297</v>
      </c>
      <c r="G44" s="2"/>
      <c r="H44" s="2">
        <v>155219.06</v>
      </c>
      <c r="I44" s="2"/>
      <c r="J44" s="19">
        <f t="shared" si="10"/>
        <v>2.4560549114037942</v>
      </c>
      <c r="K44" s="2"/>
      <c r="L44" s="2">
        <f t="shared" si="11"/>
        <v>-117901.5</v>
      </c>
      <c r="M44" s="2"/>
      <c r="N44" s="19">
        <f t="shared" si="12"/>
        <v>-0.75958132976710468</v>
      </c>
      <c r="O44" s="11"/>
      <c r="P44" s="2">
        <v>1277913.04</v>
      </c>
      <c r="Q44" s="2"/>
      <c r="R44" s="19">
        <f t="shared" si="13"/>
        <v>0.81294636090364758</v>
      </c>
      <c r="S44" s="2"/>
      <c r="T44" s="2">
        <v>1737069.75</v>
      </c>
      <c r="U44" s="2"/>
      <c r="V44" s="19">
        <f t="shared" si="14"/>
        <v>0.59078902613962003</v>
      </c>
      <c r="W44" s="2"/>
      <c r="X44" s="2">
        <f t="shared" si="15"/>
        <v>-459156.70999999996</v>
      </c>
      <c r="Y44" s="2"/>
      <c r="Z44" s="19">
        <f t="shared" si="16"/>
        <v>-0.26432830921153277</v>
      </c>
    </row>
    <row r="45" spans="1:26" s="24" customFormat="1" hidden="1" outlineLevel="1" x14ac:dyDescent="0.25">
      <c r="A45" s="44"/>
      <c r="B45" s="11" t="str">
        <f>CONCATENATE("          ", "5002", " - ", "PURCHASES @ COST-USED TEXT")</f>
        <v xml:space="preserve">          5002 - PURCHASES @ COST-USED TEXT</v>
      </c>
      <c r="C45" s="11"/>
      <c r="D45" s="2">
        <v>70238.87</v>
      </c>
      <c r="E45" s="2"/>
      <c r="F45" s="19">
        <f t="shared" si="9"/>
        <v>3.9633066607080689</v>
      </c>
      <c r="G45" s="2"/>
      <c r="H45" s="2">
        <v>40274.950000000004</v>
      </c>
      <c r="I45" s="2"/>
      <c r="J45" s="19">
        <f t="shared" si="10"/>
        <v>0.63727668982174135</v>
      </c>
      <c r="K45" s="2"/>
      <c r="L45" s="2">
        <f t="shared" si="11"/>
        <v>29963.919999999991</v>
      </c>
      <c r="M45" s="2"/>
      <c r="N45" s="19">
        <f t="shared" si="12"/>
        <v>0.74398403970706328</v>
      </c>
      <c r="O45" s="11"/>
      <c r="P45" s="2">
        <v>164472.92000000001</v>
      </c>
      <c r="Q45" s="2"/>
      <c r="R45" s="19">
        <f t="shared" si="13"/>
        <v>0.10462970295787635</v>
      </c>
      <c r="S45" s="2"/>
      <c r="T45" s="2">
        <v>252522.85</v>
      </c>
      <c r="U45" s="2"/>
      <c r="V45" s="19">
        <f t="shared" si="14"/>
        <v>8.5884708215948929E-2</v>
      </c>
      <c r="W45" s="2"/>
      <c r="X45" s="2">
        <f t="shared" si="15"/>
        <v>-88049.93</v>
      </c>
      <c r="Y45" s="2"/>
      <c r="Z45" s="19">
        <f t="shared" si="16"/>
        <v>-0.34868104015141599</v>
      </c>
    </row>
    <row r="46" spans="1:26" s="24" customFormat="1" hidden="1" outlineLevel="1" x14ac:dyDescent="0.25">
      <c r="A46" s="44"/>
      <c r="B46" s="11" t="str">
        <f>CONCATENATE("          ", "5003", " - ", "PURCHASES @ COST-RENTAL TEXT")</f>
        <v xml:space="preserve">          5003 - PURCHASES @ COST-RENTAL TEXT</v>
      </c>
      <c r="C46" s="11"/>
      <c r="D46" s="2"/>
      <c r="E46" s="2"/>
      <c r="F46" s="19">
        <f t="shared" si="9"/>
        <v>0</v>
      </c>
      <c r="G46" s="2"/>
      <c r="H46" s="2"/>
      <c r="I46" s="2"/>
      <c r="J46" s="19">
        <f t="shared" si="10"/>
        <v>0</v>
      </c>
      <c r="K46" s="2"/>
      <c r="L46" s="2">
        <f t="shared" si="11"/>
        <v>0</v>
      </c>
      <c r="M46" s="2"/>
      <c r="N46" s="19">
        <f t="shared" si="12"/>
        <v>0</v>
      </c>
      <c r="O46" s="11"/>
      <c r="P46" s="2">
        <v>32.520000000000003</v>
      </c>
      <c r="Q46" s="2"/>
      <c r="R46" s="19">
        <f t="shared" si="13"/>
        <v>2.0687648399445569E-5</v>
      </c>
      <c r="S46" s="2"/>
      <c r="T46" s="2">
        <v>-78.400000000000006</v>
      </c>
      <c r="U46" s="2"/>
      <c r="V46" s="19">
        <f t="shared" si="14"/>
        <v>-2.6664363736312958E-5</v>
      </c>
      <c r="W46" s="2"/>
      <c r="X46" s="2">
        <f t="shared" si="15"/>
        <v>110.92000000000002</v>
      </c>
      <c r="Y46" s="2"/>
      <c r="Z46" s="19">
        <f t="shared" si="16"/>
        <v>-1.4147959183673471</v>
      </c>
    </row>
    <row r="47" spans="1:26" s="24" customFormat="1" hidden="1" outlineLevel="1" x14ac:dyDescent="0.25">
      <c r="A47" s="44"/>
      <c r="B47" s="11" t="str">
        <f>CONCATENATE("          ", "5004", " - ", "PURCHASES @ COST-DIGITAL TEXT")</f>
        <v xml:space="preserve">          5004 - PURCHASES @ COST-DIGITAL TEXT</v>
      </c>
      <c r="C47" s="11"/>
      <c r="D47" s="2">
        <v>900</v>
      </c>
      <c r="E47" s="2"/>
      <c r="F47" s="19">
        <f t="shared" si="9"/>
        <v>5.0783504840514408E-2</v>
      </c>
      <c r="G47" s="2"/>
      <c r="H47" s="2">
        <v>31572.300000000003</v>
      </c>
      <c r="I47" s="2"/>
      <c r="J47" s="19">
        <f t="shared" si="10"/>
        <v>0.49957332868343635</v>
      </c>
      <c r="K47" s="2"/>
      <c r="L47" s="2">
        <f t="shared" si="11"/>
        <v>-30672.300000000003</v>
      </c>
      <c r="M47" s="2"/>
      <c r="N47" s="19">
        <f t="shared" si="12"/>
        <v>-0.97149399948689197</v>
      </c>
      <c r="O47" s="11"/>
      <c r="P47" s="2">
        <v>197838.11000000002</v>
      </c>
      <c r="Q47" s="2"/>
      <c r="R47" s="19">
        <f t="shared" si="13"/>
        <v>0.12585502028569606</v>
      </c>
      <c r="S47" s="2"/>
      <c r="T47" s="2">
        <v>354352.27</v>
      </c>
      <c r="U47" s="2"/>
      <c r="V47" s="19">
        <f t="shared" si="14"/>
        <v>0.12051757421005328</v>
      </c>
      <c r="W47" s="2"/>
      <c r="X47" s="2">
        <f t="shared" si="15"/>
        <v>-156514.16</v>
      </c>
      <c r="Y47" s="2"/>
      <c r="Z47" s="19">
        <f t="shared" si="16"/>
        <v>-0.44169086316280687</v>
      </c>
    </row>
    <row r="48" spans="1:26" s="24" customFormat="1" hidden="1" outlineLevel="1" x14ac:dyDescent="0.25">
      <c r="A48" s="44"/>
      <c r="B48" s="11" t="str">
        <f>CONCATENATE("          ", "5011", " - ", "PURCHASES @ COST-NO VALUE TEXT")</f>
        <v xml:space="preserve">          5011 - PURCHASES @ COST-NO VALUE TEXT</v>
      </c>
      <c r="C48" s="11"/>
      <c r="D48" s="2"/>
      <c r="E48" s="2"/>
      <c r="F48" s="19">
        <f t="shared" si="9"/>
        <v>0</v>
      </c>
      <c r="G48" s="2"/>
      <c r="H48" s="2">
        <v>1161</v>
      </c>
      <c r="I48" s="2"/>
      <c r="J48" s="19">
        <f t="shared" si="10"/>
        <v>1.8370680457282792E-2</v>
      </c>
      <c r="K48" s="2"/>
      <c r="L48" s="2">
        <f t="shared" si="11"/>
        <v>-1161</v>
      </c>
      <c r="M48" s="2"/>
      <c r="N48" s="19">
        <f t="shared" si="12"/>
        <v>-1</v>
      </c>
      <c r="O48" s="11"/>
      <c r="P48" s="2">
        <v>67.17</v>
      </c>
      <c r="Q48" s="2"/>
      <c r="R48" s="19">
        <f t="shared" si="13"/>
        <v>4.2730299599961829E-5</v>
      </c>
      <c r="S48" s="2"/>
      <c r="T48" s="2">
        <v>4902</v>
      </c>
      <c r="U48" s="2"/>
      <c r="V48" s="19">
        <f t="shared" si="14"/>
        <v>1.66720294688018E-3</v>
      </c>
      <c r="W48" s="2"/>
      <c r="X48" s="2">
        <f t="shared" si="15"/>
        <v>-4834.83</v>
      </c>
      <c r="Y48" s="2"/>
      <c r="Z48" s="19">
        <f t="shared" si="16"/>
        <v>-0.98629742962056299</v>
      </c>
    </row>
    <row r="49" spans="1:26" s="24" customFormat="1" hidden="1" outlineLevel="1" x14ac:dyDescent="0.25">
      <c r="A49" s="44"/>
      <c r="B49" s="11" t="str">
        <f>CONCATENATE("          ", "5013", " - ", "PURCHASES @ COST-TRADE BOOKS")</f>
        <v xml:space="preserve">          5013 - PURCHASES @ COST-TRADE BOOKS</v>
      </c>
      <c r="C49" s="11"/>
      <c r="D49" s="2">
        <v>31.11</v>
      </c>
      <c r="E49" s="2"/>
      <c r="F49" s="19">
        <f t="shared" si="9"/>
        <v>1.7554164839871148E-3</v>
      </c>
      <c r="G49" s="2"/>
      <c r="H49" s="2">
        <v>37.17</v>
      </c>
      <c r="I49" s="2"/>
      <c r="J49" s="19">
        <f t="shared" si="10"/>
        <v>5.8814659138432509E-4</v>
      </c>
      <c r="K49" s="2"/>
      <c r="L49" s="2">
        <f t="shared" si="11"/>
        <v>-6.0600000000000023</v>
      </c>
      <c r="M49" s="2"/>
      <c r="N49" s="19">
        <f t="shared" si="12"/>
        <v>-0.16303470540758683</v>
      </c>
      <c r="O49" s="11"/>
      <c r="P49" s="2">
        <v>2125.85</v>
      </c>
      <c r="Q49" s="2"/>
      <c r="R49" s="19">
        <f t="shared" si="13"/>
        <v>1.352362772139033E-3</v>
      </c>
      <c r="S49" s="2"/>
      <c r="T49" s="2">
        <v>735.31</v>
      </c>
      <c r="U49" s="2"/>
      <c r="V49" s="19">
        <f t="shared" si="14"/>
        <v>2.5008384309883007E-4</v>
      </c>
      <c r="W49" s="2"/>
      <c r="X49" s="2">
        <f t="shared" si="15"/>
        <v>1390.54</v>
      </c>
      <c r="Y49" s="2"/>
      <c r="Z49" s="19">
        <f t="shared" si="16"/>
        <v>1.8910935523792687</v>
      </c>
    </row>
    <row r="50" spans="1:26" s="24" customFormat="1" hidden="1" outlineLevel="1" x14ac:dyDescent="0.25">
      <c r="A50" s="44"/>
      <c r="B50" s="11" t="str">
        <f>CONCATENATE("          ", "5014", " - ", "PURCHASES @ COST-REMAINDERS")</f>
        <v xml:space="preserve">          5014 - PURCHASES @ COST-REMAINDERS</v>
      </c>
      <c r="C50" s="11"/>
      <c r="D50" s="2"/>
      <c r="E50" s="2"/>
      <c r="F50" s="19">
        <f t="shared" si="9"/>
        <v>0</v>
      </c>
      <c r="G50" s="2"/>
      <c r="H50" s="2">
        <v>56.98</v>
      </c>
      <c r="I50" s="2"/>
      <c r="J50" s="19">
        <f t="shared" si="10"/>
        <v>9.016032493160839E-4</v>
      </c>
      <c r="K50" s="2"/>
      <c r="L50" s="2">
        <f t="shared" si="11"/>
        <v>-56.98</v>
      </c>
      <c r="M50" s="2"/>
      <c r="N50" s="19">
        <f t="shared" si="12"/>
        <v>-1</v>
      </c>
      <c r="O50" s="11"/>
      <c r="P50" s="2">
        <v>90.41</v>
      </c>
      <c r="Q50" s="2"/>
      <c r="R50" s="19">
        <f t="shared" si="13"/>
        <v>5.7514461617277787E-5</v>
      </c>
      <c r="S50" s="2"/>
      <c r="T50" s="2">
        <v>499.33</v>
      </c>
      <c r="U50" s="2"/>
      <c r="V50" s="19">
        <f t="shared" si="14"/>
        <v>1.6982546867924932E-4</v>
      </c>
      <c r="W50" s="2"/>
      <c r="X50" s="2">
        <f t="shared" si="15"/>
        <v>-408.91999999999996</v>
      </c>
      <c r="Y50" s="2"/>
      <c r="Z50" s="19">
        <f t="shared" si="16"/>
        <v>-0.81893737608395245</v>
      </c>
    </row>
    <row r="51" spans="1:26" s="24" customFormat="1" hidden="1" outlineLevel="1" x14ac:dyDescent="0.25">
      <c r="A51" s="44"/>
      <c r="B51" s="11" t="str">
        <f>CONCATENATE("          ", "5018", " - ", "PURCHASES @ COST-STUDY GUIDES")</f>
        <v xml:space="preserve">          5018 - PURCHASES @ COST-STUDY GUIDES</v>
      </c>
      <c r="C51" s="11"/>
      <c r="D51" s="2"/>
      <c r="E51" s="2"/>
      <c r="F51" s="19">
        <f t="shared" si="9"/>
        <v>0</v>
      </c>
      <c r="G51" s="2"/>
      <c r="H51" s="2">
        <v>196.31</v>
      </c>
      <c r="I51" s="2"/>
      <c r="J51" s="19">
        <f t="shared" si="10"/>
        <v>3.1062431357185057E-3</v>
      </c>
      <c r="K51" s="2"/>
      <c r="L51" s="2">
        <f t="shared" si="11"/>
        <v>-196.31</v>
      </c>
      <c r="M51" s="2"/>
      <c r="N51" s="19">
        <f t="shared" si="12"/>
        <v>-1</v>
      </c>
      <c r="O51" s="11"/>
      <c r="P51" s="2">
        <v>106.34</v>
      </c>
      <c r="Q51" s="2"/>
      <c r="R51" s="19">
        <f t="shared" si="13"/>
        <v>6.7648355805567084E-5</v>
      </c>
      <c r="S51" s="2"/>
      <c r="T51" s="2">
        <v>998.4</v>
      </c>
      <c r="U51" s="2"/>
      <c r="V51" s="19">
        <f t="shared" si="14"/>
        <v>3.3956250962161803E-4</v>
      </c>
      <c r="W51" s="2"/>
      <c r="X51" s="2">
        <f t="shared" si="15"/>
        <v>-892.06</v>
      </c>
      <c r="Y51" s="2"/>
      <c r="Z51" s="19">
        <f t="shared" si="16"/>
        <v>-0.89348958333333328</v>
      </c>
    </row>
    <row r="52" spans="1:26" s="24" customFormat="1" hidden="1" outlineLevel="1" x14ac:dyDescent="0.25">
      <c r="A52" s="44"/>
      <c r="B52" s="11" t="str">
        <f>CONCATENATE("          ", "5200", " - ", "PURCHASES OFFSET")</f>
        <v xml:space="preserve">          5200 - PURCHASES OFFSET</v>
      </c>
      <c r="C52" s="11"/>
      <c r="D52" s="2">
        <v>-114446.47</v>
      </c>
      <c r="E52" s="2"/>
      <c r="F52" s="19">
        <f t="shared" si="9"/>
        <v>-6.4577698480275414</v>
      </c>
      <c r="G52" s="2"/>
      <c r="H52" s="2">
        <v>-247490</v>
      </c>
      <c r="I52" s="2"/>
      <c r="J52" s="19">
        <f t="shared" si="10"/>
        <v>-3.9160720985124189</v>
      </c>
      <c r="K52" s="2"/>
      <c r="L52" s="2">
        <f t="shared" si="11"/>
        <v>133043.53</v>
      </c>
      <c r="M52" s="2"/>
      <c r="N52" s="19">
        <f t="shared" si="12"/>
        <v>-0.53757133621560471</v>
      </c>
      <c r="O52" s="11"/>
      <c r="P52" s="2">
        <v>-1350673.8</v>
      </c>
      <c r="Q52" s="2"/>
      <c r="R52" s="19">
        <f t="shared" si="13"/>
        <v>-0.85923323114216055</v>
      </c>
      <c r="S52" s="2"/>
      <c r="T52" s="2">
        <v>-1728365</v>
      </c>
      <c r="U52" s="2"/>
      <c r="V52" s="19">
        <f t="shared" si="14"/>
        <v>-0.58782848251419062</v>
      </c>
      <c r="W52" s="2"/>
      <c r="X52" s="2">
        <f t="shared" si="15"/>
        <v>377691.19999999995</v>
      </c>
      <c r="Y52" s="2"/>
      <c r="Z52" s="19">
        <f t="shared" si="16"/>
        <v>-0.21852513791936307</v>
      </c>
    </row>
    <row r="53" spans="1:26" s="24" customFormat="1" hidden="1" outlineLevel="1" x14ac:dyDescent="0.25">
      <c r="A53" s="44"/>
      <c r="B53" s="11" t="str">
        <f>CONCATENATE("          ", "5300", " - ", "COG$ OFFSET")</f>
        <v xml:space="preserve">          5300 - COG$ OFFSET</v>
      </c>
      <c r="C53" s="11"/>
      <c r="D53" s="2">
        <v>10619</v>
      </c>
      <c r="E53" s="2"/>
      <c r="F53" s="19">
        <f t="shared" si="9"/>
        <v>0.59918893100158055</v>
      </c>
      <c r="G53" s="2"/>
      <c r="H53" s="2">
        <v>46642.47</v>
      </c>
      <c r="I53" s="2"/>
      <c r="J53" s="19">
        <f t="shared" si="10"/>
        <v>0.73803093204857795</v>
      </c>
      <c r="K53" s="2"/>
      <c r="L53" s="2">
        <f t="shared" si="11"/>
        <v>-36023.47</v>
      </c>
      <c r="M53" s="2"/>
      <c r="N53" s="19">
        <f t="shared" si="12"/>
        <v>-0.77233195411821032</v>
      </c>
      <c r="O53" s="11"/>
      <c r="P53" s="2">
        <v>779697</v>
      </c>
      <c r="Q53" s="2"/>
      <c r="R53" s="19">
        <f t="shared" si="13"/>
        <v>0.49600545492320142</v>
      </c>
      <c r="S53" s="2"/>
      <c r="T53" s="2">
        <v>1485407.4700000002</v>
      </c>
      <c r="U53" s="2"/>
      <c r="V53" s="19">
        <f t="shared" si="14"/>
        <v>0.50519700352954566</v>
      </c>
      <c r="W53" s="2"/>
      <c r="X53" s="2">
        <f t="shared" si="15"/>
        <v>-705710.4700000002</v>
      </c>
      <c r="Y53" s="2"/>
      <c r="Z53" s="19">
        <f t="shared" si="16"/>
        <v>-0.47509554398565135</v>
      </c>
    </row>
    <row r="54" spans="1:26" s="24" customFormat="1" hidden="1" outlineLevel="1" x14ac:dyDescent="0.25">
      <c r="A54" s="44"/>
      <c r="B54" s="11" t="str">
        <f>CONCATENATE("          ", "5501", " - ", "FREIGHT-IN-NEW TEXT")</f>
        <v xml:space="preserve">          5501 - FREIGHT-IN-NEW TEXT</v>
      </c>
      <c r="C54" s="11"/>
      <c r="D54" s="2">
        <v>2414.77</v>
      </c>
      <c r="E54" s="2"/>
      <c r="F54" s="19">
        <f t="shared" si="9"/>
        <v>0.13625609331525443</v>
      </c>
      <c r="G54" s="2"/>
      <c r="H54" s="2">
        <v>4162.3900000000003</v>
      </c>
      <c r="I54" s="2"/>
      <c r="J54" s="19">
        <f t="shared" si="10"/>
        <v>6.5862133185692784E-2</v>
      </c>
      <c r="K54" s="2"/>
      <c r="L54" s="2">
        <f t="shared" si="11"/>
        <v>-1747.6200000000003</v>
      </c>
      <c r="M54" s="2"/>
      <c r="N54" s="19">
        <f t="shared" si="12"/>
        <v>-0.41985974404128401</v>
      </c>
      <c r="O54" s="11"/>
      <c r="P54" s="2">
        <v>37463.58</v>
      </c>
      <c r="Q54" s="2"/>
      <c r="R54" s="19">
        <f t="shared" si="13"/>
        <v>2.3832514477998185E-2</v>
      </c>
      <c r="S54" s="2"/>
      <c r="T54" s="2">
        <v>38669.939999999995</v>
      </c>
      <c r="U54" s="2"/>
      <c r="V54" s="19">
        <f t="shared" si="14"/>
        <v>1.3151904921191298E-2</v>
      </c>
      <c r="W54" s="2"/>
      <c r="X54" s="2">
        <f t="shared" si="15"/>
        <v>-1206.3599999999933</v>
      </c>
      <c r="Y54" s="2"/>
      <c r="Z54" s="19">
        <f t="shared" si="16"/>
        <v>-3.1196324587004619E-2</v>
      </c>
    </row>
    <row r="55" spans="1:26" s="24" customFormat="1" hidden="1" outlineLevel="1" x14ac:dyDescent="0.25">
      <c r="A55" s="44"/>
      <c r="B55" s="11" t="str">
        <f>CONCATENATE("          ", "5502", " - ", "FREIGHT-IN-USED TEXT")</f>
        <v xml:space="preserve">          5502 - FREIGHT-IN-USED TEXT</v>
      </c>
      <c r="C55" s="11"/>
      <c r="D55" s="2">
        <v>2389.48</v>
      </c>
      <c r="E55" s="2"/>
      <c r="F55" s="19">
        <f t="shared" si="9"/>
        <v>0.13482907682923598</v>
      </c>
      <c r="G55" s="2"/>
      <c r="H55" s="2">
        <v>563.29999999999995</v>
      </c>
      <c r="I55" s="2"/>
      <c r="J55" s="19">
        <f t="shared" si="10"/>
        <v>8.9131819996446128E-3</v>
      </c>
      <c r="K55" s="2"/>
      <c r="L55" s="2">
        <f t="shared" si="11"/>
        <v>1826.18</v>
      </c>
      <c r="M55" s="2"/>
      <c r="N55" s="19">
        <f t="shared" si="12"/>
        <v>3.2419314752352215</v>
      </c>
      <c r="O55" s="11"/>
      <c r="P55" s="2">
        <v>13522.57</v>
      </c>
      <c r="Q55" s="2"/>
      <c r="R55" s="19">
        <f t="shared" si="13"/>
        <v>8.6024038627580141E-3</v>
      </c>
      <c r="S55" s="2"/>
      <c r="T55" s="2">
        <v>7653.42</v>
      </c>
      <c r="U55" s="2"/>
      <c r="V55" s="19">
        <f t="shared" si="14"/>
        <v>2.6029792692190343E-3</v>
      </c>
      <c r="W55" s="2"/>
      <c r="X55" s="2">
        <f t="shared" si="15"/>
        <v>5869.15</v>
      </c>
      <c r="Y55" s="2"/>
      <c r="Z55" s="19">
        <f t="shared" si="16"/>
        <v>0.76686631597377375</v>
      </c>
    </row>
    <row r="56" spans="1:26" s="24" customFormat="1" hidden="1" outlineLevel="1" x14ac:dyDescent="0.25">
      <c r="A56" s="44"/>
      <c r="B56" s="11" t="str">
        <f>CONCATENATE("          ", "5504", " - ", "FREIGHT-IN-DIGITAL TEXT")</f>
        <v xml:space="preserve">          5504 - FREIGHT-IN-DIGITAL TEXT</v>
      </c>
      <c r="C56" s="11"/>
      <c r="D56" s="2"/>
      <c r="E56" s="2"/>
      <c r="F56" s="19">
        <f t="shared" si="9"/>
        <v>0</v>
      </c>
      <c r="G56" s="2"/>
      <c r="H56" s="2"/>
      <c r="I56" s="2"/>
      <c r="J56" s="19">
        <f t="shared" si="10"/>
        <v>0</v>
      </c>
      <c r="K56" s="2"/>
      <c r="L56" s="2">
        <f t="shared" si="11"/>
        <v>0</v>
      </c>
      <c r="M56" s="2"/>
      <c r="N56" s="19">
        <f t="shared" si="12"/>
        <v>0</v>
      </c>
      <c r="O56" s="11"/>
      <c r="P56" s="2">
        <v>21.98</v>
      </c>
      <c r="Q56" s="2"/>
      <c r="R56" s="19">
        <f t="shared" si="13"/>
        <v>1.3982611064569913E-5</v>
      </c>
      <c r="S56" s="2"/>
      <c r="T56" s="2">
        <v>105.97</v>
      </c>
      <c r="U56" s="2"/>
      <c r="V56" s="19">
        <f t="shared" si="14"/>
        <v>3.6041104912462807E-5</v>
      </c>
      <c r="W56" s="2"/>
      <c r="X56" s="2">
        <f t="shared" si="15"/>
        <v>-83.99</v>
      </c>
      <c r="Y56" s="2"/>
      <c r="Z56" s="19">
        <f t="shared" si="16"/>
        <v>-0.79258280645465695</v>
      </c>
    </row>
    <row r="57" spans="1:26" s="24" customFormat="1" hidden="1" outlineLevel="1" x14ac:dyDescent="0.25">
      <c r="A57" s="44"/>
      <c r="B57" s="11" t="str">
        <f>CONCATENATE("          ", "5513", " - ", "FREIGHT-IN-TRADE BOOKS")</f>
        <v xml:space="preserve">          5513 - FREIGHT-IN-TRADE BOOKS</v>
      </c>
      <c r="C57" s="11"/>
      <c r="D57" s="2"/>
      <c r="E57" s="2"/>
      <c r="F57" s="19">
        <f t="shared" si="9"/>
        <v>0</v>
      </c>
      <c r="G57" s="2"/>
      <c r="H57" s="2">
        <v>9.08</v>
      </c>
      <c r="I57" s="2"/>
      <c r="J57" s="19">
        <f t="shared" si="10"/>
        <v>1.4367422786574311E-4</v>
      </c>
      <c r="K57" s="2"/>
      <c r="L57" s="2">
        <f t="shared" si="11"/>
        <v>-9.08</v>
      </c>
      <c r="M57" s="2"/>
      <c r="N57" s="19">
        <f t="shared" si="12"/>
        <v>-1</v>
      </c>
      <c r="O57" s="11"/>
      <c r="P57" s="2">
        <v>26.46</v>
      </c>
      <c r="Q57" s="2"/>
      <c r="R57" s="19">
        <f t="shared" si="13"/>
        <v>1.6832570007666966E-5</v>
      </c>
      <c r="S57" s="2"/>
      <c r="T57" s="2">
        <v>21.41</v>
      </c>
      <c r="U57" s="2"/>
      <c r="V57" s="19">
        <f t="shared" si="14"/>
        <v>7.2816840254395458E-6</v>
      </c>
      <c r="W57" s="2"/>
      <c r="X57" s="2">
        <f t="shared" si="15"/>
        <v>5.0500000000000007</v>
      </c>
      <c r="Y57" s="2"/>
      <c r="Z57" s="19">
        <f t="shared" si="16"/>
        <v>0.23587108827650632</v>
      </c>
    </row>
    <row r="58" spans="1:26" s="24" customFormat="1" hidden="1" outlineLevel="1" x14ac:dyDescent="0.25">
      <c r="A58" s="44"/>
      <c r="B58" s="11" t="str">
        <f>CONCATENATE("          ", "5518", " - ", "FREIGHT-IN-STUDY GUIDES")</f>
        <v xml:space="preserve">          5518 - FREIGHT-IN-STUDY GUIDES</v>
      </c>
      <c r="C58" s="11"/>
      <c r="D58" s="2"/>
      <c r="E58" s="2"/>
      <c r="F58" s="19">
        <f t="shared" si="9"/>
        <v>0</v>
      </c>
      <c r="G58" s="2"/>
      <c r="H58" s="2">
        <v>8.8699999999999992</v>
      </c>
      <c r="I58" s="2"/>
      <c r="J58" s="19">
        <f t="shared" si="10"/>
        <v>1.4035136576752658E-4</v>
      </c>
      <c r="K58" s="2"/>
      <c r="L58" s="2">
        <f t="shared" si="11"/>
        <v>-8.8699999999999992</v>
      </c>
      <c r="M58" s="2"/>
      <c r="N58" s="19">
        <f t="shared" si="12"/>
        <v>-1</v>
      </c>
      <c r="O58" s="11"/>
      <c r="P58" s="2"/>
      <c r="Q58" s="2"/>
      <c r="R58" s="19">
        <f t="shared" si="13"/>
        <v>0</v>
      </c>
      <c r="S58" s="2"/>
      <c r="T58" s="2">
        <v>21.13</v>
      </c>
      <c r="U58" s="2"/>
      <c r="V58" s="19">
        <f t="shared" si="14"/>
        <v>7.1864541549527131E-6</v>
      </c>
      <c r="W58" s="2"/>
      <c r="X58" s="2">
        <f t="shared" si="15"/>
        <v>-21.13</v>
      </c>
      <c r="Y58" s="2"/>
      <c r="Z58" s="19">
        <f t="shared" si="16"/>
        <v>-1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8" t="s">
        <v>6</v>
      </c>
      <c r="C60" s="28"/>
      <c r="D60" s="20">
        <f>D12-D43</f>
        <v>8257.9700000000048</v>
      </c>
      <c r="E60" s="14"/>
      <c r="F60" s="21">
        <f>IF(D$12=0,0,D60/D$12)</f>
        <v>0.46596517718647001</v>
      </c>
      <c r="G60" s="14"/>
      <c r="H60" s="20">
        <f>H12-H43</f>
        <v>30784.649999999965</v>
      </c>
      <c r="I60" s="14"/>
      <c r="J60" s="21">
        <f>IF(H$12=0,0,H60/H$12)</f>
        <v>0.48711022234219647</v>
      </c>
      <c r="K60" s="15"/>
      <c r="L60" s="20">
        <f>+D60-H60</f>
        <v>-22526.67999999996</v>
      </c>
      <c r="M60" s="15"/>
      <c r="N60" s="21">
        <f>IF(H60=0,0,L60/H60)</f>
        <v>-0.7317504015800077</v>
      </c>
      <c r="O60" s="29"/>
      <c r="P60" s="20">
        <f>P12-P43</f>
        <v>449248.3199999996</v>
      </c>
      <c r="Q60" s="14"/>
      <c r="R60" s="21">
        <f>IF(P$12=0,0,P60/P$12)</f>
        <v>0.28579001501234935</v>
      </c>
      <c r="S60" s="14"/>
      <c r="T60" s="20">
        <f>T12-T43</f>
        <v>785738.0699999989</v>
      </c>
      <c r="U60" s="14"/>
      <c r="V60" s="21">
        <f>IF(T$12=0,0,T60/T$12)</f>
        <v>0.26723476658097578</v>
      </c>
      <c r="W60" s="15"/>
      <c r="X60" s="20">
        <f>+P60-T60</f>
        <v>-336489.7499999993</v>
      </c>
      <c r="Y60" s="15"/>
      <c r="Z60" s="21">
        <f>IF(T60=0,0,X60/T60)</f>
        <v>-0.42824671840070033</v>
      </c>
    </row>
    <row r="61" spans="1:26" x14ac:dyDescent="0.25">
      <c r="A61" s="9"/>
      <c r="B61" s="10"/>
      <c r="C61" s="9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9" t="s">
        <v>9</v>
      </c>
      <c r="C62" s="10"/>
      <c r="D62" s="22">
        <f>SUM(OSRRefD22x_0)</f>
        <v>51172.139999999992</v>
      </c>
      <c r="E62" s="22"/>
      <c r="F62" s="36">
        <f t="shared" ref="F62:F72" si="17">IF(D$12=0,0,D62/D$12)</f>
        <v>2.8874451326549786</v>
      </c>
      <c r="G62" s="22"/>
      <c r="H62" s="22">
        <f>SUM(OSRRefH22x_0)</f>
        <v>46337.939999999988</v>
      </c>
      <c r="I62" s="22"/>
      <c r="J62" s="36">
        <f t="shared" ref="J62:J72" si="18">IF(H$12=0,0,H62/H$12)</f>
        <v>0.73321230731157827</v>
      </c>
      <c r="K62" s="4"/>
      <c r="L62" s="22">
        <f t="shared" ref="L62:L72" si="19">+D62-H62</f>
        <v>4834.2000000000044</v>
      </c>
      <c r="M62" s="4"/>
      <c r="N62" s="36">
        <f t="shared" ref="N62:N72" si="20">IF(H62=0,0,L62/H62)</f>
        <v>0.10432487935372194</v>
      </c>
      <c r="O62" s="10"/>
      <c r="P62" s="22">
        <f>SUM(OSRRefP22x_0)</f>
        <v>264104.50999999995</v>
      </c>
      <c r="Q62" s="22"/>
      <c r="R62" s="36">
        <f t="shared" ref="R62:R72" si="21">IF(P$12=0,0,P62/P$12)</f>
        <v>0.16801049334526</v>
      </c>
      <c r="S62" s="22"/>
      <c r="T62" s="22">
        <f>SUM(OSRRefT22x_0)</f>
        <v>255586.98999999993</v>
      </c>
      <c r="U62" s="22"/>
      <c r="V62" s="36">
        <f t="shared" ref="V62:V72" si="22">IF(T$12=0,0,T62/T$12)</f>
        <v>8.6926842699354342E-2</v>
      </c>
      <c r="W62" s="4"/>
      <c r="X62" s="22">
        <f t="shared" ref="X62:X72" si="23">+P62-T62</f>
        <v>8517.5200000000186</v>
      </c>
      <c r="Y62" s="4"/>
      <c r="Z62" s="36">
        <f t="shared" ref="Z62:Z72" si="24">IF(T62=0,0,X62/T62)</f>
        <v>3.3325326926851875E-2</v>
      </c>
    </row>
    <row r="63" spans="1:26" s="25" customFormat="1" outlineLevel="1" collapsed="1" x14ac:dyDescent="0.25">
      <c r="A63" s="26"/>
      <c r="B63" s="13" t="str">
        <f>CONCATENATE("     ","*Benefits                                         ")</f>
        <v xml:space="preserve">     *Benefits                                         </v>
      </c>
      <c r="C63" s="13"/>
      <c r="D63" s="1">
        <f>SUM(OSRRefD22_0x_0)</f>
        <v>11725.109999999999</v>
      </c>
      <c r="E63" s="1"/>
      <c r="F63" s="5">
        <f t="shared" si="17"/>
        <v>0.66160242271173764</v>
      </c>
      <c r="G63" s="1"/>
      <c r="H63" s="1">
        <f>SUM(OSRRefH22_0x_0)</f>
        <v>9543.23</v>
      </c>
      <c r="I63" s="1"/>
      <c r="J63" s="5">
        <f t="shared" si="18"/>
        <v>0.15100398695982331</v>
      </c>
      <c r="K63" s="1"/>
      <c r="L63" s="1">
        <f t="shared" si="19"/>
        <v>2181.8799999999992</v>
      </c>
      <c r="M63" s="1"/>
      <c r="N63" s="5">
        <f t="shared" si="20"/>
        <v>0.22863118671560878</v>
      </c>
      <c r="O63" s="13"/>
      <c r="P63" s="1">
        <f>SUM(OSRRefP22_0x_0)</f>
        <v>68762.950000000012</v>
      </c>
      <c r="Q63" s="1"/>
      <c r="R63" s="5">
        <f t="shared" si="21"/>
        <v>4.3743657211213274E-2</v>
      </c>
      <c r="S63" s="1"/>
      <c r="T63" s="1">
        <f>SUM(OSRRefT22_0x_0)</f>
        <v>60890.789999999994</v>
      </c>
      <c r="U63" s="1"/>
      <c r="V63" s="5">
        <f t="shared" si="22"/>
        <v>2.0709364448360298E-2</v>
      </c>
      <c r="W63" s="1"/>
      <c r="X63" s="1">
        <f t="shared" si="23"/>
        <v>7872.160000000018</v>
      </c>
      <c r="Y63" s="1"/>
      <c r="Z63" s="5">
        <f t="shared" si="24"/>
        <v>0.12928326270688914</v>
      </c>
    </row>
    <row r="64" spans="1:26" s="24" customFormat="1" hidden="1" outlineLevel="2" x14ac:dyDescent="0.25">
      <c r="A64" s="27"/>
      <c r="B64" s="11" t="str">
        <f>CONCATENATE("          ", "6111", " - ", "F.I.C.A.")</f>
        <v xml:space="preserve">          6111 - F.I.C.A.</v>
      </c>
      <c r="C64" s="11"/>
      <c r="D64" s="7">
        <v>1995.53</v>
      </c>
      <c r="E64" s="2"/>
      <c r="F64" s="6">
        <f t="shared" si="17"/>
        <v>0.11260000823821302</v>
      </c>
      <c r="G64" s="2"/>
      <c r="H64" s="7">
        <v>1559.53</v>
      </c>
      <c r="I64" s="2"/>
      <c r="J64" s="6">
        <f t="shared" si="18"/>
        <v>2.4676681562055325E-2</v>
      </c>
      <c r="K64" s="2"/>
      <c r="L64" s="7">
        <f t="shared" si="19"/>
        <v>436</v>
      </c>
      <c r="M64" s="2"/>
      <c r="N64" s="6">
        <f t="shared" si="20"/>
        <v>0.27957140933486374</v>
      </c>
      <c r="O64" s="11"/>
      <c r="P64" s="7">
        <v>12943</v>
      </c>
      <c r="Q64" s="2"/>
      <c r="R64" s="6">
        <f t="shared" si="21"/>
        <v>8.233709509041327E-3</v>
      </c>
      <c r="S64" s="2"/>
      <c r="T64" s="7">
        <v>10634.91</v>
      </c>
      <c r="U64" s="2"/>
      <c r="V64" s="6">
        <f t="shared" si="22"/>
        <v>3.6170039354968368E-3</v>
      </c>
      <c r="W64" s="2"/>
      <c r="X64" s="7">
        <f t="shared" si="23"/>
        <v>2308.09</v>
      </c>
      <c r="Y64" s="2"/>
      <c r="Z64" s="6">
        <f t="shared" si="24"/>
        <v>0.21702957523853048</v>
      </c>
    </row>
    <row r="65" spans="1:26" s="24" customFormat="1" hidden="1" outlineLevel="2" x14ac:dyDescent="0.25">
      <c r="A65" s="27"/>
      <c r="B65" s="11" t="str">
        <f>CONCATENATE("          ", "6112", " - ", "COMPENSATION INSURANCE")</f>
        <v xml:space="preserve">          6112 - COMPENSATION INSURANCE</v>
      </c>
      <c r="C65" s="11"/>
      <c r="D65" s="7">
        <v>314.69</v>
      </c>
      <c r="E65" s="2"/>
      <c r="F65" s="6">
        <f t="shared" si="17"/>
        <v>1.775673459806831E-2</v>
      </c>
      <c r="G65" s="2"/>
      <c r="H65" s="7">
        <v>115.27</v>
      </c>
      <c r="I65" s="2"/>
      <c r="J65" s="6">
        <f t="shared" si="18"/>
        <v>1.8239348288638995E-3</v>
      </c>
      <c r="K65" s="2"/>
      <c r="L65" s="7">
        <f t="shared" si="19"/>
        <v>199.42000000000002</v>
      </c>
      <c r="M65" s="2"/>
      <c r="N65" s="6">
        <f t="shared" si="20"/>
        <v>1.7300251583239352</v>
      </c>
      <c r="O65" s="11"/>
      <c r="P65" s="7">
        <v>982.04</v>
      </c>
      <c r="Q65" s="2"/>
      <c r="R65" s="6">
        <f t="shared" si="21"/>
        <v>6.2472626796406905E-4</v>
      </c>
      <c r="S65" s="2"/>
      <c r="T65" s="7">
        <v>383.33</v>
      </c>
      <c r="U65" s="2"/>
      <c r="V65" s="6">
        <f t="shared" si="22"/>
        <v>1.3037309376327609E-4</v>
      </c>
      <c r="W65" s="2"/>
      <c r="X65" s="7">
        <f t="shared" si="23"/>
        <v>598.71</v>
      </c>
      <c r="Y65" s="2"/>
      <c r="Z65" s="6">
        <f t="shared" si="24"/>
        <v>1.5618657553543946</v>
      </c>
    </row>
    <row r="66" spans="1:26" s="24" customFormat="1" hidden="1" outlineLevel="2" x14ac:dyDescent="0.25">
      <c r="A66" s="27"/>
      <c r="B66" s="11" t="str">
        <f>CONCATENATE("          ", "6113", " - ", "GROUP INSURANCE")</f>
        <v xml:space="preserve">          6113 - GROUP INSURANCE</v>
      </c>
      <c r="C66" s="11"/>
      <c r="D66" s="7">
        <v>4281.38</v>
      </c>
      <c r="E66" s="2"/>
      <c r="F66" s="6">
        <f t="shared" si="17"/>
        <v>0.24158164661564621</v>
      </c>
      <c r="G66" s="2"/>
      <c r="H66" s="7">
        <v>4168.57</v>
      </c>
      <c r="I66" s="2"/>
      <c r="J66" s="6">
        <f t="shared" si="18"/>
        <v>6.5959920270297442E-2</v>
      </c>
      <c r="K66" s="2"/>
      <c r="L66" s="7">
        <f t="shared" si="19"/>
        <v>112.8100000000004</v>
      </c>
      <c r="M66" s="2"/>
      <c r="N66" s="6">
        <f t="shared" si="20"/>
        <v>2.7062038061013826E-2</v>
      </c>
      <c r="O66" s="11"/>
      <c r="P66" s="7">
        <v>25388.22</v>
      </c>
      <c r="Q66" s="2"/>
      <c r="R66" s="6">
        <f t="shared" si="21"/>
        <v>1.6150755499623984E-2</v>
      </c>
      <c r="S66" s="2"/>
      <c r="T66" s="7">
        <v>25011.42</v>
      </c>
      <c r="U66" s="2"/>
      <c r="V66" s="6">
        <f t="shared" si="22"/>
        <v>8.506551026041996E-3</v>
      </c>
      <c r="W66" s="2"/>
      <c r="X66" s="7">
        <f t="shared" si="23"/>
        <v>376.80000000000291</v>
      </c>
      <c r="Y66" s="2"/>
      <c r="Z66" s="6">
        <f t="shared" si="24"/>
        <v>1.5065118253981699E-2</v>
      </c>
    </row>
    <row r="67" spans="1:26" s="24" customFormat="1" hidden="1" outlineLevel="2" x14ac:dyDescent="0.25">
      <c r="A67" s="27"/>
      <c r="B67" s="11" t="str">
        <f>CONCATENATE("          ", "6114", " - ", "STATE UNEMPLOYMENT INSURANCE")</f>
        <v xml:space="preserve">          6114 - STATE UNEMPLOYMENT INSURANCE</v>
      </c>
      <c r="C67" s="11"/>
      <c r="D67" s="7"/>
      <c r="E67" s="2"/>
      <c r="F67" s="6">
        <f t="shared" si="17"/>
        <v>0</v>
      </c>
      <c r="G67" s="2"/>
      <c r="H67" s="7">
        <v>88.15</v>
      </c>
      <c r="I67" s="2"/>
      <c r="J67" s="6">
        <f t="shared" si="18"/>
        <v>1.3948109236085085E-3</v>
      </c>
      <c r="K67" s="2"/>
      <c r="L67" s="7">
        <f t="shared" si="19"/>
        <v>-88.15</v>
      </c>
      <c r="M67" s="2"/>
      <c r="N67" s="6">
        <f t="shared" si="20"/>
        <v>-1</v>
      </c>
      <c r="O67" s="11"/>
      <c r="P67" s="7">
        <v>382.75</v>
      </c>
      <c r="Q67" s="2"/>
      <c r="R67" s="6">
        <f t="shared" si="21"/>
        <v>2.4348700568535642E-4</v>
      </c>
      <c r="S67" s="2"/>
      <c r="T67" s="7">
        <v>391.59</v>
      </c>
      <c r="U67" s="2"/>
      <c r="V67" s="6">
        <f t="shared" si="22"/>
        <v>1.3318237494263762E-4</v>
      </c>
      <c r="W67" s="2"/>
      <c r="X67" s="7">
        <f t="shared" si="23"/>
        <v>-8.839999999999975</v>
      </c>
      <c r="Y67" s="2"/>
      <c r="Z67" s="6">
        <f t="shared" si="24"/>
        <v>-2.2574631630021134E-2</v>
      </c>
    </row>
    <row r="68" spans="1:26" s="24" customFormat="1" hidden="1" outlineLevel="2" x14ac:dyDescent="0.25">
      <c r="A68" s="27"/>
      <c r="B68" s="11" t="str">
        <f>CONCATENATE("          ", "6115", " - ", "P.E.R.S.")</f>
        <v xml:space="preserve">          6115 - P.E.R.S.</v>
      </c>
      <c r="C68" s="11"/>
      <c r="D68" s="7">
        <v>1783.22</v>
      </c>
      <c r="E68" s="2"/>
      <c r="F68" s="6">
        <f t="shared" si="17"/>
        <v>0.10062017944633568</v>
      </c>
      <c r="G68" s="2"/>
      <c r="H68" s="7">
        <v>1325.86</v>
      </c>
      <c r="I68" s="2"/>
      <c r="J68" s="6">
        <f t="shared" si="18"/>
        <v>2.0979285435911252E-2</v>
      </c>
      <c r="K68" s="2"/>
      <c r="L68" s="7">
        <f t="shared" si="19"/>
        <v>457.36000000000013</v>
      </c>
      <c r="M68" s="2"/>
      <c r="N68" s="6">
        <f t="shared" si="20"/>
        <v>0.34495346416665423</v>
      </c>
      <c r="O68" s="11"/>
      <c r="P68" s="7">
        <v>10486.24</v>
      </c>
      <c r="Q68" s="2"/>
      <c r="R68" s="6">
        <f t="shared" si="21"/>
        <v>6.6708378275584894E-3</v>
      </c>
      <c r="S68" s="2"/>
      <c r="T68" s="7">
        <v>8432.4</v>
      </c>
      <c r="U68" s="2"/>
      <c r="V68" s="6">
        <f t="shared" si="22"/>
        <v>2.867915571047007E-3</v>
      </c>
      <c r="W68" s="2"/>
      <c r="X68" s="7">
        <f t="shared" si="23"/>
        <v>2053.84</v>
      </c>
      <c r="Y68" s="2"/>
      <c r="Z68" s="6">
        <f t="shared" si="24"/>
        <v>0.24356529576395811</v>
      </c>
    </row>
    <row r="69" spans="1:26" s="24" customFormat="1" hidden="1" outlineLevel="2" x14ac:dyDescent="0.25">
      <c r="A69" s="27"/>
      <c r="B69" s="11" t="str">
        <f>CONCATENATE("          ", "6117", " - ", "RETIREMENT STAFF HOURLY")</f>
        <v xml:space="preserve">          6117 - RETIREMENT STAFF HOURLY</v>
      </c>
      <c r="C69" s="11"/>
      <c r="D69" s="7">
        <v>250.51</v>
      </c>
      <c r="E69" s="2"/>
      <c r="F69" s="6">
        <f t="shared" si="17"/>
        <v>1.4135306441774739E-2</v>
      </c>
      <c r="G69" s="2"/>
      <c r="H69" s="7">
        <v>92.54</v>
      </c>
      <c r="I69" s="2"/>
      <c r="J69" s="6">
        <f t="shared" si="18"/>
        <v>1.4642745646140825E-3</v>
      </c>
      <c r="K69" s="2"/>
      <c r="L69" s="7">
        <f t="shared" si="19"/>
        <v>157.96999999999997</v>
      </c>
      <c r="M69" s="2"/>
      <c r="N69" s="6">
        <f t="shared" si="20"/>
        <v>1.7070456019018798</v>
      </c>
      <c r="O69" s="11"/>
      <c r="P69" s="7">
        <v>1544.16</v>
      </c>
      <c r="Q69" s="2"/>
      <c r="R69" s="6">
        <f t="shared" si="21"/>
        <v>9.8231977713677328E-4</v>
      </c>
      <c r="S69" s="2"/>
      <c r="T69" s="7">
        <v>738.74</v>
      </c>
      <c r="U69" s="2"/>
      <c r="V69" s="6">
        <f t="shared" si="22"/>
        <v>2.5125040901229377E-4</v>
      </c>
      <c r="W69" s="2"/>
      <c r="X69" s="7">
        <f t="shared" si="23"/>
        <v>805.42000000000007</v>
      </c>
      <c r="Y69" s="2"/>
      <c r="Z69" s="6">
        <f t="shared" si="24"/>
        <v>1.0902617971140049</v>
      </c>
    </row>
    <row r="70" spans="1:26" s="24" customFormat="1" hidden="1" outlineLevel="2" x14ac:dyDescent="0.25">
      <c r="A70" s="27"/>
      <c r="B70" s="11" t="str">
        <f>CONCATENATE("          ", "6118", " - ", "VACATION")</f>
        <v xml:space="preserve">          6118 - VACATION</v>
      </c>
      <c r="C70" s="11"/>
      <c r="D70" s="7">
        <v>1613.8</v>
      </c>
      <c r="E70" s="2"/>
      <c r="F70" s="6">
        <f t="shared" si="17"/>
        <v>9.1060466790691283E-2</v>
      </c>
      <c r="G70" s="2"/>
      <c r="H70" s="7">
        <v>794.54</v>
      </c>
      <c r="I70" s="2"/>
      <c r="J70" s="6">
        <f t="shared" si="18"/>
        <v>1.2572127864366468E-2</v>
      </c>
      <c r="K70" s="2"/>
      <c r="L70" s="7">
        <f t="shared" si="19"/>
        <v>819.26</v>
      </c>
      <c r="M70" s="2"/>
      <c r="N70" s="6">
        <f t="shared" si="20"/>
        <v>1.0311123417323231</v>
      </c>
      <c r="O70" s="11"/>
      <c r="P70" s="7">
        <v>7776.65</v>
      </c>
      <c r="Q70" s="2"/>
      <c r="R70" s="6">
        <f t="shared" si="21"/>
        <v>4.9471279497401094E-3</v>
      </c>
      <c r="S70" s="2"/>
      <c r="T70" s="7">
        <v>5636.46</v>
      </c>
      <c r="U70" s="2"/>
      <c r="V70" s="6">
        <f t="shared" si="22"/>
        <v>1.9169976993007466E-3</v>
      </c>
      <c r="W70" s="2"/>
      <c r="X70" s="7">
        <f t="shared" si="23"/>
        <v>2140.1899999999996</v>
      </c>
      <c r="Y70" s="2"/>
      <c r="Z70" s="6">
        <f t="shared" si="24"/>
        <v>0.37970463730781367</v>
      </c>
    </row>
    <row r="71" spans="1:26" s="24" customFormat="1" hidden="1" outlineLevel="2" x14ac:dyDescent="0.25">
      <c r="A71" s="27"/>
      <c r="B71" s="11" t="str">
        <f>CONCATENATE("          ", "6119", " - ", "SICK LEAVE")</f>
        <v xml:space="preserve">          6119 - SICK LEAVE</v>
      </c>
      <c r="C71" s="11"/>
      <c r="D71" s="7">
        <v>1147.56</v>
      </c>
      <c r="E71" s="2"/>
      <c r="F71" s="6">
        <f t="shared" si="17"/>
        <v>6.4752354238645241E-2</v>
      </c>
      <c r="G71" s="2"/>
      <c r="H71" s="7">
        <v>801.74</v>
      </c>
      <c r="I71" s="2"/>
      <c r="J71" s="6">
        <f t="shared" si="18"/>
        <v>1.268605456487675E-2</v>
      </c>
      <c r="K71" s="2"/>
      <c r="L71" s="7">
        <f t="shared" si="19"/>
        <v>345.81999999999994</v>
      </c>
      <c r="M71" s="2"/>
      <c r="N71" s="6">
        <f t="shared" si="20"/>
        <v>0.43133684236784986</v>
      </c>
      <c r="O71" s="11"/>
      <c r="P71" s="7">
        <v>6444.34</v>
      </c>
      <c r="Q71" s="2"/>
      <c r="R71" s="6">
        <f t="shared" si="21"/>
        <v>4.0995768784281381E-3</v>
      </c>
      <c r="S71" s="2"/>
      <c r="T71" s="7">
        <v>6120.11</v>
      </c>
      <c r="U71" s="2"/>
      <c r="V71" s="6">
        <f t="shared" si="22"/>
        <v>2.0814902952327333E-3</v>
      </c>
      <c r="W71" s="2"/>
      <c r="X71" s="7">
        <f t="shared" si="23"/>
        <v>324.23000000000047</v>
      </c>
      <c r="Y71" s="2"/>
      <c r="Z71" s="6">
        <f t="shared" si="24"/>
        <v>5.2977805954468216E-2</v>
      </c>
    </row>
    <row r="72" spans="1:26" s="24" customFormat="1" hidden="1" outlineLevel="2" x14ac:dyDescent="0.25">
      <c r="A72" s="27"/>
      <c r="B72" s="11" t="str">
        <f>CONCATENATE("          ", "6156", " - ", "EMPLOYEE MEALS")</f>
        <v xml:space="preserve">          6156 - EMPLOYEE MEALS</v>
      </c>
      <c r="C72" s="11"/>
      <c r="D72" s="7">
        <v>338.42</v>
      </c>
      <c r="E72" s="2"/>
      <c r="F72" s="6">
        <f t="shared" si="17"/>
        <v>1.9095726342363208E-2</v>
      </c>
      <c r="G72" s="2"/>
      <c r="H72" s="7">
        <v>597.03</v>
      </c>
      <c r="I72" s="2"/>
      <c r="J72" s="6">
        <f t="shared" si="18"/>
        <v>9.4468969452295819E-3</v>
      </c>
      <c r="K72" s="2"/>
      <c r="L72" s="7">
        <f t="shared" si="19"/>
        <v>-258.60999999999996</v>
      </c>
      <c r="M72" s="2"/>
      <c r="N72" s="6">
        <f t="shared" si="20"/>
        <v>-0.43316081268947954</v>
      </c>
      <c r="O72" s="11"/>
      <c r="P72" s="7">
        <v>2815.55</v>
      </c>
      <c r="Q72" s="2"/>
      <c r="R72" s="6">
        <f t="shared" si="21"/>
        <v>1.7911164960350238E-3</v>
      </c>
      <c r="S72" s="2"/>
      <c r="T72" s="7">
        <v>3541.83</v>
      </c>
      <c r="U72" s="2"/>
      <c r="V72" s="6">
        <f t="shared" si="22"/>
        <v>1.2046000435227719E-3</v>
      </c>
      <c r="W72" s="2"/>
      <c r="X72" s="7">
        <f t="shared" si="23"/>
        <v>-726.27999999999975</v>
      </c>
      <c r="Y72" s="2"/>
      <c r="Z72" s="6">
        <f t="shared" si="24"/>
        <v>-0.20505783733267824</v>
      </c>
    </row>
    <row r="73" spans="1:26" s="25" customFormat="1" outlineLevel="1" collapsed="1" x14ac:dyDescent="0.25">
      <c r="A73" s="26"/>
      <c r="B73" s="13" t="str">
        <f>CONCATENATE("     ","*Payroll                                          ")</f>
        <v xml:space="preserve">     *Payroll                                          </v>
      </c>
      <c r="C73" s="13"/>
      <c r="D73" s="1">
        <f>SUM(OSRRefD22_1x_0)</f>
        <v>28068.31</v>
      </c>
      <c r="E73" s="1"/>
      <c r="F73" s="5">
        <f t="shared" ref="F73:F79" si="25">IF(D$12=0,0,D73/D$12)</f>
        <v>1.5837857297222879</v>
      </c>
      <c r="G73" s="1"/>
      <c r="H73" s="1">
        <f>SUM(OSRRefH22_1x_0)</f>
        <v>24062.180000000004</v>
      </c>
      <c r="I73" s="1"/>
      <c r="J73" s="5">
        <f t="shared" ref="J73:J79" si="26">IF(H$12=0,0,H73/H$12)</f>
        <v>0.3807395520117321</v>
      </c>
      <c r="K73" s="1"/>
      <c r="L73" s="1">
        <f t="shared" ref="L73:L79" si="27">+D73-H73</f>
        <v>4006.1299999999974</v>
      </c>
      <c r="M73" s="1"/>
      <c r="N73" s="5">
        <f t="shared" ref="N73:N79" si="28">IF(H73=0,0,L73/H73)</f>
        <v>0.16649073359105437</v>
      </c>
      <c r="O73" s="13"/>
      <c r="P73" s="1">
        <f>SUM(OSRRefP22_1x_0)</f>
        <v>165407.07</v>
      </c>
      <c r="Q73" s="1"/>
      <c r="R73" s="5">
        <f t="shared" ref="R73:R79" si="29">IF(P$12=0,0,P73/P$12)</f>
        <v>0.10522396392812057</v>
      </c>
      <c r="S73" s="1"/>
      <c r="T73" s="1">
        <f>SUM(OSRRefT22_1x_0)</f>
        <v>143018.14000000001</v>
      </c>
      <c r="U73" s="1"/>
      <c r="V73" s="5">
        <f t="shared" ref="V73:V79" si="30">IF(T$12=0,0,T73/T$12)</f>
        <v>4.8641424819527164E-2</v>
      </c>
      <c r="W73" s="1"/>
      <c r="X73" s="1">
        <f t="shared" ref="X73:X79" si="31">+P73-T73</f>
        <v>22388.929999999993</v>
      </c>
      <c r="Y73" s="1"/>
      <c r="Z73" s="5">
        <f t="shared" ref="Z73:Z79" si="32">IF(T73=0,0,X73/T73)</f>
        <v>0.15654608569234638</v>
      </c>
    </row>
    <row r="74" spans="1:26" s="24" customFormat="1" hidden="1" outlineLevel="2" x14ac:dyDescent="0.25">
      <c r="A74" s="27"/>
      <c r="B74" s="11" t="str">
        <f>CONCATENATE("          ", "6001", " - ", "ADMINISTRATIVE SALARIES")</f>
        <v xml:space="preserve">          6001 - ADMINISTRATIVE SALARIES</v>
      </c>
      <c r="C74" s="11"/>
      <c r="D74" s="7"/>
      <c r="E74" s="2"/>
      <c r="F74" s="6">
        <f t="shared" si="25"/>
        <v>0</v>
      </c>
      <c r="G74" s="2"/>
      <c r="H74" s="7"/>
      <c r="I74" s="2"/>
      <c r="J74" s="6">
        <f t="shared" si="26"/>
        <v>0</v>
      </c>
      <c r="K74" s="2"/>
      <c r="L74" s="7">
        <f t="shared" si="27"/>
        <v>0</v>
      </c>
      <c r="M74" s="2"/>
      <c r="N74" s="6">
        <f t="shared" si="28"/>
        <v>0</v>
      </c>
      <c r="O74" s="11"/>
      <c r="P74" s="7">
        <v>-311.32</v>
      </c>
      <c r="Q74" s="2"/>
      <c r="R74" s="6">
        <f t="shared" si="29"/>
        <v>-1.980467004832532E-4</v>
      </c>
      <c r="S74" s="2"/>
      <c r="T74" s="7"/>
      <c r="U74" s="2"/>
      <c r="V74" s="6">
        <f t="shared" si="30"/>
        <v>0</v>
      </c>
      <c r="W74" s="2"/>
      <c r="X74" s="7">
        <f t="shared" si="31"/>
        <v>-311.32</v>
      </c>
      <c r="Y74" s="2"/>
      <c r="Z74" s="6">
        <f t="shared" si="32"/>
        <v>0</v>
      </c>
    </row>
    <row r="75" spans="1:26" s="24" customFormat="1" hidden="1" outlineLevel="2" x14ac:dyDescent="0.25">
      <c r="A75" s="27"/>
      <c r="B75" s="11" t="str">
        <f>CONCATENATE("          ", "6002", " - ", "STAFF SALARIES")</f>
        <v xml:space="preserve">          6002 - STAFF SALARIES</v>
      </c>
      <c r="C75" s="11"/>
      <c r="D75" s="7">
        <v>18082.7</v>
      </c>
      <c r="E75" s="2"/>
      <c r="F75" s="6">
        <f t="shared" si="25"/>
        <v>1.0203365366439667</v>
      </c>
      <c r="G75" s="2"/>
      <c r="H75" s="7">
        <v>14382.75</v>
      </c>
      <c r="I75" s="2"/>
      <c r="J75" s="6">
        <f t="shared" si="26"/>
        <v>0.22758045163392254</v>
      </c>
      <c r="K75" s="2"/>
      <c r="L75" s="7">
        <f t="shared" si="27"/>
        <v>3699.9500000000007</v>
      </c>
      <c r="M75" s="2"/>
      <c r="N75" s="6">
        <f t="shared" si="28"/>
        <v>0.25724913524882242</v>
      </c>
      <c r="O75" s="11"/>
      <c r="P75" s="7">
        <v>96498.200000000012</v>
      </c>
      <c r="Q75" s="2"/>
      <c r="R75" s="6">
        <f t="shared" si="29"/>
        <v>6.1387479482760715E-2</v>
      </c>
      <c r="S75" s="2"/>
      <c r="T75" s="7">
        <v>89028.58</v>
      </c>
      <c r="U75" s="2"/>
      <c r="V75" s="6">
        <f t="shared" si="30"/>
        <v>3.0279214796523429E-2</v>
      </c>
      <c r="W75" s="2"/>
      <c r="X75" s="7">
        <f t="shared" si="31"/>
        <v>7469.6200000000099</v>
      </c>
      <c r="Y75" s="2"/>
      <c r="Z75" s="6">
        <f t="shared" si="32"/>
        <v>8.3901371896530408E-2</v>
      </c>
    </row>
    <row r="76" spans="1:26" s="24" customFormat="1" hidden="1" outlineLevel="2" x14ac:dyDescent="0.25">
      <c r="A76" s="27"/>
      <c r="B76" s="11" t="str">
        <f>CONCATENATE("          ", "6004", " - ", "STAFF HOURLY")</f>
        <v xml:space="preserve">          6004 - STAFF HOURLY</v>
      </c>
      <c r="C76" s="11"/>
      <c r="D76" s="7">
        <v>7156.04</v>
      </c>
      <c r="E76" s="2"/>
      <c r="F76" s="6">
        <f t="shared" si="25"/>
        <v>0.40378754664323863</v>
      </c>
      <c r="G76" s="2"/>
      <c r="H76" s="7">
        <v>3238.83</v>
      </c>
      <c r="I76" s="2"/>
      <c r="J76" s="6">
        <f t="shared" si="26"/>
        <v>5.1248502140793475E-2</v>
      </c>
      <c r="K76" s="2"/>
      <c r="L76" s="7">
        <f t="shared" si="27"/>
        <v>3917.21</v>
      </c>
      <c r="M76" s="2"/>
      <c r="N76" s="6">
        <f t="shared" si="28"/>
        <v>1.2094521787188584</v>
      </c>
      <c r="O76" s="11"/>
      <c r="P76" s="7">
        <v>39838.049999999996</v>
      </c>
      <c r="Q76" s="2"/>
      <c r="R76" s="6">
        <f t="shared" si="29"/>
        <v>2.5343037248448105E-2</v>
      </c>
      <c r="S76" s="2"/>
      <c r="T76" s="7">
        <v>18551.86</v>
      </c>
      <c r="U76" s="2"/>
      <c r="V76" s="6">
        <f t="shared" si="30"/>
        <v>6.3096115181779959E-3</v>
      </c>
      <c r="W76" s="2"/>
      <c r="X76" s="7">
        <f t="shared" si="31"/>
        <v>21286.189999999995</v>
      </c>
      <c r="Y76" s="2"/>
      <c r="Z76" s="6">
        <f t="shared" si="32"/>
        <v>1.147388455928408</v>
      </c>
    </row>
    <row r="77" spans="1:26" s="24" customFormat="1" hidden="1" outlineLevel="2" x14ac:dyDescent="0.25">
      <c r="A77" s="27"/>
      <c r="B77" s="11" t="str">
        <f>CONCATENATE("          ", "6005", " - ", "TEMPORARY WAGES-HOURLY")</f>
        <v xml:space="preserve">          6005 - TEMPORARY WAGES-HOURLY</v>
      </c>
      <c r="C77" s="11"/>
      <c r="D77" s="7"/>
      <c r="E77" s="2"/>
      <c r="F77" s="6">
        <f t="shared" si="25"/>
        <v>0</v>
      </c>
      <c r="G77" s="2"/>
      <c r="H77" s="7">
        <v>3282.15</v>
      </c>
      <c r="I77" s="2"/>
      <c r="J77" s="6">
        <f t="shared" si="26"/>
        <v>5.1933961122197003E-2</v>
      </c>
      <c r="K77" s="2"/>
      <c r="L77" s="7">
        <f t="shared" si="27"/>
        <v>-3282.15</v>
      </c>
      <c r="M77" s="2"/>
      <c r="N77" s="6">
        <f t="shared" si="28"/>
        <v>-1</v>
      </c>
      <c r="O77" s="11"/>
      <c r="P77" s="7">
        <v>12838</v>
      </c>
      <c r="Q77" s="2"/>
      <c r="R77" s="6">
        <f t="shared" si="29"/>
        <v>8.1669135963124903E-3</v>
      </c>
      <c r="S77" s="2"/>
      <c r="T77" s="7">
        <v>13553.27</v>
      </c>
      <c r="U77" s="2"/>
      <c r="V77" s="6">
        <f t="shared" si="30"/>
        <v>4.6095576670466621E-3</v>
      </c>
      <c r="W77" s="2"/>
      <c r="X77" s="7">
        <f t="shared" si="31"/>
        <v>-715.27000000000044</v>
      </c>
      <c r="Y77" s="2"/>
      <c r="Z77" s="6">
        <f t="shared" si="32"/>
        <v>-5.2774717835621987E-2</v>
      </c>
    </row>
    <row r="78" spans="1:26" s="24" customFormat="1" hidden="1" outlineLevel="2" x14ac:dyDescent="0.25">
      <c r="A78" s="27"/>
      <c r="B78" s="11" t="str">
        <f>CONCATENATE("          ", "6006", " - ", "TEMPORARY PART TIME")</f>
        <v xml:space="preserve">          6006 - TEMPORARY PART TIME</v>
      </c>
      <c r="C78" s="11"/>
      <c r="D78" s="7"/>
      <c r="E78" s="2"/>
      <c r="F78" s="6">
        <f t="shared" si="25"/>
        <v>0</v>
      </c>
      <c r="G78" s="2"/>
      <c r="H78" s="7"/>
      <c r="I78" s="2"/>
      <c r="J78" s="6">
        <f t="shared" si="26"/>
        <v>0</v>
      </c>
      <c r="K78" s="2"/>
      <c r="L78" s="7">
        <f t="shared" si="27"/>
        <v>0</v>
      </c>
      <c r="M78" s="2"/>
      <c r="N78" s="6">
        <f t="shared" si="28"/>
        <v>0</v>
      </c>
      <c r="O78" s="11"/>
      <c r="P78" s="7">
        <v>502.29</v>
      </c>
      <c r="Q78" s="2"/>
      <c r="R78" s="6">
        <f t="shared" si="29"/>
        <v>3.1953256194826302E-4</v>
      </c>
      <c r="S78" s="2"/>
      <c r="T78" s="7"/>
      <c r="U78" s="2"/>
      <c r="V78" s="6">
        <f t="shared" si="30"/>
        <v>0</v>
      </c>
      <c r="W78" s="2"/>
      <c r="X78" s="7">
        <f t="shared" si="31"/>
        <v>502.29</v>
      </c>
      <c r="Y78" s="2"/>
      <c r="Z78" s="6">
        <f t="shared" si="32"/>
        <v>0</v>
      </c>
    </row>
    <row r="79" spans="1:26" s="24" customFormat="1" hidden="1" outlineLevel="2" x14ac:dyDescent="0.25">
      <c r="A79" s="27"/>
      <c r="B79" s="11" t="str">
        <f>CONCATENATE("          ", "6007", " - ", "STUDENT HOURLY")</f>
        <v xml:space="preserve">          6007 - STUDENT HOURLY</v>
      </c>
      <c r="C79" s="11"/>
      <c r="D79" s="7">
        <v>2829.57</v>
      </c>
      <c r="E79" s="2"/>
      <c r="F79" s="6">
        <f t="shared" si="25"/>
        <v>0.15966164643508263</v>
      </c>
      <c r="G79" s="2"/>
      <c r="H79" s="7">
        <v>3158.45</v>
      </c>
      <c r="I79" s="2"/>
      <c r="J79" s="6">
        <f t="shared" si="26"/>
        <v>4.9976637114818978E-2</v>
      </c>
      <c r="K79" s="2"/>
      <c r="L79" s="7">
        <f t="shared" si="27"/>
        <v>-328.87999999999965</v>
      </c>
      <c r="M79" s="2"/>
      <c r="N79" s="6">
        <f t="shared" si="28"/>
        <v>-0.10412702433155493</v>
      </c>
      <c r="O79" s="11"/>
      <c r="P79" s="7">
        <v>16041.849999999999</v>
      </c>
      <c r="Q79" s="2"/>
      <c r="R79" s="6">
        <f t="shared" si="29"/>
        <v>1.020504773913425E-2</v>
      </c>
      <c r="S79" s="2"/>
      <c r="T79" s="7">
        <v>21884.43</v>
      </c>
      <c r="U79" s="2"/>
      <c r="V79" s="6">
        <f t="shared" si="30"/>
        <v>7.4430408377790733E-3</v>
      </c>
      <c r="W79" s="2"/>
      <c r="X79" s="7">
        <f t="shared" si="31"/>
        <v>-5842.5800000000017</v>
      </c>
      <c r="Y79" s="2"/>
      <c r="Z79" s="6">
        <f t="shared" si="32"/>
        <v>-0.26697428262924838</v>
      </c>
    </row>
    <row r="80" spans="1:26" s="25" customFormat="1" outlineLevel="1" collapsed="1" x14ac:dyDescent="0.25">
      <c r="A80" s="26"/>
      <c r="B80" s="13" t="str">
        <f>CONCATENATE("     ","Advertising/Promo                                 ")</f>
        <v xml:space="preserve">     Advertising/Promo                                 </v>
      </c>
      <c r="C80" s="13"/>
      <c r="D80" s="1">
        <f>SUM(OSRRefD22_2x_0)</f>
        <v>70.56</v>
      </c>
      <c r="E80" s="1"/>
      <c r="F80" s="5">
        <f t="shared" ref="F80:F84" si="33">IF(D$12=0,0,D80/D$12)</f>
        <v>3.98142677949633E-3</v>
      </c>
      <c r="G80" s="1"/>
      <c r="H80" s="1">
        <f>SUM(OSRRefH22_2x_0)</f>
        <v>1138.8499999999999</v>
      </c>
      <c r="I80" s="1"/>
      <c r="J80" s="5">
        <f t="shared" ref="J80:J84" si="34">IF(H$12=0,0,H80/H$12)</f>
        <v>1.8020197621685191E-2</v>
      </c>
      <c r="K80" s="1"/>
      <c r="L80" s="1">
        <f t="shared" ref="L80:L84" si="35">+D80-H80</f>
        <v>-1068.29</v>
      </c>
      <c r="M80" s="1"/>
      <c r="N80" s="5">
        <f t="shared" ref="N80:N84" si="36">IF(H80=0,0,L80/H80)</f>
        <v>-0.93804276243579054</v>
      </c>
      <c r="O80" s="13"/>
      <c r="P80" s="1">
        <f>SUM(OSRRefP22_2x_0)</f>
        <v>1430.44</v>
      </c>
      <c r="Q80" s="1"/>
      <c r="R80" s="5">
        <f t="shared" ref="R80:R84" si="37">IF(P$12=0,0,P80/P$12)</f>
        <v>9.099766228936936E-4</v>
      </c>
      <c r="S80" s="1"/>
      <c r="T80" s="1">
        <f>SUM(OSRRefT22_2x_0)</f>
        <v>4346.9399999999996</v>
      </c>
      <c r="U80" s="1"/>
      <c r="V80" s="5">
        <f t="shared" ref="V80:V84" si="38">IF(T$12=0,0,T80/T$12)</f>
        <v>1.4784233329072478E-3</v>
      </c>
      <c r="W80" s="1"/>
      <c r="X80" s="1">
        <f t="shared" ref="X80:X84" si="39">+P80-T80</f>
        <v>-2916.4999999999995</v>
      </c>
      <c r="Y80" s="1"/>
      <c r="Z80" s="5">
        <f t="shared" ref="Z80:Z84" si="40">IF(T80=0,0,X80/T80)</f>
        <v>-0.67093173588777388</v>
      </c>
    </row>
    <row r="81" spans="1:26" s="24" customFormat="1" hidden="1" outlineLevel="2" x14ac:dyDescent="0.25">
      <c r="A81" s="27"/>
      <c r="B81" s="11" t="str">
        <f>CONCATENATE("          ", "6362", " - ", "ADVERTISING EXPENSE")</f>
        <v xml:space="preserve">          6362 - ADVERTISING EXPENSE</v>
      </c>
      <c r="C81" s="11"/>
      <c r="D81" s="7">
        <v>70.56</v>
      </c>
      <c r="E81" s="2"/>
      <c r="F81" s="6">
        <f t="shared" si="33"/>
        <v>3.98142677949633E-3</v>
      </c>
      <c r="G81" s="2"/>
      <c r="H81" s="7">
        <v>1138.8499999999999</v>
      </c>
      <c r="I81" s="2"/>
      <c r="J81" s="6">
        <f t="shared" si="34"/>
        <v>1.8020197621685191E-2</v>
      </c>
      <c r="K81" s="2"/>
      <c r="L81" s="7">
        <f t="shared" si="35"/>
        <v>-1068.29</v>
      </c>
      <c r="M81" s="2"/>
      <c r="N81" s="6">
        <f t="shared" si="36"/>
        <v>-0.93804276243579054</v>
      </c>
      <c r="O81" s="11"/>
      <c r="P81" s="7">
        <v>1430.44</v>
      </c>
      <c r="Q81" s="2"/>
      <c r="R81" s="6">
        <f t="shared" si="37"/>
        <v>9.099766228936936E-4</v>
      </c>
      <c r="S81" s="2"/>
      <c r="T81" s="7">
        <v>4346.9399999999996</v>
      </c>
      <c r="U81" s="2"/>
      <c r="V81" s="6">
        <f t="shared" si="38"/>
        <v>1.4784233329072478E-3</v>
      </c>
      <c r="W81" s="2"/>
      <c r="X81" s="7">
        <f t="shared" si="39"/>
        <v>-2916.4999999999995</v>
      </c>
      <c r="Y81" s="2"/>
      <c r="Z81" s="6">
        <f t="shared" si="40"/>
        <v>-0.67093173588777388</v>
      </c>
    </row>
    <row r="82" spans="1:26" s="25" customFormat="1" outlineLevel="1" collapsed="1" x14ac:dyDescent="0.25">
      <c r="A82" s="26"/>
      <c r="B82" s="13" t="str">
        <f>CONCATENATE("     ","Discounts and Markdowns                           ")</f>
        <v xml:space="preserve">     Discounts and Markdowns                           </v>
      </c>
      <c r="C82" s="13"/>
      <c r="D82" s="1">
        <f>SUM(OSRRefD22_3x_0)</f>
        <v>0</v>
      </c>
      <c r="E82" s="1"/>
      <c r="F82" s="5">
        <f t="shared" si="33"/>
        <v>0</v>
      </c>
      <c r="G82" s="1"/>
      <c r="H82" s="1">
        <f>SUM(OSRRefH22_3x_0)</f>
        <v>675.06</v>
      </c>
      <c r="I82" s="1"/>
      <c r="J82" s="5">
        <f t="shared" si="34"/>
        <v>1.0681577562009751E-2</v>
      </c>
      <c r="K82" s="1"/>
      <c r="L82" s="1">
        <f t="shared" si="35"/>
        <v>-675.06</v>
      </c>
      <c r="M82" s="1"/>
      <c r="N82" s="5">
        <f t="shared" si="36"/>
        <v>-1</v>
      </c>
      <c r="O82" s="13"/>
      <c r="P82" s="1">
        <f>SUM(OSRRefP22_3x_0)</f>
        <v>0</v>
      </c>
      <c r="Q82" s="1"/>
      <c r="R82" s="5">
        <f t="shared" si="37"/>
        <v>0</v>
      </c>
      <c r="S82" s="1"/>
      <c r="T82" s="1">
        <f>SUM(OSRRefT22_3x_0)</f>
        <v>-1838.17</v>
      </c>
      <c r="U82" s="1"/>
      <c r="V82" s="5">
        <f t="shared" si="38"/>
        <v>-6.2517389654564266E-4</v>
      </c>
      <c r="W82" s="1"/>
      <c r="X82" s="1">
        <f t="shared" si="39"/>
        <v>1838.17</v>
      </c>
      <c r="Y82" s="1"/>
      <c r="Z82" s="5">
        <f t="shared" si="40"/>
        <v>-1</v>
      </c>
    </row>
    <row r="83" spans="1:26" s="24" customFormat="1" hidden="1" outlineLevel="2" x14ac:dyDescent="0.25">
      <c r="A83" s="27"/>
      <c r="B83" s="11" t="str">
        <f>CONCATENATE("          ", "6382", " - ", "DISCOUNTS/MARK DOWNS")</f>
        <v xml:space="preserve">          6382 - DISCOUNTS/MARK DOWNS</v>
      </c>
      <c r="C83" s="11"/>
      <c r="D83" s="7"/>
      <c r="E83" s="2"/>
      <c r="F83" s="6">
        <f t="shared" si="33"/>
        <v>0</v>
      </c>
      <c r="G83" s="2"/>
      <c r="H83" s="7">
        <v>675.06</v>
      </c>
      <c r="I83" s="2"/>
      <c r="J83" s="6">
        <f t="shared" si="34"/>
        <v>1.0681577562009751E-2</v>
      </c>
      <c r="K83" s="2"/>
      <c r="L83" s="7">
        <f t="shared" si="35"/>
        <v>-675.06</v>
      </c>
      <c r="M83" s="2"/>
      <c r="N83" s="6">
        <f t="shared" si="36"/>
        <v>-1</v>
      </c>
      <c r="O83" s="11"/>
      <c r="P83" s="7"/>
      <c r="Q83" s="2"/>
      <c r="R83" s="6">
        <f t="shared" si="37"/>
        <v>0</v>
      </c>
      <c r="S83" s="2"/>
      <c r="T83" s="7">
        <v>-1404.54</v>
      </c>
      <c r="U83" s="2"/>
      <c r="V83" s="6">
        <f t="shared" si="38"/>
        <v>-4.7769343676276783E-4</v>
      </c>
      <c r="W83" s="2"/>
      <c r="X83" s="7">
        <f t="shared" si="39"/>
        <v>1404.54</v>
      </c>
      <c r="Y83" s="2"/>
      <c r="Z83" s="6">
        <f t="shared" si="40"/>
        <v>-1</v>
      </c>
    </row>
    <row r="84" spans="1:26" s="24" customFormat="1" hidden="1" outlineLevel="2" x14ac:dyDescent="0.25">
      <c r="A84" s="27"/>
      <c r="B84" s="11" t="str">
        <f>CONCATENATE("          ", "9175", " - ", "EARNED DISCOUNTS")</f>
        <v xml:space="preserve">          9175 - EARNED DISCOUNTS</v>
      </c>
      <c r="C84" s="11"/>
      <c r="D84" s="7"/>
      <c r="E84" s="2"/>
      <c r="F84" s="6">
        <f t="shared" si="33"/>
        <v>0</v>
      </c>
      <c r="G84" s="2"/>
      <c r="H84" s="7"/>
      <c r="I84" s="2"/>
      <c r="J84" s="6">
        <f t="shared" si="34"/>
        <v>0</v>
      </c>
      <c r="K84" s="2"/>
      <c r="L84" s="7">
        <f t="shared" si="35"/>
        <v>0</v>
      </c>
      <c r="M84" s="2"/>
      <c r="N84" s="6">
        <f t="shared" si="36"/>
        <v>0</v>
      </c>
      <c r="O84" s="11"/>
      <c r="P84" s="7"/>
      <c r="Q84" s="2"/>
      <c r="R84" s="6">
        <f t="shared" si="37"/>
        <v>0</v>
      </c>
      <c r="S84" s="2"/>
      <c r="T84" s="7">
        <v>-433.63</v>
      </c>
      <c r="U84" s="2"/>
      <c r="V84" s="6">
        <f t="shared" si="38"/>
        <v>-1.4748045978287482E-4</v>
      </c>
      <c r="W84" s="2"/>
      <c r="X84" s="7">
        <f t="shared" si="39"/>
        <v>433.63</v>
      </c>
      <c r="Y84" s="2"/>
      <c r="Z84" s="6">
        <f t="shared" si="40"/>
        <v>-1</v>
      </c>
    </row>
    <row r="85" spans="1:26" s="25" customFormat="1" outlineLevel="1" collapsed="1" x14ac:dyDescent="0.25">
      <c r="A85" s="26"/>
      <c r="B85" s="13" t="str">
        <f>CONCATENATE("     ","Employees' Appreciation                           ")</f>
        <v xml:space="preserve">     Employees' Appreciation                           </v>
      </c>
      <c r="C85" s="13"/>
      <c r="D85" s="1">
        <f>SUM(OSRRefD22_4x_0)</f>
        <v>0</v>
      </c>
      <c r="E85" s="1"/>
      <c r="F85" s="5">
        <f t="shared" ref="F85:F91" si="41">IF(D$12=0,0,D85/D$12)</f>
        <v>0</v>
      </c>
      <c r="G85" s="1"/>
      <c r="H85" s="1">
        <f>SUM(OSRRefH22_4x_0)</f>
        <v>0</v>
      </c>
      <c r="I85" s="1"/>
      <c r="J85" s="5">
        <f t="shared" ref="J85:J91" si="42">IF(H$12=0,0,H85/H$12)</f>
        <v>0</v>
      </c>
      <c r="K85" s="1"/>
      <c r="L85" s="1">
        <f t="shared" ref="L85:L91" si="43">+D85-H85</f>
        <v>0</v>
      </c>
      <c r="M85" s="1"/>
      <c r="N85" s="5">
        <f t="shared" ref="N85:N91" si="44">IF(H85=0,0,L85/H85)</f>
        <v>0</v>
      </c>
      <c r="O85" s="13"/>
      <c r="P85" s="1">
        <f>SUM(OSRRefP22_4x_0)</f>
        <v>107.7</v>
      </c>
      <c r="Q85" s="1"/>
      <c r="R85" s="5">
        <f t="shared" ref="R85:R91" si="45">IF(P$12=0,0,P85/P$12)</f>
        <v>6.8513521913292978E-5</v>
      </c>
      <c r="S85" s="1"/>
      <c r="T85" s="1">
        <f>SUM(OSRRefT22_4x_0)</f>
        <v>37.880000000000003</v>
      </c>
      <c r="U85" s="1"/>
      <c r="V85" s="5">
        <f t="shared" ref="V85:V91" si="46">IF(T$12=0,0,T85/T$12)</f>
        <v>1.2883241050147128E-5</v>
      </c>
      <c r="W85" s="1"/>
      <c r="X85" s="1">
        <f t="shared" ref="X85:X91" si="47">+P85-T85</f>
        <v>69.819999999999993</v>
      </c>
      <c r="Y85" s="1"/>
      <c r="Z85" s="5">
        <f t="shared" ref="Z85:Z91" si="48">IF(T85=0,0,X85/T85)</f>
        <v>1.8431890179514252</v>
      </c>
    </row>
    <row r="86" spans="1:26" s="24" customFormat="1" hidden="1" outlineLevel="2" x14ac:dyDescent="0.25">
      <c r="A86" s="27"/>
      <c r="B86" s="11" t="str">
        <f>CONCATENATE("          ", "6277", " - ", "EMPLOYEE APPRECIATION")</f>
        <v xml:space="preserve">          6277 - EMPLOYEE APPRECIATION</v>
      </c>
      <c r="C86" s="11"/>
      <c r="D86" s="7"/>
      <c r="E86" s="2"/>
      <c r="F86" s="6">
        <f t="shared" si="41"/>
        <v>0</v>
      </c>
      <c r="G86" s="2"/>
      <c r="H86" s="7"/>
      <c r="I86" s="2"/>
      <c r="J86" s="6">
        <f t="shared" si="42"/>
        <v>0</v>
      </c>
      <c r="K86" s="2"/>
      <c r="L86" s="7">
        <f t="shared" si="43"/>
        <v>0</v>
      </c>
      <c r="M86" s="2"/>
      <c r="N86" s="6">
        <f t="shared" si="44"/>
        <v>0</v>
      </c>
      <c r="O86" s="11"/>
      <c r="P86" s="7">
        <v>107.7</v>
      </c>
      <c r="Q86" s="2"/>
      <c r="R86" s="6">
        <f t="shared" si="45"/>
        <v>6.8513521913292978E-5</v>
      </c>
      <c r="S86" s="2"/>
      <c r="T86" s="7">
        <v>37.880000000000003</v>
      </c>
      <c r="U86" s="2"/>
      <c r="V86" s="6">
        <f t="shared" si="46"/>
        <v>1.2883241050147128E-5</v>
      </c>
      <c r="W86" s="2"/>
      <c r="X86" s="7">
        <f t="shared" si="47"/>
        <v>69.819999999999993</v>
      </c>
      <c r="Y86" s="2"/>
      <c r="Z86" s="6">
        <f t="shared" si="48"/>
        <v>1.8431890179514252</v>
      </c>
    </row>
    <row r="87" spans="1:26" s="25" customFormat="1" outlineLevel="1" collapsed="1" x14ac:dyDescent="0.25">
      <c r="A87" s="26"/>
      <c r="B87" s="13" t="str">
        <f>CONCATENATE("     ","Equipment Rental                                  ")</f>
        <v xml:space="preserve">     Equipment Rental                                  </v>
      </c>
      <c r="C87" s="13"/>
      <c r="D87" s="1">
        <f>SUM(OSRRefD22_5x_0)</f>
        <v>0</v>
      </c>
      <c r="E87" s="1"/>
      <c r="F87" s="5">
        <f t="shared" si="41"/>
        <v>0</v>
      </c>
      <c r="G87" s="1"/>
      <c r="H87" s="1">
        <f>SUM(OSRRefH22_5x_0)</f>
        <v>0</v>
      </c>
      <c r="I87" s="1"/>
      <c r="J87" s="5">
        <f t="shared" si="42"/>
        <v>0</v>
      </c>
      <c r="K87" s="1"/>
      <c r="L87" s="1">
        <f t="shared" si="43"/>
        <v>0</v>
      </c>
      <c r="M87" s="1"/>
      <c r="N87" s="5">
        <f t="shared" si="44"/>
        <v>0</v>
      </c>
      <c r="O87" s="13"/>
      <c r="P87" s="1">
        <f>SUM(OSRRefP22_5x_0)</f>
        <v>547.55999999999995</v>
      </c>
      <c r="Q87" s="1"/>
      <c r="R87" s="5">
        <f t="shared" si="45"/>
        <v>3.4833114260763881E-4</v>
      </c>
      <c r="S87" s="1"/>
      <c r="T87" s="1">
        <f>SUM(OSRRefT22_5x_0)</f>
        <v>547.55999999999995</v>
      </c>
      <c r="U87" s="1"/>
      <c r="V87" s="5">
        <f t="shared" si="46"/>
        <v>1.8622881387060614E-4</v>
      </c>
      <c r="W87" s="1"/>
      <c r="X87" s="1">
        <f t="shared" si="47"/>
        <v>0</v>
      </c>
      <c r="Y87" s="1"/>
      <c r="Z87" s="5">
        <f t="shared" si="48"/>
        <v>0</v>
      </c>
    </row>
    <row r="88" spans="1:26" s="24" customFormat="1" hidden="1" outlineLevel="2" x14ac:dyDescent="0.25">
      <c r="A88" s="27"/>
      <c r="B88" s="11" t="str">
        <f>CONCATENATE("          ", "6351", " - ", "EQUIPMENT RENTAL")</f>
        <v xml:space="preserve">          6351 - EQUIPMENT RENTAL</v>
      </c>
      <c r="C88" s="11"/>
      <c r="D88" s="7"/>
      <c r="E88" s="2"/>
      <c r="F88" s="6">
        <f t="shared" si="41"/>
        <v>0</v>
      </c>
      <c r="G88" s="2"/>
      <c r="H88" s="7"/>
      <c r="I88" s="2"/>
      <c r="J88" s="6">
        <f t="shared" si="42"/>
        <v>0</v>
      </c>
      <c r="K88" s="2"/>
      <c r="L88" s="7">
        <f t="shared" si="43"/>
        <v>0</v>
      </c>
      <c r="M88" s="2"/>
      <c r="N88" s="6">
        <f t="shared" si="44"/>
        <v>0</v>
      </c>
      <c r="O88" s="11"/>
      <c r="P88" s="7">
        <v>547.55999999999995</v>
      </c>
      <c r="Q88" s="2"/>
      <c r="R88" s="6">
        <f t="shared" si="45"/>
        <v>3.4833114260763881E-4</v>
      </c>
      <c r="S88" s="2"/>
      <c r="T88" s="7">
        <v>547.55999999999995</v>
      </c>
      <c r="U88" s="2"/>
      <c r="V88" s="6">
        <f t="shared" si="46"/>
        <v>1.8622881387060614E-4</v>
      </c>
      <c r="W88" s="2"/>
      <c r="X88" s="7">
        <f t="shared" si="47"/>
        <v>0</v>
      </c>
      <c r="Y88" s="2"/>
      <c r="Z88" s="6">
        <f t="shared" si="48"/>
        <v>0</v>
      </c>
    </row>
    <row r="89" spans="1:26" s="25" customFormat="1" outlineLevel="1" collapsed="1" x14ac:dyDescent="0.25">
      <c r="A89" s="26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4167.2</v>
      </c>
      <c r="E89" s="1"/>
      <c r="F89" s="5">
        <f t="shared" si="41"/>
        <v>0.2351389126348796</v>
      </c>
      <c r="G89" s="1"/>
      <c r="H89" s="1">
        <f>SUM(OSRRefH22_6x_0)</f>
        <v>2571.11</v>
      </c>
      <c r="I89" s="1"/>
      <c r="J89" s="5">
        <f t="shared" si="42"/>
        <v>4.0683066520692819E-2</v>
      </c>
      <c r="K89" s="1"/>
      <c r="L89" s="1">
        <f t="shared" si="43"/>
        <v>1596.0899999999997</v>
      </c>
      <c r="M89" s="1"/>
      <c r="N89" s="5">
        <f t="shared" si="44"/>
        <v>0.62077857423447447</v>
      </c>
      <c r="O89" s="13"/>
      <c r="P89" s="1">
        <f>SUM(OSRRefP22_6x_0)</f>
        <v>8898.0300000000007</v>
      </c>
      <c r="Q89" s="1"/>
      <c r="R89" s="5">
        <f t="shared" si="45"/>
        <v>5.6604955746530948E-3</v>
      </c>
      <c r="S89" s="1"/>
      <c r="T89" s="1">
        <f>SUM(OSRRefT22_6x_0)</f>
        <v>11941.9</v>
      </c>
      <c r="U89" s="1"/>
      <c r="V89" s="5">
        <f t="shared" si="46"/>
        <v>4.0615199655953532E-3</v>
      </c>
      <c r="W89" s="1"/>
      <c r="X89" s="1">
        <f t="shared" si="47"/>
        <v>-3043.869999999999</v>
      </c>
      <c r="Y89" s="1"/>
      <c r="Z89" s="5">
        <f t="shared" si="48"/>
        <v>-0.25488992538875715</v>
      </c>
    </row>
    <row r="90" spans="1:26" s="24" customFormat="1" hidden="1" outlineLevel="2" x14ac:dyDescent="0.25">
      <c r="A90" s="27"/>
      <c r="B90" s="11" t="str">
        <f>CONCATENATE("          ", "6305", " - ", "FREIGHT OUT")</f>
        <v xml:space="preserve">          6305 - FREIGHT OUT</v>
      </c>
      <c r="C90" s="11"/>
      <c r="D90" s="7">
        <v>3867.2</v>
      </c>
      <c r="E90" s="2"/>
      <c r="F90" s="6">
        <f t="shared" si="41"/>
        <v>0.21821107768804146</v>
      </c>
      <c r="G90" s="2"/>
      <c r="H90" s="7">
        <v>2571.11</v>
      </c>
      <c r="I90" s="2"/>
      <c r="J90" s="6">
        <f t="shared" si="42"/>
        <v>4.0683066520692819E-2</v>
      </c>
      <c r="K90" s="2"/>
      <c r="L90" s="7">
        <f t="shared" si="43"/>
        <v>1296.0899999999997</v>
      </c>
      <c r="M90" s="2"/>
      <c r="N90" s="6">
        <f t="shared" si="44"/>
        <v>0.50409745207322898</v>
      </c>
      <c r="O90" s="11"/>
      <c r="P90" s="7">
        <v>8598.0300000000007</v>
      </c>
      <c r="Q90" s="2"/>
      <c r="R90" s="6">
        <f t="shared" si="45"/>
        <v>5.4696501097135607E-3</v>
      </c>
      <c r="S90" s="2"/>
      <c r="T90" s="7">
        <v>11941.4</v>
      </c>
      <c r="U90" s="2"/>
      <c r="V90" s="6">
        <f t="shared" si="46"/>
        <v>4.0613499122551982E-3</v>
      </c>
      <c r="W90" s="2"/>
      <c r="X90" s="7">
        <f t="shared" si="47"/>
        <v>-3343.369999999999</v>
      </c>
      <c r="Y90" s="2"/>
      <c r="Z90" s="6">
        <f t="shared" si="48"/>
        <v>-0.27998140921499987</v>
      </c>
    </row>
    <row r="91" spans="1:26" s="24" customFormat="1" hidden="1" outlineLevel="2" x14ac:dyDescent="0.25">
      <c r="A91" s="27"/>
      <c r="B91" s="11" t="str">
        <f>CONCATENATE("          ", "6307", " - ", "POSTAGE")</f>
        <v xml:space="preserve">          6307 - POSTAGE</v>
      </c>
      <c r="C91" s="11"/>
      <c r="D91" s="7">
        <v>300</v>
      </c>
      <c r="E91" s="2"/>
      <c r="F91" s="6">
        <f t="shared" si="41"/>
        <v>1.6927834946838138E-2</v>
      </c>
      <c r="G91" s="2"/>
      <c r="H91" s="7"/>
      <c r="I91" s="2"/>
      <c r="J91" s="6">
        <f t="shared" si="42"/>
        <v>0</v>
      </c>
      <c r="K91" s="2"/>
      <c r="L91" s="7">
        <f t="shared" si="43"/>
        <v>300</v>
      </c>
      <c r="M91" s="2"/>
      <c r="N91" s="6">
        <f t="shared" si="44"/>
        <v>0</v>
      </c>
      <c r="O91" s="11"/>
      <c r="P91" s="7">
        <v>300</v>
      </c>
      <c r="Q91" s="2"/>
      <c r="R91" s="6">
        <f t="shared" si="45"/>
        <v>1.9084546493953474E-4</v>
      </c>
      <c r="S91" s="2"/>
      <c r="T91" s="7">
        <v>0.5</v>
      </c>
      <c r="U91" s="2"/>
      <c r="V91" s="6">
        <f t="shared" si="46"/>
        <v>1.7005334015505712E-7</v>
      </c>
      <c r="W91" s="2"/>
      <c r="X91" s="7">
        <f t="shared" si="47"/>
        <v>299.5</v>
      </c>
      <c r="Y91" s="2"/>
      <c r="Z91" s="6">
        <f t="shared" si="48"/>
        <v>599</v>
      </c>
    </row>
    <row r="92" spans="1:26" s="25" customFormat="1" outlineLevel="1" collapsed="1" x14ac:dyDescent="0.25">
      <c r="A92" s="26"/>
      <c r="B92" s="13" t="str">
        <f>CONCATENATE("     ","General                                           ")</f>
        <v xml:space="preserve">     General                                           </v>
      </c>
      <c r="C92" s="13"/>
      <c r="D92" s="1">
        <f>SUM(OSRRefD22_7x_0)</f>
        <v>-0.99</v>
      </c>
      <c r="E92" s="1"/>
      <c r="F92" s="5">
        <f t="shared" ref="F92:F98" si="49">IF(D$12=0,0,D92/D$12)</f>
        <v>-5.5861855324565852E-5</v>
      </c>
      <c r="G92" s="1"/>
      <c r="H92" s="1">
        <f>SUM(OSRRefH22_7x_0)</f>
        <v>0</v>
      </c>
      <c r="I92" s="1"/>
      <c r="J92" s="5">
        <f t="shared" ref="J92:J98" si="50">IF(H$12=0,0,H92/H$12)</f>
        <v>0</v>
      </c>
      <c r="K92" s="1"/>
      <c r="L92" s="1">
        <f t="shared" ref="L92:L98" si="51">+D92-H92</f>
        <v>-0.99</v>
      </c>
      <c r="M92" s="1"/>
      <c r="N92" s="5">
        <f t="shared" ref="N92:N98" si="52">IF(H92=0,0,L92/H92)</f>
        <v>0</v>
      </c>
      <c r="O92" s="13"/>
      <c r="P92" s="1">
        <f>SUM(OSRRefP22_7x_0)</f>
        <v>-1042.45</v>
      </c>
      <c r="Q92" s="1"/>
      <c r="R92" s="5">
        <f t="shared" ref="R92:R98" si="53">IF(P$12=0,0,P92/P$12)</f>
        <v>-6.6315618308739337E-4</v>
      </c>
      <c r="S92" s="1"/>
      <c r="T92" s="1">
        <f>SUM(OSRRefT22_7x_0)</f>
        <v>8152.9</v>
      </c>
      <c r="U92" s="1"/>
      <c r="V92" s="5">
        <f t="shared" ref="V92:V98" si="54">IF(T$12=0,0,T92/T$12)</f>
        <v>2.77285575390033E-3</v>
      </c>
      <c r="W92" s="1"/>
      <c r="X92" s="1">
        <f t="shared" ref="X92:X98" si="55">+P92-T92</f>
        <v>-9195.35</v>
      </c>
      <c r="Y92" s="1"/>
      <c r="Z92" s="5">
        <f t="shared" ref="Z92:Z98" si="56">IF(T92=0,0,X92/T92)</f>
        <v>-1.1278624783819255</v>
      </c>
    </row>
    <row r="93" spans="1:26" s="24" customFormat="1" hidden="1" outlineLevel="2" x14ac:dyDescent="0.25">
      <c r="A93" s="27"/>
      <c r="B93" s="11" t="str">
        <f>CONCATENATE("          ", "6279", " - ", "GENERAL EXPENSE")</f>
        <v xml:space="preserve">          6279 - GENERAL EXPENSE</v>
      </c>
      <c r="C93" s="11"/>
      <c r="D93" s="7">
        <v>-0.99</v>
      </c>
      <c r="E93" s="2"/>
      <c r="F93" s="6">
        <f t="shared" si="49"/>
        <v>-5.5861855324565852E-5</v>
      </c>
      <c r="G93" s="2"/>
      <c r="H93" s="7"/>
      <c r="I93" s="2"/>
      <c r="J93" s="6">
        <f t="shared" si="50"/>
        <v>0</v>
      </c>
      <c r="K93" s="2"/>
      <c r="L93" s="7">
        <f t="shared" si="51"/>
        <v>-0.99</v>
      </c>
      <c r="M93" s="2"/>
      <c r="N93" s="6">
        <f t="shared" si="52"/>
        <v>0</v>
      </c>
      <c r="O93" s="11"/>
      <c r="P93" s="7">
        <v>-1042.45</v>
      </c>
      <c r="Q93" s="2"/>
      <c r="R93" s="6">
        <f t="shared" si="53"/>
        <v>-6.6315618308739337E-4</v>
      </c>
      <c r="S93" s="2"/>
      <c r="T93" s="7">
        <v>8152.9</v>
      </c>
      <c r="U93" s="2"/>
      <c r="V93" s="6">
        <f t="shared" si="54"/>
        <v>2.77285575390033E-3</v>
      </c>
      <c r="W93" s="2"/>
      <c r="X93" s="7">
        <f t="shared" si="55"/>
        <v>-9195.35</v>
      </c>
      <c r="Y93" s="2"/>
      <c r="Z93" s="6">
        <f t="shared" si="56"/>
        <v>-1.1278624783819255</v>
      </c>
    </row>
    <row r="94" spans="1:26" s="25" customFormat="1" outlineLevel="1" collapsed="1" x14ac:dyDescent="0.25">
      <c r="A94" s="26"/>
      <c r="B94" s="13" t="str">
        <f>CONCATENATE("     ","Inventory Adjustment                              ")</f>
        <v xml:space="preserve">     Inventory Adjustment                              </v>
      </c>
      <c r="C94" s="13"/>
      <c r="D94" s="1">
        <f>SUM(OSRRefD22_8x_0)</f>
        <v>6000</v>
      </c>
      <c r="E94" s="1"/>
      <c r="F94" s="5">
        <f t="shared" si="49"/>
        <v>0.33855669893676271</v>
      </c>
      <c r="G94" s="1"/>
      <c r="H94" s="1">
        <f>SUM(OSRRefH22_8x_0)</f>
        <v>6800</v>
      </c>
      <c r="I94" s="1"/>
      <c r="J94" s="5">
        <f t="shared" si="50"/>
        <v>0.10759743937082084</v>
      </c>
      <c r="K94" s="1"/>
      <c r="L94" s="1">
        <f t="shared" si="51"/>
        <v>-800</v>
      </c>
      <c r="M94" s="1"/>
      <c r="N94" s="5">
        <f t="shared" si="52"/>
        <v>-0.11764705882352941</v>
      </c>
      <c r="O94" s="13"/>
      <c r="P94" s="1">
        <f>SUM(OSRRefP22_8x_0)</f>
        <v>11000</v>
      </c>
      <c r="Q94" s="1"/>
      <c r="R94" s="5">
        <f t="shared" si="53"/>
        <v>6.9976670477829407E-3</v>
      </c>
      <c r="S94" s="1"/>
      <c r="T94" s="1">
        <f>SUM(OSRRefT22_8x_0)</f>
        <v>11800</v>
      </c>
      <c r="U94" s="1"/>
      <c r="V94" s="5">
        <f t="shared" si="54"/>
        <v>4.0132588276593478E-3</v>
      </c>
      <c r="W94" s="1"/>
      <c r="X94" s="1">
        <f t="shared" si="55"/>
        <v>-800</v>
      </c>
      <c r="Y94" s="1"/>
      <c r="Z94" s="5">
        <f t="shared" si="56"/>
        <v>-6.7796610169491525E-2</v>
      </c>
    </row>
    <row r="95" spans="1:26" s="24" customFormat="1" hidden="1" outlineLevel="2" x14ac:dyDescent="0.25">
      <c r="A95" s="27"/>
      <c r="B95" s="11" t="str">
        <f>CONCATENATE("          ", "6408", " - ", "INVENTORY ADJUSTMENT")</f>
        <v xml:space="preserve">          6408 - INVENTORY ADJUSTMENT</v>
      </c>
      <c r="C95" s="11"/>
      <c r="D95" s="7">
        <v>6000</v>
      </c>
      <c r="E95" s="2"/>
      <c r="F95" s="6">
        <f t="shared" si="49"/>
        <v>0.33855669893676271</v>
      </c>
      <c r="G95" s="2"/>
      <c r="H95" s="7">
        <v>6800</v>
      </c>
      <c r="I95" s="2"/>
      <c r="J95" s="6">
        <f t="shared" si="50"/>
        <v>0.10759743937082084</v>
      </c>
      <c r="K95" s="2"/>
      <c r="L95" s="7">
        <f t="shared" si="51"/>
        <v>-800</v>
      </c>
      <c r="M95" s="2"/>
      <c r="N95" s="6">
        <f t="shared" si="52"/>
        <v>-0.11764705882352941</v>
      </c>
      <c r="O95" s="11"/>
      <c r="P95" s="7">
        <v>11000</v>
      </c>
      <c r="Q95" s="2"/>
      <c r="R95" s="6">
        <f t="shared" si="53"/>
        <v>6.9976670477829407E-3</v>
      </c>
      <c r="S95" s="2"/>
      <c r="T95" s="7">
        <v>11800</v>
      </c>
      <c r="U95" s="2"/>
      <c r="V95" s="6">
        <f t="shared" si="54"/>
        <v>4.0132588276593478E-3</v>
      </c>
      <c r="W95" s="2"/>
      <c r="X95" s="7">
        <f t="shared" si="55"/>
        <v>-800</v>
      </c>
      <c r="Y95" s="2"/>
      <c r="Z95" s="6">
        <f t="shared" si="56"/>
        <v>-6.7796610169491525E-2</v>
      </c>
    </row>
    <row r="96" spans="1:26" s="25" customFormat="1" outlineLevel="1" collapsed="1" x14ac:dyDescent="0.25">
      <c r="A96" s="26"/>
      <c r="B96" s="13" t="str">
        <f>CONCATENATE("     ","Repair and Maintenance                            ")</f>
        <v xml:space="preserve">     Repair and Maintenance                            </v>
      </c>
      <c r="C96" s="13"/>
      <c r="D96" s="1">
        <f>SUM(OSRRefD22_9x_0)</f>
        <v>15.84</v>
      </c>
      <c r="E96" s="1"/>
      <c r="F96" s="5">
        <f t="shared" si="49"/>
        <v>8.9378968519305364E-4</v>
      </c>
      <c r="G96" s="1"/>
      <c r="H96" s="1">
        <f>SUM(OSRRefH22_9x_0)</f>
        <v>23.6</v>
      </c>
      <c r="I96" s="1"/>
      <c r="J96" s="5">
        <f t="shared" si="50"/>
        <v>3.7342640722814292E-4</v>
      </c>
      <c r="K96" s="1"/>
      <c r="L96" s="1">
        <f t="shared" si="51"/>
        <v>-7.7600000000000016</v>
      </c>
      <c r="M96" s="1"/>
      <c r="N96" s="5">
        <f t="shared" si="52"/>
        <v>-0.32881355932203393</v>
      </c>
      <c r="O96" s="13"/>
      <c r="P96" s="1">
        <f>SUM(OSRRefP22_9x_0)</f>
        <v>149.47</v>
      </c>
      <c r="Q96" s="1"/>
      <c r="R96" s="5">
        <f t="shared" si="53"/>
        <v>9.5085572148374199E-5</v>
      </c>
      <c r="S96" s="1"/>
      <c r="T96" s="1">
        <f>SUM(OSRRefT22_9x_0)</f>
        <v>143.16</v>
      </c>
      <c r="U96" s="1"/>
      <c r="V96" s="5">
        <f t="shared" si="54"/>
        <v>4.8689672353195953E-5</v>
      </c>
      <c r="W96" s="1"/>
      <c r="X96" s="1">
        <f t="shared" si="55"/>
        <v>6.3100000000000023</v>
      </c>
      <c r="Y96" s="1"/>
      <c r="Z96" s="5">
        <f t="shared" si="56"/>
        <v>4.4076557697680936E-2</v>
      </c>
    </row>
    <row r="97" spans="1:26" s="24" customFormat="1" hidden="1" outlineLevel="2" x14ac:dyDescent="0.25">
      <c r="A97" s="27"/>
      <c r="B97" s="11" t="str">
        <f>CONCATENATE("          ", "6373", " - ", "MAINTENANCE CONTRACTS")</f>
        <v xml:space="preserve">          6373 - MAINTENANCE CONTRACTS</v>
      </c>
      <c r="C97" s="11"/>
      <c r="D97" s="7">
        <v>15.84</v>
      </c>
      <c r="E97" s="2"/>
      <c r="F97" s="6">
        <f t="shared" si="49"/>
        <v>8.9378968519305364E-4</v>
      </c>
      <c r="G97" s="2"/>
      <c r="H97" s="7">
        <v>23.6</v>
      </c>
      <c r="I97" s="2"/>
      <c r="J97" s="6">
        <f t="shared" si="50"/>
        <v>3.7342640722814292E-4</v>
      </c>
      <c r="K97" s="2"/>
      <c r="L97" s="7">
        <f t="shared" si="51"/>
        <v>-7.7600000000000016</v>
      </c>
      <c r="M97" s="2"/>
      <c r="N97" s="6">
        <f t="shared" si="52"/>
        <v>-0.32881355932203393</v>
      </c>
      <c r="O97" s="11"/>
      <c r="P97" s="7">
        <v>124.36</v>
      </c>
      <c r="Q97" s="2"/>
      <c r="R97" s="6">
        <f t="shared" si="53"/>
        <v>7.9111806732935143E-5</v>
      </c>
      <c r="S97" s="2"/>
      <c r="T97" s="7">
        <v>143.16</v>
      </c>
      <c r="U97" s="2"/>
      <c r="V97" s="6">
        <f t="shared" si="54"/>
        <v>4.8689672353195953E-5</v>
      </c>
      <c r="W97" s="2"/>
      <c r="X97" s="7">
        <f t="shared" si="55"/>
        <v>-18.799999999999997</v>
      </c>
      <c r="Y97" s="2"/>
      <c r="Z97" s="6">
        <f t="shared" si="56"/>
        <v>-0.13132159821179099</v>
      </c>
    </row>
    <row r="98" spans="1:26" s="24" customFormat="1" hidden="1" outlineLevel="2" x14ac:dyDescent="0.25">
      <c r="A98" s="27"/>
      <c r="B98" s="11" t="str">
        <f>CONCATENATE("          ", "6375", " - ", "OUTSIDE REPAIRS &amp; MAINTENANCE")</f>
        <v xml:space="preserve">          6375 - OUTSIDE REPAIRS &amp; MAINTENANCE</v>
      </c>
      <c r="C98" s="11"/>
      <c r="D98" s="7"/>
      <c r="E98" s="2"/>
      <c r="F98" s="6">
        <f t="shared" si="49"/>
        <v>0</v>
      </c>
      <c r="G98" s="2"/>
      <c r="H98" s="7"/>
      <c r="I98" s="2"/>
      <c r="J98" s="6">
        <f t="shared" si="50"/>
        <v>0</v>
      </c>
      <c r="K98" s="2"/>
      <c r="L98" s="7">
        <f t="shared" si="51"/>
        <v>0</v>
      </c>
      <c r="M98" s="2"/>
      <c r="N98" s="6">
        <f t="shared" si="52"/>
        <v>0</v>
      </c>
      <c r="O98" s="11"/>
      <c r="P98" s="7">
        <v>25.11</v>
      </c>
      <c r="Q98" s="2"/>
      <c r="R98" s="6">
        <f t="shared" si="53"/>
        <v>1.5973765415439059E-5</v>
      </c>
      <c r="S98" s="2"/>
      <c r="T98" s="7"/>
      <c r="U98" s="2"/>
      <c r="V98" s="6">
        <f t="shared" si="54"/>
        <v>0</v>
      </c>
      <c r="W98" s="2"/>
      <c r="X98" s="7">
        <f t="shared" si="55"/>
        <v>25.11</v>
      </c>
      <c r="Y98" s="2"/>
      <c r="Z98" s="6">
        <f t="shared" si="56"/>
        <v>0</v>
      </c>
    </row>
    <row r="99" spans="1:26" s="25" customFormat="1" outlineLevel="1" collapsed="1" x14ac:dyDescent="0.25">
      <c r="A99" s="26"/>
      <c r="B99" s="13" t="str">
        <f>CONCATENATE("     ","Subscriptions &amp; Dues                              ")</f>
        <v xml:space="preserve">     Subscriptions &amp; Dues                              </v>
      </c>
      <c r="C99" s="13"/>
      <c r="D99" s="1">
        <f>SUM(OSRRefD22_10x_0)</f>
        <v>141.16</v>
      </c>
      <c r="E99" s="1"/>
      <c r="F99" s="5">
        <f t="shared" ref="F99:F104" si="57">IF(D$12=0,0,D99/D$12)</f>
        <v>7.9651106036522385E-3</v>
      </c>
      <c r="G99" s="1"/>
      <c r="H99" s="1">
        <f>SUM(OSRRefH22_10x_0)</f>
        <v>250</v>
      </c>
      <c r="I99" s="1"/>
      <c r="J99" s="5">
        <f t="shared" ref="J99:J104" si="58">IF(H$12=0,0,H99/H$12)</f>
        <v>3.9557882121625306E-3</v>
      </c>
      <c r="K99" s="1"/>
      <c r="L99" s="1">
        <f t="shared" ref="L99:L104" si="59">+D99-H99</f>
        <v>-108.84</v>
      </c>
      <c r="M99" s="1"/>
      <c r="N99" s="5">
        <f t="shared" ref="N99:N104" si="60">IF(H99=0,0,L99/H99)</f>
        <v>-0.43536000000000002</v>
      </c>
      <c r="O99" s="13"/>
      <c r="P99" s="1">
        <f>SUM(OSRRefP22_10x_0)</f>
        <v>1731.44</v>
      </c>
      <c r="Q99" s="1"/>
      <c r="R99" s="5">
        <f t="shared" ref="R99:R104" si="61">IF(P$12=0,0,P99/P$12)</f>
        <v>1.1014582393830269E-3</v>
      </c>
      <c r="S99" s="1"/>
      <c r="T99" s="1">
        <f>SUM(OSRRefT22_10x_0)</f>
        <v>1557.4</v>
      </c>
      <c r="U99" s="1"/>
      <c r="V99" s="5">
        <f t="shared" ref="V99:V104" si="62">IF(T$12=0,0,T99/T$12)</f>
        <v>5.2968214391497191E-4</v>
      </c>
      <c r="W99" s="1"/>
      <c r="X99" s="1">
        <f t="shared" ref="X99:X104" si="63">+P99-T99</f>
        <v>174.03999999999996</v>
      </c>
      <c r="Y99" s="1"/>
      <c r="Z99" s="5">
        <f t="shared" ref="Z99:Z104" si="64">IF(T99=0,0,X99/T99)</f>
        <v>0.11175035315269036</v>
      </c>
    </row>
    <row r="100" spans="1:26" s="24" customFormat="1" hidden="1" outlineLevel="2" x14ac:dyDescent="0.25">
      <c r="A100" s="27"/>
      <c r="B100" s="11" t="str">
        <f>CONCATENATE("          ", "6258", " - ", "MEMBERSHIP DUES")</f>
        <v xml:space="preserve">          6258 - MEMBERSHIP DUES</v>
      </c>
      <c r="C100" s="11"/>
      <c r="D100" s="7">
        <v>141.16</v>
      </c>
      <c r="E100" s="2"/>
      <c r="F100" s="6">
        <f t="shared" si="57"/>
        <v>7.9651106036522385E-3</v>
      </c>
      <c r="G100" s="2"/>
      <c r="H100" s="7">
        <v>250</v>
      </c>
      <c r="I100" s="2"/>
      <c r="J100" s="6">
        <f t="shared" si="58"/>
        <v>3.9557882121625306E-3</v>
      </c>
      <c r="K100" s="2"/>
      <c r="L100" s="7">
        <f t="shared" si="59"/>
        <v>-108.84</v>
      </c>
      <c r="M100" s="2"/>
      <c r="N100" s="6">
        <f t="shared" si="60"/>
        <v>-0.43536000000000002</v>
      </c>
      <c r="O100" s="11"/>
      <c r="P100" s="7">
        <v>1731.44</v>
      </c>
      <c r="Q100" s="2"/>
      <c r="R100" s="6">
        <f t="shared" si="61"/>
        <v>1.1014582393830269E-3</v>
      </c>
      <c r="S100" s="2"/>
      <c r="T100" s="7">
        <v>1557.4</v>
      </c>
      <c r="U100" s="2"/>
      <c r="V100" s="6">
        <f t="shared" si="62"/>
        <v>5.2968214391497191E-4</v>
      </c>
      <c r="W100" s="2"/>
      <c r="X100" s="7">
        <f t="shared" si="63"/>
        <v>174.03999999999996</v>
      </c>
      <c r="Y100" s="2"/>
      <c r="Z100" s="6">
        <f t="shared" si="64"/>
        <v>0.11175035315269036</v>
      </c>
    </row>
    <row r="101" spans="1:26" s="25" customFormat="1" outlineLevel="1" collapsed="1" x14ac:dyDescent="0.25">
      <c r="A101" s="26"/>
      <c r="B101" s="13" t="str">
        <f>CONCATENATE("     ","Supplies                                          ")</f>
        <v xml:space="preserve">     Supplies                                          </v>
      </c>
      <c r="C101" s="13"/>
      <c r="D101" s="1">
        <f>SUM(OSRRefD22_11x_0)</f>
        <v>522.95000000000005</v>
      </c>
      <c r="E101" s="1"/>
      <c r="F101" s="5">
        <f t="shared" si="57"/>
        <v>2.9508037618163348E-2</v>
      </c>
      <c r="G101" s="1"/>
      <c r="H101" s="1">
        <f>SUM(OSRRefH22_11x_0)</f>
        <v>208.46</v>
      </c>
      <c r="I101" s="1"/>
      <c r="J101" s="5">
        <f t="shared" si="58"/>
        <v>3.2984944428296049E-3</v>
      </c>
      <c r="K101" s="1"/>
      <c r="L101" s="1">
        <f t="shared" si="59"/>
        <v>314.49</v>
      </c>
      <c r="M101" s="1"/>
      <c r="N101" s="5">
        <f t="shared" si="60"/>
        <v>1.5086347500719561</v>
      </c>
      <c r="O101" s="13"/>
      <c r="P101" s="1">
        <f>SUM(OSRRefP22_11x_0)</f>
        <v>2069.64</v>
      </c>
      <c r="Q101" s="1"/>
      <c r="R101" s="5">
        <f t="shared" si="61"/>
        <v>1.3166046935248622E-3</v>
      </c>
      <c r="S101" s="1"/>
      <c r="T101" s="1">
        <f>SUM(OSRRefT22_11x_0)</f>
        <v>9423.0499999999993</v>
      </c>
      <c r="U101" s="1"/>
      <c r="V101" s="5">
        <f t="shared" si="62"/>
        <v>3.2048422538962216E-3</v>
      </c>
      <c r="W101" s="1"/>
      <c r="X101" s="1">
        <f t="shared" si="63"/>
        <v>-7353.41</v>
      </c>
      <c r="Y101" s="1"/>
      <c r="Z101" s="5">
        <f t="shared" si="64"/>
        <v>-0.78036410716275517</v>
      </c>
    </row>
    <row r="102" spans="1:26" s="24" customFormat="1" hidden="1" outlineLevel="2" x14ac:dyDescent="0.25">
      <c r="A102" s="27"/>
      <c r="B102" s="11" t="str">
        <f>CONCATENATE("          ", "6241", " - ", "OFFICE EXPENSE")</f>
        <v xml:space="preserve">          6241 - OFFICE EXPENSE</v>
      </c>
      <c r="C102" s="11"/>
      <c r="D102" s="7">
        <v>210.77</v>
      </c>
      <c r="E102" s="2"/>
      <c r="F102" s="6">
        <f t="shared" si="57"/>
        <v>1.1892932572483582E-2</v>
      </c>
      <c r="G102" s="2"/>
      <c r="H102" s="7">
        <v>208.46</v>
      </c>
      <c r="I102" s="2"/>
      <c r="J102" s="6">
        <f t="shared" si="58"/>
        <v>3.2984944428296049E-3</v>
      </c>
      <c r="K102" s="2"/>
      <c r="L102" s="7">
        <f t="shared" si="59"/>
        <v>2.3100000000000023</v>
      </c>
      <c r="M102" s="2"/>
      <c r="N102" s="6">
        <f t="shared" si="60"/>
        <v>1.1081262592343865E-2</v>
      </c>
      <c r="O102" s="11"/>
      <c r="P102" s="7">
        <v>1124.3599999999999</v>
      </c>
      <c r="Q102" s="2"/>
      <c r="R102" s="6">
        <f t="shared" si="61"/>
        <v>7.1526335653138422E-4</v>
      </c>
      <c r="S102" s="2"/>
      <c r="T102" s="7">
        <v>3583.93</v>
      </c>
      <c r="U102" s="2"/>
      <c r="V102" s="6">
        <f t="shared" si="62"/>
        <v>1.2189185347638277E-3</v>
      </c>
      <c r="W102" s="2"/>
      <c r="X102" s="7">
        <f t="shared" si="63"/>
        <v>-2459.5699999999997</v>
      </c>
      <c r="Y102" s="2"/>
      <c r="Z102" s="6">
        <f t="shared" si="64"/>
        <v>-0.686277354747442</v>
      </c>
    </row>
    <row r="103" spans="1:26" s="24" customFormat="1" hidden="1" outlineLevel="2" x14ac:dyDescent="0.25">
      <c r="A103" s="27"/>
      <c r="B103" s="11" t="str">
        <f>CONCATENATE("          ", "6245", " - ", "PRINTING")</f>
        <v xml:space="preserve">          6245 - PRINTING</v>
      </c>
      <c r="C103" s="11"/>
      <c r="D103" s="7"/>
      <c r="E103" s="2"/>
      <c r="F103" s="6">
        <f t="shared" si="57"/>
        <v>0</v>
      </c>
      <c r="G103" s="2"/>
      <c r="H103" s="7"/>
      <c r="I103" s="2"/>
      <c r="J103" s="6">
        <f t="shared" si="58"/>
        <v>0</v>
      </c>
      <c r="K103" s="2"/>
      <c r="L103" s="7">
        <f t="shared" si="59"/>
        <v>0</v>
      </c>
      <c r="M103" s="2"/>
      <c r="N103" s="6">
        <f t="shared" si="60"/>
        <v>0</v>
      </c>
      <c r="O103" s="11"/>
      <c r="P103" s="7"/>
      <c r="Q103" s="2"/>
      <c r="R103" s="6">
        <f t="shared" si="61"/>
        <v>0</v>
      </c>
      <c r="S103" s="2"/>
      <c r="T103" s="7">
        <v>4978.08</v>
      </c>
      <c r="U103" s="2"/>
      <c r="V103" s="6">
        <f t="shared" si="62"/>
        <v>1.6930782631181735E-3</v>
      </c>
      <c r="W103" s="2"/>
      <c r="X103" s="7">
        <f t="shared" si="63"/>
        <v>-4978.08</v>
      </c>
      <c r="Y103" s="2"/>
      <c r="Z103" s="6">
        <f t="shared" si="64"/>
        <v>-1</v>
      </c>
    </row>
    <row r="104" spans="1:26" s="24" customFormat="1" hidden="1" outlineLevel="2" x14ac:dyDescent="0.25">
      <c r="A104" s="27"/>
      <c r="B104" s="11" t="str">
        <f>CONCATENATE("          ", "6247", " - ", "STORE SUPPLIES")</f>
        <v xml:space="preserve">          6247 - STORE SUPPLIES</v>
      </c>
      <c r="C104" s="11"/>
      <c r="D104" s="7">
        <v>312.18</v>
      </c>
      <c r="E104" s="2"/>
      <c r="F104" s="6">
        <f t="shared" si="57"/>
        <v>1.7615105045679764E-2</v>
      </c>
      <c r="G104" s="2"/>
      <c r="H104" s="7"/>
      <c r="I104" s="2"/>
      <c r="J104" s="6">
        <f t="shared" si="58"/>
        <v>0</v>
      </c>
      <c r="K104" s="2"/>
      <c r="L104" s="7">
        <f t="shared" si="59"/>
        <v>312.18</v>
      </c>
      <c r="M104" s="2"/>
      <c r="N104" s="6">
        <f t="shared" si="60"/>
        <v>0</v>
      </c>
      <c r="O104" s="11"/>
      <c r="P104" s="7">
        <v>945.28</v>
      </c>
      <c r="Q104" s="2"/>
      <c r="R104" s="6">
        <f t="shared" si="61"/>
        <v>6.0134133699347796E-4</v>
      </c>
      <c r="S104" s="2"/>
      <c r="T104" s="7">
        <v>861.04</v>
      </c>
      <c r="U104" s="2"/>
      <c r="V104" s="6">
        <f t="shared" si="62"/>
        <v>2.9284545601422076E-4</v>
      </c>
      <c r="W104" s="2"/>
      <c r="X104" s="7">
        <f t="shared" si="63"/>
        <v>84.240000000000009</v>
      </c>
      <c r="Y104" s="2"/>
      <c r="Z104" s="6">
        <f t="shared" si="64"/>
        <v>9.7835176066152579E-2</v>
      </c>
    </row>
    <row r="105" spans="1:26" s="25" customFormat="1" outlineLevel="1" collapsed="1" x14ac:dyDescent="0.25">
      <c r="A105" s="26"/>
      <c r="B105" s="13" t="str">
        <f>CONCATENATE("     ","Telephone/Data Lines                              ")</f>
        <v xml:space="preserve">     Telephone/Data Lines                              </v>
      </c>
      <c r="C105" s="13"/>
      <c r="D105" s="1">
        <f>SUM(OSRRefD22_12x_0)</f>
        <v>462</v>
      </c>
      <c r="E105" s="1"/>
      <c r="F105" s="5">
        <f t="shared" ref="F105:F107" si="65">IF(D$12=0,0,D105/D$12)</f>
        <v>2.606886581813073E-2</v>
      </c>
      <c r="G105" s="1"/>
      <c r="H105" s="1">
        <f>SUM(OSRRefH22_12x_0)</f>
        <v>1065.45</v>
      </c>
      <c r="I105" s="1"/>
      <c r="J105" s="5">
        <f t="shared" ref="J105:J107" si="66">IF(H$12=0,0,H105/H$12)</f>
        <v>1.6858778202594273E-2</v>
      </c>
      <c r="K105" s="1"/>
      <c r="L105" s="1">
        <f t="shared" ref="L105:L107" si="67">+D105-H105</f>
        <v>-603.45000000000005</v>
      </c>
      <c r="M105" s="1"/>
      <c r="N105" s="5">
        <f t="shared" ref="N105:N107" si="68">IF(H105=0,0,L105/H105)</f>
        <v>-0.56638040264676903</v>
      </c>
      <c r="O105" s="13"/>
      <c r="P105" s="1">
        <f>SUM(OSRRefP22_12x_0)</f>
        <v>5042.5</v>
      </c>
      <c r="Q105" s="1"/>
      <c r="R105" s="5">
        <f t="shared" ref="R105:R107" si="69">IF(P$12=0,0,P105/P$12)</f>
        <v>3.2077941898586799E-3</v>
      </c>
      <c r="S105" s="1"/>
      <c r="T105" s="1">
        <f>SUM(OSRRefT22_12x_0)</f>
        <v>4934.04</v>
      </c>
      <c r="U105" s="1"/>
      <c r="V105" s="5">
        <f t="shared" ref="V105:V107" si="70">IF(T$12=0,0,T105/T$12)</f>
        <v>1.6780999649173159E-3</v>
      </c>
      <c r="W105" s="1"/>
      <c r="X105" s="1">
        <f t="shared" ref="X105:X107" si="71">+P105-T105</f>
        <v>108.46000000000004</v>
      </c>
      <c r="Y105" s="1"/>
      <c r="Z105" s="5">
        <f t="shared" ref="Z105:Z107" si="72">IF(T105=0,0,X105/T105)</f>
        <v>2.1981986364115417E-2</v>
      </c>
    </row>
    <row r="106" spans="1:26" s="24" customFormat="1" hidden="1" outlineLevel="2" x14ac:dyDescent="0.25">
      <c r="A106" s="27"/>
      <c r="B106" s="11" t="str">
        <f>CONCATENATE("          ", "6303", " - ", "DATA PHONE LINES")</f>
        <v xml:space="preserve">          6303 - DATA PHONE LINES</v>
      </c>
      <c r="C106" s="11"/>
      <c r="D106" s="7"/>
      <c r="E106" s="2"/>
      <c r="F106" s="6">
        <f t="shared" si="65"/>
        <v>0</v>
      </c>
      <c r="G106" s="2"/>
      <c r="H106" s="7">
        <v>295</v>
      </c>
      <c r="I106" s="2"/>
      <c r="J106" s="6">
        <f t="shared" si="66"/>
        <v>4.6678300903517864E-3</v>
      </c>
      <c r="K106" s="2"/>
      <c r="L106" s="7">
        <f t="shared" si="67"/>
        <v>-295</v>
      </c>
      <c r="M106" s="2"/>
      <c r="N106" s="6">
        <f t="shared" si="68"/>
        <v>-1</v>
      </c>
      <c r="O106" s="11"/>
      <c r="P106" s="7">
        <v>2065</v>
      </c>
      <c r="Q106" s="2"/>
      <c r="R106" s="6">
        <f t="shared" si="69"/>
        <v>1.3136529503337976E-3</v>
      </c>
      <c r="S106" s="2"/>
      <c r="T106" s="7">
        <v>1770</v>
      </c>
      <c r="U106" s="2"/>
      <c r="V106" s="6">
        <f t="shared" si="70"/>
        <v>6.0198882414890214E-4</v>
      </c>
      <c r="W106" s="2"/>
      <c r="X106" s="7">
        <f t="shared" si="71"/>
        <v>295</v>
      </c>
      <c r="Y106" s="2"/>
      <c r="Z106" s="6">
        <f t="shared" si="72"/>
        <v>0.16666666666666666</v>
      </c>
    </row>
    <row r="107" spans="1:26" s="24" customFormat="1" hidden="1" outlineLevel="2" x14ac:dyDescent="0.25">
      <c r="A107" s="27"/>
      <c r="B107" s="11" t="str">
        <f>CONCATENATE("          ", "6309", " - ", "TELEPHONE")</f>
        <v xml:space="preserve">          6309 - TELEPHONE</v>
      </c>
      <c r="C107" s="11"/>
      <c r="D107" s="7">
        <v>462</v>
      </c>
      <c r="E107" s="2"/>
      <c r="F107" s="6">
        <f t="shared" si="65"/>
        <v>2.606886581813073E-2</v>
      </c>
      <c r="G107" s="2"/>
      <c r="H107" s="7">
        <v>770.45</v>
      </c>
      <c r="I107" s="2"/>
      <c r="J107" s="6">
        <f t="shared" si="66"/>
        <v>1.2190948112242488E-2</v>
      </c>
      <c r="K107" s="2"/>
      <c r="L107" s="7">
        <f t="shared" si="67"/>
        <v>-308.45000000000005</v>
      </c>
      <c r="M107" s="2"/>
      <c r="N107" s="6">
        <f t="shared" si="68"/>
        <v>-0.40035044454539559</v>
      </c>
      <c r="O107" s="11"/>
      <c r="P107" s="7">
        <v>2977.5</v>
      </c>
      <c r="Q107" s="2"/>
      <c r="R107" s="6">
        <f t="shared" si="69"/>
        <v>1.8941412395248824E-3</v>
      </c>
      <c r="S107" s="2"/>
      <c r="T107" s="7">
        <v>3164.04</v>
      </c>
      <c r="U107" s="2"/>
      <c r="V107" s="6">
        <f t="shared" si="70"/>
        <v>1.0761111407684139E-3</v>
      </c>
      <c r="W107" s="2"/>
      <c r="X107" s="7">
        <f t="shared" si="71"/>
        <v>-186.53999999999996</v>
      </c>
      <c r="Y107" s="2"/>
      <c r="Z107" s="6">
        <f t="shared" si="72"/>
        <v>-5.8956271096446307E-2</v>
      </c>
    </row>
    <row r="108" spans="1:26" s="25" customFormat="1" outlineLevel="1" collapsed="1" x14ac:dyDescent="0.25">
      <c r="A108" s="26"/>
      <c r="B108" s="13" t="str">
        <f>CONCATENATE("     ","Training                                          ")</f>
        <v xml:space="preserve">     Training                                          </v>
      </c>
      <c r="C108" s="13"/>
      <c r="D108" s="1">
        <f>SUM(OSRRefD22_13x_0)</f>
        <v>0</v>
      </c>
      <c r="E108" s="1"/>
      <c r="F108" s="5">
        <f t="shared" ref="F108:F111" si="73">IF(D$12=0,0,D108/D$12)</f>
        <v>0</v>
      </c>
      <c r="G108" s="1"/>
      <c r="H108" s="1">
        <f>SUM(OSRRefH22_13x_0)</f>
        <v>0</v>
      </c>
      <c r="I108" s="1"/>
      <c r="J108" s="5">
        <f t="shared" ref="J108:J111" si="74">IF(H$12=0,0,H108/H$12)</f>
        <v>0</v>
      </c>
      <c r="K108" s="1"/>
      <c r="L108" s="1">
        <f t="shared" ref="L108:L111" si="75">+D108-H108</f>
        <v>0</v>
      </c>
      <c r="M108" s="1"/>
      <c r="N108" s="5">
        <f t="shared" ref="N108:N111" si="76">IF(H108=0,0,L108/H108)</f>
        <v>0</v>
      </c>
      <c r="O108" s="13"/>
      <c r="P108" s="1">
        <f>SUM(OSRRefP22_13x_0)</f>
        <v>0</v>
      </c>
      <c r="Q108" s="1"/>
      <c r="R108" s="5">
        <f t="shared" ref="R108:R111" si="77">IF(P$12=0,0,P108/P$12)</f>
        <v>0</v>
      </c>
      <c r="S108" s="1"/>
      <c r="T108" s="1">
        <f>SUM(OSRRefT22_13x_0)</f>
        <v>547.47</v>
      </c>
      <c r="U108" s="1"/>
      <c r="V108" s="5">
        <f t="shared" ref="V108:V111" si="78">IF(T$12=0,0,T108/T$12)</f>
        <v>1.8619820426937824E-4</v>
      </c>
      <c r="W108" s="1"/>
      <c r="X108" s="1">
        <f t="shared" ref="X108:X111" si="79">+P108-T108</f>
        <v>-547.47</v>
      </c>
      <c r="Y108" s="1"/>
      <c r="Z108" s="5">
        <f t="shared" ref="Z108:Z111" si="80">IF(T108=0,0,X108/T108)</f>
        <v>-1</v>
      </c>
    </row>
    <row r="109" spans="1:26" s="24" customFormat="1" hidden="1" outlineLevel="2" x14ac:dyDescent="0.25">
      <c r="A109" s="27"/>
      <c r="B109" s="11" t="str">
        <f>CONCATENATE("          ", "6376", " - ", "TRAINING")</f>
        <v xml:space="preserve">          6376 - TRAINING</v>
      </c>
      <c r="C109" s="11"/>
      <c r="D109" s="7"/>
      <c r="E109" s="2"/>
      <c r="F109" s="6">
        <f t="shared" si="73"/>
        <v>0</v>
      </c>
      <c r="G109" s="2"/>
      <c r="H109" s="7"/>
      <c r="I109" s="2"/>
      <c r="J109" s="6">
        <f t="shared" si="74"/>
        <v>0</v>
      </c>
      <c r="K109" s="2"/>
      <c r="L109" s="7">
        <f t="shared" si="75"/>
        <v>0</v>
      </c>
      <c r="M109" s="2"/>
      <c r="N109" s="6">
        <f t="shared" si="76"/>
        <v>0</v>
      </c>
      <c r="O109" s="11"/>
      <c r="P109" s="7"/>
      <c r="Q109" s="2"/>
      <c r="R109" s="6">
        <f t="shared" si="77"/>
        <v>0</v>
      </c>
      <c r="S109" s="2"/>
      <c r="T109" s="7">
        <v>547.47</v>
      </c>
      <c r="U109" s="2"/>
      <c r="V109" s="6">
        <f t="shared" si="78"/>
        <v>1.8619820426937824E-4</v>
      </c>
      <c r="W109" s="2"/>
      <c r="X109" s="7">
        <f t="shared" si="79"/>
        <v>-547.47</v>
      </c>
      <c r="Y109" s="2"/>
      <c r="Z109" s="6">
        <f t="shared" si="80"/>
        <v>-1</v>
      </c>
    </row>
    <row r="110" spans="1:26" s="25" customFormat="1" outlineLevel="1" collapsed="1" x14ac:dyDescent="0.25">
      <c r="A110" s="26"/>
      <c r="B110" s="13" t="str">
        <f>CONCATENATE("     ","Travel                                            ")</f>
        <v xml:space="preserve">     Travel                                            </v>
      </c>
      <c r="C110" s="13"/>
      <c r="D110" s="1">
        <f>SUM(OSRRefD22_14x_0)</f>
        <v>0</v>
      </c>
      <c r="E110" s="1"/>
      <c r="F110" s="5">
        <f t="shared" si="73"/>
        <v>0</v>
      </c>
      <c r="G110" s="1"/>
      <c r="H110" s="1">
        <f>SUM(OSRRefH22_14x_0)</f>
        <v>0</v>
      </c>
      <c r="I110" s="1"/>
      <c r="J110" s="5">
        <f t="shared" si="74"/>
        <v>0</v>
      </c>
      <c r="K110" s="1"/>
      <c r="L110" s="1">
        <f t="shared" si="75"/>
        <v>0</v>
      </c>
      <c r="M110" s="1"/>
      <c r="N110" s="5">
        <f t="shared" si="76"/>
        <v>0</v>
      </c>
      <c r="O110" s="13"/>
      <c r="P110" s="1">
        <f>SUM(OSRRefP22_14x_0)</f>
        <v>0.16</v>
      </c>
      <c r="Q110" s="1"/>
      <c r="R110" s="5">
        <f t="shared" si="77"/>
        <v>1.0178424796775187E-7</v>
      </c>
      <c r="S110" s="1"/>
      <c r="T110" s="1">
        <f>SUM(OSRRefT22_14x_0)</f>
        <v>83.93</v>
      </c>
      <c r="U110" s="1"/>
      <c r="V110" s="5">
        <f t="shared" si="78"/>
        <v>2.8545153678427889E-5</v>
      </c>
      <c r="W110" s="1"/>
      <c r="X110" s="1">
        <f t="shared" si="79"/>
        <v>-83.77000000000001</v>
      </c>
      <c r="Y110" s="1"/>
      <c r="Z110" s="5">
        <f t="shared" si="80"/>
        <v>-0.99809364946979628</v>
      </c>
    </row>
    <row r="111" spans="1:26" s="24" customFormat="1" hidden="1" outlineLevel="2" x14ac:dyDescent="0.25">
      <c r="A111" s="27"/>
      <c r="B111" s="11" t="str">
        <f>CONCATENATE("          ", "6292", " - ", "TRAVEL/CONFERENCE")</f>
        <v xml:space="preserve">          6292 - TRAVEL/CONFERENCE</v>
      </c>
      <c r="C111" s="11"/>
      <c r="D111" s="7"/>
      <c r="E111" s="2"/>
      <c r="F111" s="6">
        <f t="shared" si="73"/>
        <v>0</v>
      </c>
      <c r="G111" s="2"/>
      <c r="H111" s="7"/>
      <c r="I111" s="2"/>
      <c r="J111" s="6">
        <f t="shared" si="74"/>
        <v>0</v>
      </c>
      <c r="K111" s="2"/>
      <c r="L111" s="7">
        <f t="shared" si="75"/>
        <v>0</v>
      </c>
      <c r="M111" s="2"/>
      <c r="N111" s="6">
        <f t="shared" si="76"/>
        <v>0</v>
      </c>
      <c r="O111" s="11"/>
      <c r="P111" s="7">
        <v>0.16</v>
      </c>
      <c r="Q111" s="2"/>
      <c r="R111" s="6">
        <f t="shared" si="77"/>
        <v>1.0178424796775187E-7</v>
      </c>
      <c r="S111" s="2"/>
      <c r="T111" s="7">
        <v>83.93</v>
      </c>
      <c r="U111" s="2"/>
      <c r="V111" s="6">
        <f t="shared" si="78"/>
        <v>2.8545153678427889E-5</v>
      </c>
      <c r="W111" s="2"/>
      <c r="X111" s="7">
        <f t="shared" si="79"/>
        <v>-83.77000000000001</v>
      </c>
      <c r="Y111" s="2"/>
      <c r="Z111" s="6">
        <f t="shared" si="80"/>
        <v>-0.99809364946979628</v>
      </c>
    </row>
    <row r="112" spans="1:26" s="55" customFormat="1" x14ac:dyDescent="0.25">
      <c r="A112" s="37"/>
      <c r="B112" s="37"/>
      <c r="C112" s="37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7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collapsed="1" x14ac:dyDescent="0.25">
      <c r="A113" s="10"/>
      <c r="B113" s="29" t="s">
        <v>0</v>
      </c>
      <c r="C113" s="10"/>
      <c r="D113" s="4">
        <f>SUM(OSRRefD25x_0)</f>
        <v>11680.240000000002</v>
      </c>
      <c r="E113" s="4"/>
      <c r="F113" s="12">
        <f t="shared" ref="F113:F116" si="81">IF(D$12=0,0,D113/D$12)</f>
        <v>0.65907058286485565</v>
      </c>
      <c r="G113" s="4"/>
      <c r="H113" s="4">
        <f>SUM(OSRRefH25x_0)</f>
        <v>3606.87</v>
      </c>
      <c r="I113" s="4"/>
      <c r="J113" s="12">
        <f t="shared" ref="J113:J116" si="82">IF(H$12=0,0,H113/H$12)</f>
        <v>5.7072055315210667E-2</v>
      </c>
      <c r="K113" s="4"/>
      <c r="L113" s="4">
        <f t="shared" ref="L113:L116" si="83">+D113-H113</f>
        <v>8073.3700000000017</v>
      </c>
      <c r="M113" s="4"/>
      <c r="N113" s="12">
        <f t="shared" ref="N113:N116" si="84">IF(H113=0,0,L113/H113)</f>
        <v>2.2383312955554269</v>
      </c>
      <c r="O113" s="10"/>
      <c r="P113" s="4">
        <f>SUM(OSRRefP25x_0)</f>
        <v>173765.81</v>
      </c>
      <c r="Q113" s="4"/>
      <c r="R113" s="12">
        <f t="shared" ref="R113:R116" si="85">IF(P$12=0,0,P113/P$12)</f>
        <v>0.11054138933348286</v>
      </c>
      <c r="S113" s="4"/>
      <c r="T113" s="4">
        <f>SUM(OSRRefT25x_0)</f>
        <v>146048.81</v>
      </c>
      <c r="U113" s="4"/>
      <c r="V113" s="12">
        <f t="shared" ref="V113:V116" si="86">IF(T$12=0,0,T113/T$12)</f>
        <v>4.9672175932342612E-2</v>
      </c>
      <c r="W113" s="4"/>
      <c r="X113" s="4">
        <f t="shared" ref="X113:X116" si="87">+P113-T113</f>
        <v>27717</v>
      </c>
      <c r="Y113" s="4"/>
      <c r="Z113" s="12">
        <f t="shared" ref="Z113:Z116" si="88">IF(T113=0,0,X113/T113)</f>
        <v>0.18977901976743256</v>
      </c>
    </row>
    <row r="114" spans="1:26" s="24" customFormat="1" hidden="1" outlineLevel="1" x14ac:dyDescent="0.25">
      <c r="A114" s="44"/>
      <c r="B114" s="11" t="str">
        <f>CONCATENATE("          ", "9150", " - ", "MISC. INCOME")</f>
        <v xml:space="preserve">          9150 - MISC. INCOME</v>
      </c>
      <c r="C114" s="11"/>
      <c r="D114" s="2">
        <f>--11200.54</f>
        <v>11200.54</v>
      </c>
      <c r="E114" s="2"/>
      <c r="F114" s="19">
        <f t="shared" si="81"/>
        <v>0.63200297478486145</v>
      </c>
      <c r="G114" s="2"/>
      <c r="H114" s="2">
        <f>--224.43</f>
        <v>224.43</v>
      </c>
      <c r="I114" s="2"/>
      <c r="J114" s="19">
        <f t="shared" si="82"/>
        <v>3.5511901938225471E-3</v>
      </c>
      <c r="K114" s="2"/>
      <c r="L114" s="2">
        <f t="shared" si="83"/>
        <v>10976.11</v>
      </c>
      <c r="M114" s="2"/>
      <c r="N114" s="19">
        <f t="shared" si="84"/>
        <v>48.906607851000309</v>
      </c>
      <c r="O114" s="11"/>
      <c r="P114" s="2">
        <f>--23394.49</f>
        <v>23394.49</v>
      </c>
      <c r="Q114" s="2"/>
      <c r="R114" s="19">
        <f t="shared" si="85"/>
        <v>1.4882441070244322E-2</v>
      </c>
      <c r="S114" s="2"/>
      <c r="T114" s="2">
        <f>--54141.85</f>
        <v>54141.85</v>
      </c>
      <c r="U114" s="2"/>
      <c r="V114" s="19">
        <f t="shared" si="86"/>
        <v>1.8414004869348157E-2</v>
      </c>
      <c r="W114" s="2"/>
      <c r="X114" s="2">
        <f t="shared" si="87"/>
        <v>-30747.359999999997</v>
      </c>
      <c r="Y114" s="2"/>
      <c r="Z114" s="19">
        <f t="shared" si="88"/>
        <v>-0.56790375652106451</v>
      </c>
    </row>
    <row r="115" spans="1:26" s="24" customFormat="1" hidden="1" outlineLevel="1" x14ac:dyDescent="0.25">
      <c r="A115" s="44"/>
      <c r="B115" s="11" t="str">
        <f>CONCATENATE("          ", "9151", " - ", "MISC. INCOME")</f>
        <v xml:space="preserve">          9151 - MISC. INCOME</v>
      </c>
      <c r="C115" s="11"/>
      <c r="D115" s="2">
        <f>0</f>
        <v>0</v>
      </c>
      <c r="E115" s="2"/>
      <c r="F115" s="19">
        <f t="shared" si="81"/>
        <v>0</v>
      </c>
      <c r="G115" s="2"/>
      <c r="H115" s="2">
        <f>0</f>
        <v>0</v>
      </c>
      <c r="I115" s="2"/>
      <c r="J115" s="19">
        <f t="shared" si="82"/>
        <v>0</v>
      </c>
      <c r="K115" s="2"/>
      <c r="L115" s="2">
        <f t="shared" si="83"/>
        <v>0</v>
      </c>
      <c r="M115" s="2"/>
      <c r="N115" s="19">
        <f t="shared" si="84"/>
        <v>0</v>
      </c>
      <c r="O115" s="11"/>
      <c r="P115" s="2">
        <f>--147285.39</f>
        <v>147285.39000000001</v>
      </c>
      <c r="Q115" s="2"/>
      <c r="R115" s="19">
        <f t="shared" si="85"/>
        <v>9.3695829111169013E-2</v>
      </c>
      <c r="S115" s="2"/>
      <c r="T115" s="2">
        <f>--87676.2</f>
        <v>87676.2</v>
      </c>
      <c r="U115" s="2"/>
      <c r="V115" s="19">
        <f t="shared" si="86"/>
        <v>2.9819261324205638E-2</v>
      </c>
      <c r="W115" s="2"/>
      <c r="X115" s="2">
        <f t="shared" si="87"/>
        <v>59609.190000000017</v>
      </c>
      <c r="Y115" s="2"/>
      <c r="Z115" s="19">
        <f t="shared" si="88"/>
        <v>0.67987880405400802</v>
      </c>
    </row>
    <row r="116" spans="1:26" s="24" customFormat="1" hidden="1" outlineLevel="1" x14ac:dyDescent="0.25">
      <c r="A116" s="44"/>
      <c r="B116" s="11" t="str">
        <f>CONCATENATE("          ", "9152", " - ", "MISC. INCOME")</f>
        <v xml:space="preserve">          9152 - MISC. INCOME</v>
      </c>
      <c r="C116" s="11"/>
      <c r="D116" s="2">
        <f>--479.7</f>
        <v>479.7</v>
      </c>
      <c r="E116" s="2"/>
      <c r="F116" s="19">
        <f t="shared" si="81"/>
        <v>2.7067608079994181E-2</v>
      </c>
      <c r="G116" s="2"/>
      <c r="H116" s="2">
        <f>--3382.44</f>
        <v>3382.44</v>
      </c>
      <c r="I116" s="2"/>
      <c r="J116" s="19">
        <f t="shared" si="82"/>
        <v>5.3520865121388123E-2</v>
      </c>
      <c r="K116" s="2"/>
      <c r="L116" s="2">
        <f t="shared" si="83"/>
        <v>-2902.7400000000002</v>
      </c>
      <c r="M116" s="2"/>
      <c r="N116" s="19">
        <f t="shared" si="84"/>
        <v>-0.85817930251534402</v>
      </c>
      <c r="O116" s="11"/>
      <c r="P116" s="2">
        <f>--3085.93</f>
        <v>3085.93</v>
      </c>
      <c r="Q116" s="2"/>
      <c r="R116" s="19">
        <f t="shared" si="85"/>
        <v>1.9631191520695281E-3</v>
      </c>
      <c r="S116" s="2"/>
      <c r="T116" s="2">
        <f>--4230.76</f>
        <v>4230.76</v>
      </c>
      <c r="U116" s="2"/>
      <c r="V116" s="19">
        <f t="shared" si="86"/>
        <v>1.4389097387888189E-3</v>
      </c>
      <c r="W116" s="2"/>
      <c r="X116" s="2">
        <f t="shared" si="87"/>
        <v>-1144.8300000000004</v>
      </c>
      <c r="Y116" s="2"/>
      <c r="Z116" s="19">
        <f t="shared" si="88"/>
        <v>-0.27059677221113942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10"/>
      <c r="B118" s="28" t="s">
        <v>3</v>
      </c>
      <c r="C118" s="28"/>
      <c r="D118" s="20">
        <f>+D60-D62+D113</f>
        <v>-31233.929999999982</v>
      </c>
      <c r="E118" s="14"/>
      <c r="F118" s="21">
        <f>IF(D$12=0,0,D118/D$12)</f>
        <v>-1.7624093726036527</v>
      </c>
      <c r="G118" s="14"/>
      <c r="H118" s="20">
        <f>+H60-H62+H113</f>
        <v>-11946.420000000024</v>
      </c>
      <c r="I118" s="14"/>
      <c r="J118" s="21">
        <f>IF(H$12=0,0,H118/H$12)</f>
        <v>-0.18903002965417118</v>
      </c>
      <c r="K118" s="15"/>
      <c r="L118" s="20">
        <f>+D118-H118</f>
        <v>-19287.509999999958</v>
      </c>
      <c r="M118" s="15"/>
      <c r="N118" s="21">
        <f>IF(H118=0,0,L118/H118)</f>
        <v>1.6145012480726377</v>
      </c>
      <c r="O118" s="29"/>
      <c r="P118" s="20">
        <f>+P60-P62+P113</f>
        <v>358909.61999999965</v>
      </c>
      <c r="Q118" s="14"/>
      <c r="R118" s="21">
        <f>IF(P$12=0,0,P118/P$12)</f>
        <v>0.22832091100057225</v>
      </c>
      <c r="S118" s="14"/>
      <c r="T118" s="20">
        <f>+T60-T62+T113</f>
        <v>676199.88999999897</v>
      </c>
      <c r="U118" s="14"/>
      <c r="V118" s="21">
        <f>IF(T$12=0,0,T118/T$12)</f>
        <v>0.22998009981396406</v>
      </c>
      <c r="W118" s="15"/>
      <c r="X118" s="20">
        <f>+P118-T118</f>
        <v>-317290.26999999932</v>
      </c>
      <c r="Y118" s="15"/>
      <c r="Z118" s="21">
        <f>IF(T118=0,0,X118/T118)</f>
        <v>-0.46922555695772117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51"/>
      <c r="B120" s="10" t="s">
        <v>13</v>
      </c>
      <c r="C120" s="10"/>
      <c r="D120" s="4">
        <v>38147.009999999995</v>
      </c>
      <c r="E120" s="4"/>
      <c r="F120" s="12">
        <f>IF(D$12=0,0,D120/D$12)</f>
        <v>2.1524876299846127</v>
      </c>
      <c r="G120" s="4"/>
      <c r="H120" s="4">
        <v>12909.36</v>
      </c>
      <c r="I120" s="4"/>
      <c r="J120" s="12">
        <f>IF(H$12=0,0,H120/H$12)</f>
        <v>0.20426677645824995</v>
      </c>
      <c r="K120" s="4"/>
      <c r="L120" s="4">
        <f>+D120-H120</f>
        <v>25237.649999999994</v>
      </c>
      <c r="M120" s="4"/>
      <c r="N120" s="12">
        <f>IF(H120=0,0,L120/H120)</f>
        <v>1.9549884734797072</v>
      </c>
      <c r="O120" s="10"/>
      <c r="P120" s="4">
        <v>285107.87</v>
      </c>
      <c r="Q120" s="4"/>
      <c r="R120" s="12">
        <f>IF(P$12=0,0,P120/P$12)</f>
        <v>0.18137181336023478</v>
      </c>
      <c r="S120" s="4"/>
      <c r="T120" s="4">
        <v>317570.06</v>
      </c>
      <c r="U120" s="4"/>
      <c r="V120" s="12">
        <f>IF(T$12=0,0,T120/T$12)</f>
        <v>0.10800769887248379</v>
      </c>
      <c r="W120" s="4"/>
      <c r="X120" s="4">
        <f>+P120-T120</f>
        <v>-32462.190000000002</v>
      </c>
      <c r="Y120" s="4"/>
      <c r="Z120" s="12">
        <f>IF(T120=0,0,X120/T120)</f>
        <v>-0.10222056197615104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8" t="s">
        <v>4</v>
      </c>
      <c r="C122" s="28"/>
      <c r="D122" s="33">
        <f>+D118-D120</f>
        <v>-69380.939999999973</v>
      </c>
      <c r="E122" s="14"/>
      <c r="F122" s="34">
        <f>IF(D$12=0,0,D122/D$12)</f>
        <v>-3.914897002588265</v>
      </c>
      <c r="G122" s="14"/>
      <c r="H122" s="33">
        <f>+H118-H120</f>
        <v>-24855.780000000024</v>
      </c>
      <c r="I122" s="14"/>
      <c r="J122" s="34">
        <f>IF(H$12=0,0,H122/H$12)</f>
        <v>-0.39329680611242113</v>
      </c>
      <c r="K122" s="15"/>
      <c r="L122" s="33">
        <f>D122-H122</f>
        <v>-44525.159999999945</v>
      </c>
      <c r="M122" s="15"/>
      <c r="N122" s="34">
        <f>IF(H122=0,0,L122/H122)</f>
        <v>1.7913402838293508</v>
      </c>
      <c r="O122" s="29"/>
      <c r="P122" s="33">
        <f>+P118-P120</f>
        <v>73801.749999999651</v>
      </c>
      <c r="Q122" s="14"/>
      <c r="R122" s="34">
        <f>IF(P$12=0,0,P122/P$12)</f>
        <v>4.6949097640337473E-2</v>
      </c>
      <c r="S122" s="14"/>
      <c r="T122" s="33">
        <f>+T118-T120</f>
        <v>358629.82999999897</v>
      </c>
      <c r="U122" s="14"/>
      <c r="V122" s="34">
        <f>IF(T$12=0,0,T122/T$12)</f>
        <v>0.12197240094148026</v>
      </c>
      <c r="W122" s="15"/>
      <c r="X122" s="33">
        <f>P122-T122</f>
        <v>-284828.07999999932</v>
      </c>
      <c r="Y122" s="15"/>
      <c r="Z122" s="34">
        <f>IF(T122=0,0,X122/T122)</f>
        <v>-0.79421190367795158</v>
      </c>
    </row>
    <row r="123" spans="1:26" ht="15.75" thickTop="1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8" t="s">
        <v>5</v>
      </c>
      <c r="C125" s="28"/>
      <c r="D125" s="30">
        <f>SUM(D122:D124)</f>
        <v>-69380.939999999973</v>
      </c>
      <c r="E125" s="14"/>
      <c r="F125" s="32">
        <f>IF(D$12=0,0,D125/D$12)</f>
        <v>-3.914897002588265</v>
      </c>
      <c r="G125" s="14"/>
      <c r="H125" s="30">
        <f>SUM(H122:H124)</f>
        <v>-24855.780000000024</v>
      </c>
      <c r="I125" s="14"/>
      <c r="J125" s="32">
        <f>IF(H$12=0,0,H125/H$12)</f>
        <v>-0.39329680611242113</v>
      </c>
      <c r="K125" s="15"/>
      <c r="L125" s="30">
        <f>+D125-H125</f>
        <v>-44525.159999999945</v>
      </c>
      <c r="M125" s="15"/>
      <c r="N125" s="32">
        <f>IF(H125=0,0,L125/H125)</f>
        <v>1.7913402838293508</v>
      </c>
      <c r="O125" s="29"/>
      <c r="P125" s="30">
        <f>SUM(P122:P124)</f>
        <v>73801.749999999651</v>
      </c>
      <c r="Q125" s="14"/>
      <c r="R125" s="32">
        <f>IF(P$12=0,0,P125/P$12)</f>
        <v>4.6949097640337473E-2</v>
      </c>
      <c r="S125" s="14"/>
      <c r="T125" s="30">
        <f>SUM(T122:T124)</f>
        <v>358629.82999999897</v>
      </c>
      <c r="U125" s="14"/>
      <c r="V125" s="32">
        <f>IF(T$12=0,0,T125/T$12)</f>
        <v>0.12197240094148026</v>
      </c>
      <c r="W125" s="15"/>
      <c r="X125" s="30">
        <f>+P125-T125</f>
        <v>-284828.07999999932</v>
      </c>
      <c r="Y125" s="15"/>
      <c r="Z125" s="32">
        <f>IF(T125=0,0,X125/T125)</f>
        <v>-0.79421190367795158</v>
      </c>
    </row>
    <row r="126" spans="1:26" ht="15.75" thickTop="1" x14ac:dyDescent="0.25">
      <c r="A126" s="9"/>
      <c r="C126" s="9"/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  <row r="127" spans="1:26" x14ac:dyDescent="0.25">
      <c r="A127" s="9"/>
      <c r="B127" s="58">
        <v>44209.52139765046</v>
      </c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  <row r="128" spans="1:26" x14ac:dyDescent="0.25">
      <c r="A128" s="9"/>
      <c r="B128" s="61" t="s">
        <v>313</v>
      </c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  <row r="129" spans="1:24" x14ac:dyDescent="0.25">
      <c r="A129" s="9"/>
      <c r="B129" s="57"/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  <row r="130" spans="1:24" x14ac:dyDescent="0.25"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","311", " - ", "Textbooks")</f>
        <v>Department 311 - Textbooks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13645.83</v>
      </c>
      <c r="E12" s="4"/>
      <c r="F12" s="12"/>
      <c r="G12" s="4"/>
      <c r="H12" s="4">
        <f>SUM(OSRRefH13x_0)</f>
        <v>63043.359999999993</v>
      </c>
      <c r="I12" s="4"/>
      <c r="J12" s="12"/>
      <c r="K12" s="4"/>
      <c r="L12" s="4">
        <f t="shared" ref="L12:L40" si="0">+D12-H12</f>
        <v>-49397.529999999992</v>
      </c>
      <c r="M12" s="4"/>
      <c r="N12" s="12">
        <f t="shared" ref="N12:N40" si="1">IF(H12=0,0,L12/H12)</f>
        <v>-0.78354849741511234</v>
      </c>
      <c r="O12" s="10"/>
      <c r="P12" s="4">
        <f>SUM(OSRRefP13x_0)</f>
        <v>1095754.0699999998</v>
      </c>
      <c r="Q12" s="4"/>
      <c r="R12" s="12"/>
      <c r="S12" s="4"/>
      <c r="T12" s="4">
        <f>SUM(OSRRefT13x_0)</f>
        <v>2037279.6700000002</v>
      </c>
      <c r="U12" s="4"/>
      <c r="V12" s="12"/>
      <c r="W12" s="4"/>
      <c r="X12" s="4">
        <f t="shared" ref="X12:X40" si="2">+P12-T12</f>
        <v>-941525.60000000033</v>
      </c>
      <c r="Y12" s="4"/>
      <c r="Z12" s="12">
        <f t="shared" ref="Z12:Z40" si="3">IF(T12=0,0,X12/T12)</f>
        <v>-0.46214842952808743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-325.86</f>
        <v>-325.86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-325.86</v>
      </c>
      <c r="M13" s="2"/>
      <c r="N13" s="19">
        <f t="shared" si="1"/>
        <v>0</v>
      </c>
      <c r="O13" s="11"/>
      <c r="P13" s="2">
        <f>-6925.73</f>
        <v>-6925.73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-6925.73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--8412.79</f>
        <v>8412.7900000000009</v>
      </c>
      <c r="E14" s="2"/>
      <c r="F14" s="19"/>
      <c r="G14" s="2"/>
      <c r="H14" s="2">
        <f>--37225.05</f>
        <v>37225.050000000003</v>
      </c>
      <c r="I14" s="2"/>
      <c r="J14" s="19"/>
      <c r="K14" s="2"/>
      <c r="L14" s="2">
        <f t="shared" si="0"/>
        <v>-28812.260000000002</v>
      </c>
      <c r="M14" s="2"/>
      <c r="N14" s="19">
        <f t="shared" si="1"/>
        <v>-0.77400191537687657</v>
      </c>
      <c r="O14" s="11"/>
      <c r="P14" s="2">
        <f>--554846.8</f>
        <v>554846.80000000005</v>
      </c>
      <c r="Q14" s="2"/>
      <c r="R14" s="19"/>
      <c r="S14" s="2"/>
      <c r="T14" s="2">
        <f>--1283550.77</f>
        <v>1283550.77</v>
      </c>
      <c r="U14" s="2"/>
      <c r="V14" s="19"/>
      <c r="W14" s="2"/>
      <c r="X14" s="2">
        <f t="shared" si="2"/>
        <v>-728703.97</v>
      </c>
      <c r="Y14" s="2"/>
      <c r="Z14" s="19">
        <f t="shared" si="3"/>
        <v>-0.567725084999949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--1629.44</f>
        <v>1629.44</v>
      </c>
      <c r="E15" s="2"/>
      <c r="F15" s="19"/>
      <c r="G15" s="2"/>
      <c r="H15" s="2">
        <f>--10013.4</f>
        <v>10013.4</v>
      </c>
      <c r="I15" s="2"/>
      <c r="J15" s="19"/>
      <c r="K15" s="2"/>
      <c r="L15" s="2">
        <f t="shared" si="0"/>
        <v>-8383.9599999999991</v>
      </c>
      <c r="M15" s="2"/>
      <c r="N15" s="19">
        <f t="shared" si="1"/>
        <v>-0.83727405276928912</v>
      </c>
      <c r="O15" s="11"/>
      <c r="P15" s="2">
        <f>--188662.55</f>
        <v>188662.55</v>
      </c>
      <c r="Q15" s="2"/>
      <c r="R15" s="19"/>
      <c r="S15" s="2"/>
      <c r="T15" s="2">
        <f>--370532.88</f>
        <v>370532.88</v>
      </c>
      <c r="U15" s="2"/>
      <c r="V15" s="19"/>
      <c r="W15" s="2"/>
      <c r="X15" s="2">
        <f t="shared" si="2"/>
        <v>-181870.33000000002</v>
      </c>
      <c r="Y15" s="2"/>
      <c r="Z15" s="19">
        <f t="shared" si="3"/>
        <v>-0.49083452459063825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>
        <f>--586.01</f>
        <v>586.01</v>
      </c>
      <c r="I16" s="2"/>
      <c r="J16" s="19"/>
      <c r="K16" s="2"/>
      <c r="L16" s="2">
        <f t="shared" si="0"/>
        <v>-586.01</v>
      </c>
      <c r="M16" s="2"/>
      <c r="N16" s="19">
        <f t="shared" si="1"/>
        <v>-1</v>
      </c>
      <c r="O16" s="11"/>
      <c r="P16" s="2">
        <f>--10665.63</f>
        <v>10665.63</v>
      </c>
      <c r="Q16" s="2"/>
      <c r="R16" s="19"/>
      <c r="S16" s="2"/>
      <c r="T16" s="2">
        <f>--16430.67</f>
        <v>16430.669999999998</v>
      </c>
      <c r="U16" s="2"/>
      <c r="V16" s="19"/>
      <c r="W16" s="2"/>
      <c r="X16" s="2">
        <f t="shared" si="2"/>
        <v>-5765.0399999999991</v>
      </c>
      <c r="Y16" s="2"/>
      <c r="Z16" s="19">
        <f t="shared" si="3"/>
        <v>-0.35087065834807707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--2459.56</f>
        <v>2459.56</v>
      </c>
      <c r="Q17" s="2"/>
      <c r="R17" s="19"/>
      <c r="S17" s="2"/>
      <c r="T17" s="2">
        <f>--30279.88</f>
        <v>30279.88</v>
      </c>
      <c r="U17" s="2"/>
      <c r="V17" s="19"/>
      <c r="W17" s="2"/>
      <c r="X17" s="2">
        <f t="shared" si="2"/>
        <v>-27820.32</v>
      </c>
      <c r="Y17" s="2"/>
      <c r="Z17" s="19">
        <f t="shared" si="3"/>
        <v>-0.91877246541267665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>
        <f>--3.62</f>
        <v>3.62</v>
      </c>
      <c r="I18" s="2"/>
      <c r="J18" s="19"/>
      <c r="K18" s="2"/>
      <c r="L18" s="2">
        <f t="shared" si="0"/>
        <v>-3.62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--13.22</f>
        <v>13.22</v>
      </c>
      <c r="U18" s="2"/>
      <c r="V18" s="19"/>
      <c r="W18" s="2"/>
      <c r="X18" s="2">
        <f t="shared" si="2"/>
        <v>-13.22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--78.85</f>
        <v>78.849999999999994</v>
      </c>
      <c r="E19" s="2"/>
      <c r="F19" s="19"/>
      <c r="G19" s="2"/>
      <c r="H19" s="2">
        <f>--167.6</f>
        <v>167.6</v>
      </c>
      <c r="I19" s="2"/>
      <c r="J19" s="19"/>
      <c r="K19" s="2"/>
      <c r="L19" s="2">
        <f t="shared" si="0"/>
        <v>-88.75</v>
      </c>
      <c r="M19" s="2"/>
      <c r="N19" s="19">
        <f t="shared" si="1"/>
        <v>-0.52953460620525061</v>
      </c>
      <c r="O19" s="11"/>
      <c r="P19" s="2">
        <f>--583.97</f>
        <v>583.97</v>
      </c>
      <c r="Q19" s="2"/>
      <c r="R19" s="19"/>
      <c r="S19" s="2"/>
      <c r="T19" s="2">
        <f>--1280.32</f>
        <v>1280.32</v>
      </c>
      <c r="U19" s="2"/>
      <c r="V19" s="19"/>
      <c r="W19" s="2"/>
      <c r="X19" s="2">
        <f t="shared" si="2"/>
        <v>-696.34999999999991</v>
      </c>
      <c r="Y19" s="2"/>
      <c r="Z19" s="19">
        <f t="shared" si="3"/>
        <v>-0.54388746563359158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--35.82</f>
        <v>35.82</v>
      </c>
      <c r="E20" s="2"/>
      <c r="F20" s="19"/>
      <c r="G20" s="2"/>
      <c r="H20" s="2">
        <f>--109.34</f>
        <v>109.34</v>
      </c>
      <c r="I20" s="2"/>
      <c r="J20" s="19"/>
      <c r="K20" s="2"/>
      <c r="L20" s="2">
        <f t="shared" si="0"/>
        <v>-73.52000000000001</v>
      </c>
      <c r="M20" s="2"/>
      <c r="N20" s="19">
        <f t="shared" si="1"/>
        <v>-0.67239802451070063</v>
      </c>
      <c r="O20" s="11"/>
      <c r="P20" s="2">
        <f>--376.06</f>
        <v>376.06</v>
      </c>
      <c r="Q20" s="2"/>
      <c r="R20" s="19"/>
      <c r="S20" s="2"/>
      <c r="T20" s="2">
        <f>--992.69</f>
        <v>992.69</v>
      </c>
      <c r="U20" s="2"/>
      <c r="V20" s="19"/>
      <c r="W20" s="2"/>
      <c r="X20" s="2">
        <f t="shared" si="2"/>
        <v>-616.63000000000011</v>
      </c>
      <c r="Y20" s="2"/>
      <c r="Z20" s="19">
        <f t="shared" si="3"/>
        <v>-0.62117075824275458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--6.95</f>
        <v>6.95</v>
      </c>
      <c r="E21" s="2"/>
      <c r="F21" s="19"/>
      <c r="G21" s="2"/>
      <c r="H21" s="2">
        <f>--157.74</f>
        <v>157.74</v>
      </c>
      <c r="I21" s="2"/>
      <c r="J21" s="19"/>
      <c r="K21" s="2"/>
      <c r="L21" s="2">
        <f t="shared" si="0"/>
        <v>-150.79000000000002</v>
      </c>
      <c r="M21" s="2"/>
      <c r="N21" s="19">
        <f t="shared" si="1"/>
        <v>-0.95594015468492466</v>
      </c>
      <c r="O21" s="11"/>
      <c r="P21" s="2">
        <f>--190.84</f>
        <v>190.84</v>
      </c>
      <c r="Q21" s="2"/>
      <c r="R21" s="19"/>
      <c r="S21" s="2"/>
      <c r="T21" s="2">
        <f>--2890.39</f>
        <v>2890.39</v>
      </c>
      <c r="U21" s="2"/>
      <c r="V21" s="19"/>
      <c r="W21" s="2"/>
      <c r="X21" s="2">
        <f t="shared" si="2"/>
        <v>-2699.5499999999997</v>
      </c>
      <c r="Y21" s="2"/>
      <c r="Z21" s="19">
        <f t="shared" si="3"/>
        <v>-0.93397430796536107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--3205.21</f>
        <v>3205.21</v>
      </c>
      <c r="E22" s="2"/>
      <c r="F22" s="19"/>
      <c r="G22" s="2"/>
      <c r="H22" s="2">
        <f>--2606.82</f>
        <v>2606.8200000000002</v>
      </c>
      <c r="I22" s="2"/>
      <c r="J22" s="19"/>
      <c r="K22" s="2"/>
      <c r="L22" s="2">
        <f t="shared" si="0"/>
        <v>598.38999999999987</v>
      </c>
      <c r="M22" s="2"/>
      <c r="N22" s="19">
        <f t="shared" si="1"/>
        <v>0.22954787825780062</v>
      </c>
      <c r="O22" s="11"/>
      <c r="P22" s="2">
        <f>--82140.93</f>
        <v>82140.929999999993</v>
      </c>
      <c r="Q22" s="2"/>
      <c r="R22" s="19"/>
      <c r="S22" s="2"/>
      <c r="T22" s="2">
        <f>--95287.57</f>
        <v>95287.57</v>
      </c>
      <c r="U22" s="2"/>
      <c r="V22" s="19"/>
      <c r="W22" s="2"/>
      <c r="X22" s="2">
        <f t="shared" si="2"/>
        <v>-13146.640000000014</v>
      </c>
      <c r="Y22" s="2"/>
      <c r="Z22" s="19">
        <f t="shared" si="3"/>
        <v>-0.13796804766875692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--598.12</f>
        <v>598.12</v>
      </c>
      <c r="E23" s="2"/>
      <c r="F23" s="19"/>
      <c r="G23" s="2"/>
      <c r="H23" s="2">
        <f>--595.75</f>
        <v>595.75</v>
      </c>
      <c r="I23" s="2"/>
      <c r="J23" s="19"/>
      <c r="K23" s="2"/>
      <c r="L23" s="2">
        <f t="shared" si="0"/>
        <v>2.3700000000000045</v>
      </c>
      <c r="M23" s="2"/>
      <c r="N23" s="19">
        <f t="shared" si="1"/>
        <v>3.9781787662610231E-3</v>
      </c>
      <c r="O23" s="11"/>
      <c r="P23" s="2">
        <f>--33631.31</f>
        <v>33631.31</v>
      </c>
      <c r="Q23" s="2"/>
      <c r="R23" s="19"/>
      <c r="S23" s="2"/>
      <c r="T23" s="2">
        <f>--38202.59</f>
        <v>38202.589999999997</v>
      </c>
      <c r="U23" s="2"/>
      <c r="V23" s="19"/>
      <c r="W23" s="2"/>
      <c r="X23" s="2">
        <f t="shared" si="2"/>
        <v>-4571.2799999999988</v>
      </c>
      <c r="Y23" s="2"/>
      <c r="Z23" s="19">
        <f t="shared" si="3"/>
        <v>-0.11965890270790538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--284.97</f>
        <v>284.97000000000003</v>
      </c>
      <c r="Q24" s="2"/>
      <c r="R24" s="19"/>
      <c r="S24" s="2"/>
      <c r="T24" s="2">
        <f>--329.98</f>
        <v>329.98</v>
      </c>
      <c r="U24" s="2"/>
      <c r="V24" s="19"/>
      <c r="W24" s="2"/>
      <c r="X24" s="2">
        <f t="shared" si="2"/>
        <v>-45.009999999999991</v>
      </c>
      <c r="Y24" s="2"/>
      <c r="Z24" s="19">
        <f t="shared" si="3"/>
        <v>-0.13640220619431478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--1301.3</f>
        <v>1301.3</v>
      </c>
      <c r="E25" s="2"/>
      <c r="F25" s="19"/>
      <c r="G25" s="2"/>
      <c r="H25" s="2">
        <f>--12189.74</f>
        <v>12189.74</v>
      </c>
      <c r="I25" s="2"/>
      <c r="J25" s="19"/>
      <c r="K25" s="2"/>
      <c r="L25" s="2">
        <f t="shared" si="0"/>
        <v>-10888.44</v>
      </c>
      <c r="M25" s="2"/>
      <c r="N25" s="19">
        <f t="shared" si="1"/>
        <v>-0.89324628745157819</v>
      </c>
      <c r="O25" s="11"/>
      <c r="P25" s="2">
        <f>--296191.01</f>
        <v>296191.01</v>
      </c>
      <c r="Q25" s="2"/>
      <c r="R25" s="19"/>
      <c r="S25" s="2"/>
      <c r="T25" s="2">
        <f>--332888.83</f>
        <v>332888.83</v>
      </c>
      <c r="U25" s="2"/>
      <c r="V25" s="19"/>
      <c r="W25" s="2"/>
      <c r="X25" s="2">
        <f t="shared" si="2"/>
        <v>-36697.820000000007</v>
      </c>
      <c r="Y25" s="2"/>
      <c r="Z25" s="19">
        <f t="shared" si="3"/>
        <v>-0.11024046676483559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0</f>
        <v>0</v>
      </c>
      <c r="E26" s="2"/>
      <c r="F26" s="19"/>
      <c r="G26" s="2"/>
      <c r="H26" s="2">
        <f>--431.78</f>
        <v>431.78</v>
      </c>
      <c r="I26" s="2"/>
      <c r="J26" s="19"/>
      <c r="K26" s="2"/>
      <c r="L26" s="2">
        <f t="shared" si="0"/>
        <v>-431.78</v>
      </c>
      <c r="M26" s="2"/>
      <c r="N26" s="19">
        <f t="shared" si="1"/>
        <v>-1</v>
      </c>
      <c r="O26" s="11"/>
      <c r="P26" s="2">
        <f>0</f>
        <v>0</v>
      </c>
      <c r="Q26" s="2"/>
      <c r="R26" s="19"/>
      <c r="S26" s="2"/>
      <c r="T26" s="2">
        <f>--8023.97</f>
        <v>8023.97</v>
      </c>
      <c r="U26" s="2"/>
      <c r="V26" s="19"/>
      <c r="W26" s="2"/>
      <c r="X26" s="2">
        <f t="shared" si="2"/>
        <v>-8023.97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--41.55</f>
        <v>41.55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41.55</v>
      </c>
      <c r="M27" s="2"/>
      <c r="N27" s="19">
        <f t="shared" si="1"/>
        <v>0</v>
      </c>
      <c r="O27" s="11"/>
      <c r="P27" s="2">
        <f>--2327.5</f>
        <v>2327.5</v>
      </c>
      <c r="Q27" s="2"/>
      <c r="R27" s="19"/>
      <c r="S27" s="2"/>
      <c r="T27" s="2">
        <f>--1146.72</f>
        <v>1146.72</v>
      </c>
      <c r="U27" s="2"/>
      <c r="V27" s="19"/>
      <c r="W27" s="2"/>
      <c r="X27" s="2">
        <f t="shared" si="2"/>
        <v>1180.78</v>
      </c>
      <c r="Y27" s="2"/>
      <c r="Z27" s="19">
        <f t="shared" si="3"/>
        <v>1.0297021068787497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0</f>
        <v>0</v>
      </c>
      <c r="E28" s="2"/>
      <c r="F28" s="19"/>
      <c r="G28" s="2"/>
      <c r="H28" s="2">
        <f>--6.95</f>
        <v>6.95</v>
      </c>
      <c r="I28" s="2"/>
      <c r="J28" s="19"/>
      <c r="K28" s="2"/>
      <c r="L28" s="2">
        <f t="shared" si="0"/>
        <v>-6.95</v>
      </c>
      <c r="M28" s="2"/>
      <c r="N28" s="19">
        <f t="shared" si="1"/>
        <v>-1</v>
      </c>
      <c r="O28" s="11"/>
      <c r="P28" s="2">
        <f>--233.43</f>
        <v>233.43</v>
      </c>
      <c r="Q28" s="2"/>
      <c r="R28" s="19"/>
      <c r="S28" s="2"/>
      <c r="T28" s="2">
        <f>--41.91</f>
        <v>41.91</v>
      </c>
      <c r="U28" s="2"/>
      <c r="V28" s="19"/>
      <c r="W28" s="2"/>
      <c r="X28" s="2">
        <f t="shared" si="2"/>
        <v>191.52</v>
      </c>
      <c r="Y28" s="2"/>
      <c r="Z28" s="19">
        <f t="shared" si="3"/>
        <v>4.5697924123120979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-681.18</f>
        <v>-681.18</v>
      </c>
      <c r="E29" s="2"/>
      <c r="F29" s="19"/>
      <c r="G29" s="2"/>
      <c r="H29" s="2">
        <f>-631.8</f>
        <v>-631.79999999999995</v>
      </c>
      <c r="I29" s="2"/>
      <c r="J29" s="19"/>
      <c r="K29" s="2"/>
      <c r="L29" s="2">
        <f t="shared" si="0"/>
        <v>-49.379999999999995</v>
      </c>
      <c r="M29" s="2"/>
      <c r="N29" s="19">
        <f t="shared" si="1"/>
        <v>7.8157644824311492E-2</v>
      </c>
      <c r="O29" s="11"/>
      <c r="P29" s="2">
        <f>-35775.84</f>
        <v>-35775.839999999997</v>
      </c>
      <c r="Q29" s="2"/>
      <c r="R29" s="19"/>
      <c r="S29" s="2"/>
      <c r="T29" s="2">
        <f>-78730.37</f>
        <v>-78730.37</v>
      </c>
      <c r="U29" s="2"/>
      <c r="V29" s="19"/>
      <c r="W29" s="2"/>
      <c r="X29" s="2">
        <f t="shared" si="2"/>
        <v>42954.53</v>
      </c>
      <c r="Y29" s="2"/>
      <c r="Z29" s="19">
        <f t="shared" si="3"/>
        <v>-0.54559034842589971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-62.65</f>
        <v>-62.65</v>
      </c>
      <c r="E30" s="2"/>
      <c r="F30" s="19"/>
      <c r="G30" s="2"/>
      <c r="H30" s="2">
        <f>-166.15</f>
        <v>-166.15</v>
      </c>
      <c r="I30" s="2"/>
      <c r="J30" s="19"/>
      <c r="K30" s="2"/>
      <c r="L30" s="2">
        <f t="shared" si="0"/>
        <v>103.5</v>
      </c>
      <c r="M30" s="2"/>
      <c r="N30" s="19">
        <f t="shared" si="1"/>
        <v>-0.62293108636773997</v>
      </c>
      <c r="O30" s="11"/>
      <c r="P30" s="2">
        <f>-13866</f>
        <v>-13866</v>
      </c>
      <c r="Q30" s="2"/>
      <c r="R30" s="19"/>
      <c r="S30" s="2"/>
      <c r="T30" s="2">
        <f>-27208.35</f>
        <v>-27208.35</v>
      </c>
      <c r="U30" s="2"/>
      <c r="V30" s="19"/>
      <c r="W30" s="2"/>
      <c r="X30" s="2">
        <f t="shared" si="2"/>
        <v>13342.349999999999</v>
      </c>
      <c r="Y30" s="2"/>
      <c r="Z30" s="19">
        <f t="shared" si="3"/>
        <v>-0.49037703499109647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 t="shared" ref="D31:D35" si="5">0</f>
        <v>0</v>
      </c>
      <c r="E31" s="2"/>
      <c r="F31" s="19"/>
      <c r="G31" s="2"/>
      <c r="H31" s="2">
        <f t="shared" ref="H31:H33" si="6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-144.99</f>
        <v>-144.99</v>
      </c>
      <c r="U31" s="2"/>
      <c r="V31" s="19"/>
      <c r="W31" s="2"/>
      <c r="X31" s="2">
        <f t="shared" si="2"/>
        <v>144.99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 t="shared" si="5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-1630.85</f>
        <v>-1630.85</v>
      </c>
      <c r="Q32" s="2"/>
      <c r="R32" s="19"/>
      <c r="S32" s="2"/>
      <c r="T32" s="2">
        <f>-11369.46</f>
        <v>-11369.46</v>
      </c>
      <c r="U32" s="2"/>
      <c r="V32" s="19"/>
      <c r="W32" s="2"/>
      <c r="X32" s="2">
        <f t="shared" si="2"/>
        <v>9738.6099999999988</v>
      </c>
      <c r="Y32" s="2"/>
      <c r="Z32" s="19">
        <f t="shared" si="3"/>
        <v>-0.85655871079189327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 t="shared" si="5"/>
        <v>0</v>
      </c>
      <c r="E33" s="2"/>
      <c r="F33" s="19"/>
      <c r="G33" s="2"/>
      <c r="H33" s="2">
        <f t="shared" si="6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ref="P33:P35" si="7">0</f>
        <v>0</v>
      </c>
      <c r="Q33" s="2"/>
      <c r="R33" s="19"/>
      <c r="S33" s="2"/>
      <c r="T33" s="2">
        <f>-102.71</f>
        <v>-102.71</v>
      </c>
      <c r="U33" s="2"/>
      <c r="V33" s="19"/>
      <c r="W33" s="2"/>
      <c r="X33" s="2">
        <f t="shared" si="2"/>
        <v>102.71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 t="shared" si="5"/>
        <v>0</v>
      </c>
      <c r="E34" s="2"/>
      <c r="F34" s="19"/>
      <c r="G34" s="2"/>
      <c r="H34" s="2">
        <f>-11.94</f>
        <v>-11.94</v>
      </c>
      <c r="I34" s="2"/>
      <c r="J34" s="19"/>
      <c r="K34" s="2"/>
      <c r="L34" s="2">
        <f t="shared" si="0"/>
        <v>11.94</v>
      </c>
      <c r="M34" s="2"/>
      <c r="N34" s="19">
        <f t="shared" si="1"/>
        <v>-1</v>
      </c>
      <c r="O34" s="11"/>
      <c r="P34" s="2">
        <f t="shared" si="7"/>
        <v>0</v>
      </c>
      <c r="Q34" s="2"/>
      <c r="R34" s="19"/>
      <c r="S34" s="2"/>
      <c r="T34" s="2">
        <f>-11.94</f>
        <v>-11.94</v>
      </c>
      <c r="U34" s="2"/>
      <c r="V34" s="19"/>
      <c r="W34" s="2"/>
      <c r="X34" s="2">
        <f t="shared" si="2"/>
        <v>11.94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5"/>
        <v>0</v>
      </c>
      <c r="E35" s="2"/>
      <c r="F35" s="19"/>
      <c r="G35" s="2"/>
      <c r="H35" s="2">
        <f t="shared" ref="H35:H36" si="8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si="7"/>
        <v>0</v>
      </c>
      <c r="Q35" s="2"/>
      <c r="R35" s="19"/>
      <c r="S35" s="2"/>
      <c r="T35" s="2">
        <f>-32.75</f>
        <v>-32.75</v>
      </c>
      <c r="U35" s="2"/>
      <c r="V35" s="19"/>
      <c r="W35" s="2"/>
      <c r="X35" s="2">
        <f t="shared" si="2"/>
        <v>32.75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>-372.93</f>
        <v>-372.93</v>
      </c>
      <c r="E36" s="2"/>
      <c r="F36" s="19"/>
      <c r="G36" s="2"/>
      <c r="H36" s="2">
        <f t="shared" si="8"/>
        <v>0</v>
      </c>
      <c r="I36" s="2"/>
      <c r="J36" s="19"/>
      <c r="K36" s="2"/>
      <c r="L36" s="2">
        <f t="shared" si="0"/>
        <v>-372.93</v>
      </c>
      <c r="M36" s="2"/>
      <c r="N36" s="19">
        <f t="shared" si="1"/>
        <v>0</v>
      </c>
      <c r="O36" s="11"/>
      <c r="P36" s="2">
        <f>-2749.1</f>
        <v>-2749.1</v>
      </c>
      <c r="Q36" s="2"/>
      <c r="R36" s="19"/>
      <c r="S36" s="2"/>
      <c r="T36" s="2">
        <f>-12310.98</f>
        <v>-12310.98</v>
      </c>
      <c r="U36" s="2"/>
      <c r="V36" s="19"/>
      <c r="W36" s="2"/>
      <c r="X36" s="2">
        <f t="shared" si="2"/>
        <v>9561.8799999999992</v>
      </c>
      <c r="Y36" s="2"/>
      <c r="Z36" s="19">
        <f t="shared" si="3"/>
        <v>-0.77669527527459226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>-77.35</f>
        <v>-77.349999999999994</v>
      </c>
      <c r="E37" s="2"/>
      <c r="F37" s="19"/>
      <c r="G37" s="2"/>
      <c r="H37" s="2">
        <f>-14.1</f>
        <v>-14.1</v>
      </c>
      <c r="I37" s="2"/>
      <c r="J37" s="19"/>
      <c r="K37" s="2"/>
      <c r="L37" s="2">
        <f t="shared" si="0"/>
        <v>-63.249999999999993</v>
      </c>
      <c r="M37" s="2"/>
      <c r="N37" s="19">
        <f t="shared" si="1"/>
        <v>4.4858156028368787</v>
      </c>
      <c r="O37" s="11"/>
      <c r="P37" s="2">
        <f>-1470.2</f>
        <v>-1470.2</v>
      </c>
      <c r="Q37" s="2"/>
      <c r="R37" s="19"/>
      <c r="S37" s="2"/>
      <c r="T37" s="2">
        <f>-697.9</f>
        <v>-697.9</v>
      </c>
      <c r="U37" s="2"/>
      <c r="V37" s="19"/>
      <c r="W37" s="2"/>
      <c r="X37" s="2">
        <f t="shared" si="2"/>
        <v>-772.30000000000007</v>
      </c>
      <c r="Y37" s="2"/>
      <c r="Z37" s="19">
        <f t="shared" si="3"/>
        <v>1.1066055308783496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>0</f>
        <v>0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0</f>
        <v>0</v>
      </c>
      <c r="Q38" s="2"/>
      <c r="R38" s="19"/>
      <c r="S38" s="2"/>
      <c r="T38" s="2">
        <f>-184.99</f>
        <v>-184.99</v>
      </c>
      <c r="U38" s="2"/>
      <c r="V38" s="19"/>
      <c r="W38" s="2"/>
      <c r="X38" s="2">
        <f t="shared" si="2"/>
        <v>184.99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-144.23</f>
        <v>-144.22999999999999</v>
      </c>
      <c r="E39" s="2"/>
      <c r="F39" s="19"/>
      <c r="G39" s="2"/>
      <c r="H39" s="2">
        <f>-226.45</f>
        <v>-226.45</v>
      </c>
      <c r="I39" s="2"/>
      <c r="J39" s="19"/>
      <c r="K39" s="2"/>
      <c r="L39" s="2">
        <f t="shared" si="0"/>
        <v>82.22</v>
      </c>
      <c r="M39" s="2"/>
      <c r="N39" s="19">
        <f t="shared" si="1"/>
        <v>-0.36308235813645395</v>
      </c>
      <c r="O39" s="11"/>
      <c r="P39" s="2">
        <f>-14422.77</f>
        <v>-14422.77</v>
      </c>
      <c r="Q39" s="2"/>
      <c r="R39" s="19"/>
      <c r="S39" s="2"/>
      <c r="T39" s="2">
        <f>-13430.32</f>
        <v>-13430.32</v>
      </c>
      <c r="U39" s="2"/>
      <c r="V39" s="19"/>
      <c r="W39" s="2"/>
      <c r="X39" s="2">
        <f t="shared" si="2"/>
        <v>-992.45000000000073</v>
      </c>
      <c r="Y39" s="2"/>
      <c r="Z39" s="19">
        <f t="shared" si="3"/>
        <v>7.3896228831479865E-2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0</f>
        <v>0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0</f>
        <v>0</v>
      </c>
      <c r="Q40" s="2"/>
      <c r="R40" s="19"/>
      <c r="S40" s="2"/>
      <c r="T40" s="2">
        <f>-387.96</f>
        <v>-387.96</v>
      </c>
      <c r="U40" s="2"/>
      <c r="V40" s="19"/>
      <c r="W40" s="2"/>
      <c r="X40" s="2">
        <f t="shared" si="2"/>
        <v>387.96</v>
      </c>
      <c r="Y40" s="2"/>
      <c r="Z40" s="19">
        <f t="shared" si="3"/>
        <v>-1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9" t="s">
        <v>8</v>
      </c>
      <c r="C42" s="10"/>
      <c r="D42" s="4">
        <f>SUM(OSRRefD16x_0)</f>
        <v>10618.999999999985</v>
      </c>
      <c r="E42" s="4"/>
      <c r="F42" s="12">
        <f t="shared" ref="F42:F57" si="9">IF(D$12=0,0,D42/D$12)</f>
        <v>0.77818644963333017</v>
      </c>
      <c r="G42" s="4"/>
      <c r="H42" s="4">
        <f>SUM(OSRRefH16x_0)</f>
        <v>46642.580000000038</v>
      </c>
      <c r="I42" s="4"/>
      <c r="J42" s="12">
        <f t="shared" ref="J42:J57" si="10">IF(H$12=0,0,H42/H$12)</f>
        <v>0.73984920854472291</v>
      </c>
      <c r="K42" s="4"/>
      <c r="L42" s="4">
        <f t="shared" ref="L42:L57" si="11">+D42-H42</f>
        <v>-36023.580000000053</v>
      </c>
      <c r="M42" s="4"/>
      <c r="N42" s="12">
        <f t="shared" ref="N42:N57" si="12">IF(H42=0,0,L42/H42)</f>
        <v>-0.77233249104144808</v>
      </c>
      <c r="O42" s="10"/>
      <c r="P42" s="4">
        <f>SUM(OSRRefP16x_0)</f>
        <v>779696.99999999977</v>
      </c>
      <c r="Q42" s="4"/>
      <c r="R42" s="12">
        <f t="shared" ref="R42:R57" si="13">IF(P$12=0,0,P42/P$12)</f>
        <v>0.71156203873374602</v>
      </c>
      <c r="S42" s="4"/>
      <c r="T42" s="4">
        <f>SUM(OSRRefT16x_0)</f>
        <v>1485404.19</v>
      </c>
      <c r="U42" s="4"/>
      <c r="V42" s="12">
        <f t="shared" ref="V42:V57" si="14">IF(T$12=0,0,T42/T$12)</f>
        <v>0.72911157553542949</v>
      </c>
      <c r="W42" s="4"/>
      <c r="X42" s="4">
        <f t="shared" ref="X42:X57" si="15">+P42-T42</f>
        <v>-705707.19000000018</v>
      </c>
      <c r="Y42" s="4"/>
      <c r="Z42" s="12">
        <f t="shared" ref="Z42:Z57" si="16">IF(T42=0,0,X42/T42)</f>
        <v>-0.47509438491620265</v>
      </c>
    </row>
    <row r="43" spans="1:26" s="24" customFormat="1" hidden="1" outlineLevel="1" x14ac:dyDescent="0.25">
      <c r="A43" s="44"/>
      <c r="B43" s="11" t="str">
        <f>CONCATENATE("          ", "5001", " - ", "PURCHASES @ COST-NEW TEXT")</f>
        <v xml:space="preserve">          5001 - PURCHASES @ COST-NEW TEXT</v>
      </c>
      <c r="C43" s="11"/>
      <c r="D43" s="2">
        <v>37326.239999999998</v>
      </c>
      <c r="E43" s="2"/>
      <c r="F43" s="19">
        <f t="shared" si="9"/>
        <v>2.7353587139807543</v>
      </c>
      <c r="G43" s="2"/>
      <c r="H43" s="2">
        <v>162207.46000000002</v>
      </c>
      <c r="I43" s="2"/>
      <c r="J43" s="19">
        <f t="shared" si="10"/>
        <v>2.5729507437420853</v>
      </c>
      <c r="K43" s="2"/>
      <c r="L43" s="2">
        <f t="shared" si="11"/>
        <v>-124881.22000000003</v>
      </c>
      <c r="M43" s="2"/>
      <c r="N43" s="19">
        <f t="shared" si="12"/>
        <v>-0.76988579933376688</v>
      </c>
      <c r="O43" s="11"/>
      <c r="P43" s="2">
        <v>1073541.68</v>
      </c>
      <c r="Q43" s="2"/>
      <c r="R43" s="19">
        <f t="shared" si="13"/>
        <v>0.97972867214629655</v>
      </c>
      <c r="S43" s="2"/>
      <c r="T43" s="2">
        <v>1434989.29</v>
      </c>
      <c r="U43" s="2"/>
      <c r="V43" s="19">
        <f t="shared" si="14"/>
        <v>0.70436539034427215</v>
      </c>
      <c r="W43" s="2"/>
      <c r="X43" s="2">
        <f t="shared" si="15"/>
        <v>-361447.6100000001</v>
      </c>
      <c r="Y43" s="2"/>
      <c r="Z43" s="19">
        <f t="shared" si="16"/>
        <v>-0.25188174749373921</v>
      </c>
    </row>
    <row r="44" spans="1:26" s="24" customFormat="1" hidden="1" outlineLevel="1" x14ac:dyDescent="0.25">
      <c r="A44" s="44"/>
      <c r="B44" s="11" t="str">
        <f>CONCATENATE("          ", "5002", " - ", "PURCHASES @ COST-USED TEXT")</f>
        <v xml:space="preserve">          5002 - PURCHASES @ COST-USED TEXT</v>
      </c>
      <c r="C44" s="11"/>
      <c r="D44" s="2">
        <v>71384.87</v>
      </c>
      <c r="E44" s="2"/>
      <c r="F44" s="19">
        <f t="shared" si="9"/>
        <v>5.2312589267197378</v>
      </c>
      <c r="G44" s="2"/>
      <c r="H44" s="2">
        <v>47515.25</v>
      </c>
      <c r="I44" s="2"/>
      <c r="J44" s="19">
        <f t="shared" si="10"/>
        <v>0.75369158623525145</v>
      </c>
      <c r="K44" s="2"/>
      <c r="L44" s="2">
        <f t="shared" si="11"/>
        <v>23869.619999999995</v>
      </c>
      <c r="M44" s="2"/>
      <c r="N44" s="19">
        <f t="shared" si="12"/>
        <v>0.50235703274211951</v>
      </c>
      <c r="O44" s="11"/>
      <c r="P44" s="2">
        <v>25837.129999999997</v>
      </c>
      <c r="Q44" s="2"/>
      <c r="R44" s="19">
        <f t="shared" si="13"/>
        <v>2.3579314654062843E-2</v>
      </c>
      <c r="S44" s="2"/>
      <c r="T44" s="2">
        <v>-114508.34999999999</v>
      </c>
      <c r="U44" s="2"/>
      <c r="V44" s="19">
        <f t="shared" si="14"/>
        <v>-5.6206495203478854E-2</v>
      </c>
      <c r="W44" s="2"/>
      <c r="X44" s="2">
        <f t="shared" si="15"/>
        <v>140345.47999999998</v>
      </c>
      <c r="Y44" s="2"/>
      <c r="Z44" s="19">
        <f t="shared" si="16"/>
        <v>-1.2256353357637237</v>
      </c>
    </row>
    <row r="45" spans="1:26" s="24" customFormat="1" hidden="1" outlineLevel="1" x14ac:dyDescent="0.25">
      <c r="A45" s="44"/>
      <c r="B45" s="11" t="str">
        <f>CONCATENATE("          ", "5003", " - ", "PURCHASES @ COST-RENTAL TEXT")</f>
        <v xml:space="preserve">          5003 - PURCHASES @ COST-RENTAL TEXT</v>
      </c>
      <c r="C45" s="11"/>
      <c r="D45" s="2"/>
      <c r="E45" s="2"/>
      <c r="F45" s="19">
        <f t="shared" si="9"/>
        <v>0</v>
      </c>
      <c r="G45" s="2"/>
      <c r="H45" s="2"/>
      <c r="I45" s="2"/>
      <c r="J45" s="19">
        <f t="shared" si="10"/>
        <v>0</v>
      </c>
      <c r="K45" s="2"/>
      <c r="L45" s="2">
        <f t="shared" si="11"/>
        <v>0</v>
      </c>
      <c r="M45" s="2"/>
      <c r="N45" s="19">
        <f t="shared" si="12"/>
        <v>0</v>
      </c>
      <c r="O45" s="11"/>
      <c r="P45" s="2">
        <v>32.520000000000003</v>
      </c>
      <c r="Q45" s="2"/>
      <c r="R45" s="19">
        <f t="shared" si="13"/>
        <v>2.9678192297291679E-5</v>
      </c>
      <c r="S45" s="2"/>
      <c r="T45" s="2">
        <v>-78.400000000000006</v>
      </c>
      <c r="U45" s="2"/>
      <c r="V45" s="19">
        <f t="shared" si="14"/>
        <v>-3.8482689026195409E-5</v>
      </c>
      <c r="W45" s="2"/>
      <c r="X45" s="2">
        <f t="shared" si="15"/>
        <v>110.92000000000002</v>
      </c>
      <c r="Y45" s="2"/>
      <c r="Z45" s="19">
        <f t="shared" si="16"/>
        <v>-1.4147959183673471</v>
      </c>
    </row>
    <row r="46" spans="1:26" s="24" customFormat="1" hidden="1" outlineLevel="1" x14ac:dyDescent="0.25">
      <c r="A46" s="44"/>
      <c r="B46" s="11" t="str">
        <f>CONCATENATE("          ", "5004", " - ", "PURCHASES @ COST-DIGITAL TEXT")</f>
        <v xml:space="preserve">          5004 - PURCHASES @ COST-DIGITAL TEXT</v>
      </c>
      <c r="C46" s="11"/>
      <c r="D46" s="2">
        <v>900</v>
      </c>
      <c r="E46" s="2"/>
      <c r="F46" s="19">
        <f t="shared" si="9"/>
        <v>6.5954214584235629E-2</v>
      </c>
      <c r="G46" s="2"/>
      <c r="H46" s="2">
        <v>31572.300000000003</v>
      </c>
      <c r="I46" s="2"/>
      <c r="J46" s="19">
        <f t="shared" si="10"/>
        <v>0.50080293943723819</v>
      </c>
      <c r="K46" s="2"/>
      <c r="L46" s="2">
        <f t="shared" si="11"/>
        <v>-30672.300000000003</v>
      </c>
      <c r="M46" s="2"/>
      <c r="N46" s="19">
        <f t="shared" si="12"/>
        <v>-0.97149399948689197</v>
      </c>
      <c r="O46" s="11"/>
      <c r="P46" s="2">
        <v>197838.11000000002</v>
      </c>
      <c r="Q46" s="2"/>
      <c r="R46" s="19">
        <f t="shared" si="13"/>
        <v>0.18054973777099459</v>
      </c>
      <c r="S46" s="2"/>
      <c r="T46" s="2">
        <v>354352.27</v>
      </c>
      <c r="U46" s="2"/>
      <c r="V46" s="19">
        <f t="shared" si="14"/>
        <v>0.17393403331806673</v>
      </c>
      <c r="W46" s="2"/>
      <c r="X46" s="2">
        <f t="shared" si="15"/>
        <v>-156514.16</v>
      </c>
      <c r="Y46" s="2"/>
      <c r="Z46" s="19">
        <f t="shared" si="16"/>
        <v>-0.44169086316280687</v>
      </c>
    </row>
    <row r="47" spans="1:26" s="24" customFormat="1" hidden="1" outlineLevel="1" x14ac:dyDescent="0.25">
      <c r="A47" s="44"/>
      <c r="B47" s="11" t="str">
        <f>CONCATENATE("          ", "5011", " - ", "PURCHASES @ COST-NO VALUE TEXT")</f>
        <v xml:space="preserve">          5011 - PURCHASES @ COST-NO VALUE TEXT</v>
      </c>
      <c r="C47" s="11"/>
      <c r="D47" s="2"/>
      <c r="E47" s="2"/>
      <c r="F47" s="19">
        <f t="shared" si="9"/>
        <v>0</v>
      </c>
      <c r="G47" s="2"/>
      <c r="H47" s="2">
        <v>1161</v>
      </c>
      <c r="I47" s="2"/>
      <c r="J47" s="19">
        <f t="shared" si="10"/>
        <v>1.8415896614647445E-2</v>
      </c>
      <c r="K47" s="2"/>
      <c r="L47" s="2">
        <f t="shared" si="11"/>
        <v>-1161</v>
      </c>
      <c r="M47" s="2"/>
      <c r="N47" s="19">
        <f t="shared" si="12"/>
        <v>-1</v>
      </c>
      <c r="O47" s="11"/>
      <c r="P47" s="2">
        <v>67.17</v>
      </c>
      <c r="Q47" s="2"/>
      <c r="R47" s="19">
        <f t="shared" si="13"/>
        <v>6.1300251433243609E-5</v>
      </c>
      <c r="S47" s="2"/>
      <c r="T47" s="2">
        <v>4902</v>
      </c>
      <c r="U47" s="2"/>
      <c r="V47" s="19">
        <f t="shared" si="14"/>
        <v>2.4061497653878809E-3</v>
      </c>
      <c r="W47" s="2"/>
      <c r="X47" s="2">
        <f t="shared" si="15"/>
        <v>-4834.83</v>
      </c>
      <c r="Y47" s="2"/>
      <c r="Z47" s="19">
        <f t="shared" si="16"/>
        <v>-0.98629742962056299</v>
      </c>
    </row>
    <row r="48" spans="1:26" s="24" customFormat="1" hidden="1" outlineLevel="1" x14ac:dyDescent="0.25">
      <c r="A48" s="44"/>
      <c r="B48" s="11" t="str">
        <f>CONCATENATE("          ", "5013", " - ", "PURCHASES @ COST-TRADE BOOKS")</f>
        <v xml:space="preserve">          5013 - PURCHASES @ COST-TRADE BOOKS</v>
      </c>
      <c r="C48" s="11"/>
      <c r="D48" s="2">
        <v>31.11</v>
      </c>
      <c r="E48" s="2"/>
      <c r="F48" s="19">
        <f t="shared" si="9"/>
        <v>2.2798173507950778E-3</v>
      </c>
      <c r="G48" s="2"/>
      <c r="H48" s="2">
        <v>37.17</v>
      </c>
      <c r="I48" s="2"/>
      <c r="J48" s="19">
        <f t="shared" si="10"/>
        <v>5.8959420944568956E-4</v>
      </c>
      <c r="K48" s="2"/>
      <c r="L48" s="2">
        <f t="shared" si="11"/>
        <v>-6.0600000000000023</v>
      </c>
      <c r="M48" s="2"/>
      <c r="N48" s="19">
        <f t="shared" si="12"/>
        <v>-0.16303470540758683</v>
      </c>
      <c r="O48" s="11"/>
      <c r="P48" s="2">
        <v>2125.85</v>
      </c>
      <c r="Q48" s="2"/>
      <c r="R48" s="19">
        <f t="shared" si="13"/>
        <v>1.940079492472248E-3</v>
      </c>
      <c r="S48" s="2"/>
      <c r="T48" s="2">
        <v>735.31</v>
      </c>
      <c r="U48" s="2"/>
      <c r="V48" s="19">
        <f t="shared" si="14"/>
        <v>3.6092737331443544E-4</v>
      </c>
      <c r="W48" s="2"/>
      <c r="X48" s="2">
        <f t="shared" si="15"/>
        <v>1390.54</v>
      </c>
      <c r="Y48" s="2"/>
      <c r="Z48" s="19">
        <f t="shared" si="16"/>
        <v>1.8910935523792687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/>
      <c r="E49" s="2"/>
      <c r="F49" s="19">
        <f t="shared" si="9"/>
        <v>0</v>
      </c>
      <c r="G49" s="2"/>
      <c r="H49" s="2">
        <v>56.98</v>
      </c>
      <c r="I49" s="2"/>
      <c r="J49" s="19">
        <f t="shared" si="10"/>
        <v>9.0382238510130174E-4</v>
      </c>
      <c r="K49" s="2"/>
      <c r="L49" s="2">
        <f t="shared" si="11"/>
        <v>-56.98</v>
      </c>
      <c r="M49" s="2"/>
      <c r="N49" s="19">
        <f t="shared" si="12"/>
        <v>-1</v>
      </c>
      <c r="O49" s="11"/>
      <c r="P49" s="2">
        <v>90.41</v>
      </c>
      <c r="Q49" s="2"/>
      <c r="R49" s="19">
        <f t="shared" si="13"/>
        <v>8.2509390086043673E-5</v>
      </c>
      <c r="S49" s="2"/>
      <c r="T49" s="2">
        <v>499.33</v>
      </c>
      <c r="U49" s="2"/>
      <c r="V49" s="19">
        <f t="shared" si="14"/>
        <v>2.4509644274808867E-4</v>
      </c>
      <c r="W49" s="2"/>
      <c r="X49" s="2">
        <f t="shared" si="15"/>
        <v>-408.91999999999996</v>
      </c>
      <c r="Y49" s="2"/>
      <c r="Z49" s="19">
        <f t="shared" si="16"/>
        <v>-0.81893737608395245</v>
      </c>
    </row>
    <row r="50" spans="1:26" s="24" customFormat="1" hidden="1" outlineLevel="1" x14ac:dyDescent="0.25">
      <c r="A50" s="44"/>
      <c r="B50" s="11" t="str">
        <f>CONCATENATE("          ", "5018", " - ", "PURCHASES @ COST-STUDY GUIDES")</f>
        <v xml:space="preserve">          5018 - PURCHASES @ COST-STUDY GUIDES</v>
      </c>
      <c r="C50" s="11"/>
      <c r="D50" s="2"/>
      <c r="E50" s="2"/>
      <c r="F50" s="19">
        <f t="shared" si="9"/>
        <v>0</v>
      </c>
      <c r="G50" s="2"/>
      <c r="H50" s="2">
        <v>196.31</v>
      </c>
      <c r="I50" s="2"/>
      <c r="J50" s="19">
        <f t="shared" si="10"/>
        <v>3.1138885998462013E-3</v>
      </c>
      <c r="K50" s="2"/>
      <c r="L50" s="2">
        <f t="shared" si="11"/>
        <v>-196.31</v>
      </c>
      <c r="M50" s="2"/>
      <c r="N50" s="19">
        <f t="shared" si="12"/>
        <v>-1</v>
      </c>
      <c r="O50" s="11"/>
      <c r="P50" s="2">
        <v>106.34</v>
      </c>
      <c r="Q50" s="2"/>
      <c r="R50" s="19">
        <f t="shared" si="13"/>
        <v>9.7047323766728076E-5</v>
      </c>
      <c r="S50" s="2"/>
      <c r="T50" s="2">
        <v>998.4</v>
      </c>
      <c r="U50" s="2"/>
      <c r="V50" s="19">
        <f t="shared" si="14"/>
        <v>4.9006526433359042E-4</v>
      </c>
      <c r="W50" s="2"/>
      <c r="X50" s="2">
        <f t="shared" si="15"/>
        <v>-892.06</v>
      </c>
      <c r="Y50" s="2"/>
      <c r="Z50" s="19">
        <f t="shared" si="16"/>
        <v>-0.89348958333333328</v>
      </c>
    </row>
    <row r="51" spans="1:26" s="24" customFormat="1" hidden="1" outlineLevel="1" x14ac:dyDescent="0.25">
      <c r="A51" s="44"/>
      <c r="B51" s="11" t="str">
        <f>CONCATENATE("          ", "5200", " - ", "PURCHASES OFFSET")</f>
        <v xml:space="preserve">          5200 - PURCHASES OFFSET</v>
      </c>
      <c r="C51" s="11"/>
      <c r="D51" s="2">
        <v>-114446.47</v>
      </c>
      <c r="E51" s="2"/>
      <c r="F51" s="19">
        <f t="shared" si="9"/>
        <v>-8.3869189342092056</v>
      </c>
      <c r="G51" s="2"/>
      <c r="H51" s="2">
        <v>-247490</v>
      </c>
      <c r="I51" s="2"/>
      <c r="J51" s="19">
        <f t="shared" si="10"/>
        <v>-3.925710812367869</v>
      </c>
      <c r="K51" s="2"/>
      <c r="L51" s="2">
        <f t="shared" si="11"/>
        <v>133043.53</v>
      </c>
      <c r="M51" s="2"/>
      <c r="N51" s="19">
        <f t="shared" si="12"/>
        <v>-0.53757133621560471</v>
      </c>
      <c r="O51" s="11"/>
      <c r="P51" s="2">
        <v>-1350673.8</v>
      </c>
      <c r="Q51" s="2"/>
      <c r="R51" s="19">
        <f t="shared" si="13"/>
        <v>-1.2326431970268659</v>
      </c>
      <c r="S51" s="2"/>
      <c r="T51" s="2">
        <v>-1728365</v>
      </c>
      <c r="U51" s="2"/>
      <c r="V51" s="19">
        <f t="shared" si="14"/>
        <v>-0.84836904105561506</v>
      </c>
      <c r="W51" s="2"/>
      <c r="X51" s="2">
        <f t="shared" si="15"/>
        <v>377691.19999999995</v>
      </c>
      <c r="Y51" s="2"/>
      <c r="Z51" s="19">
        <f t="shared" si="16"/>
        <v>-0.21852513791936307</v>
      </c>
    </row>
    <row r="52" spans="1:26" s="24" customFormat="1" hidden="1" outlineLevel="1" x14ac:dyDescent="0.25">
      <c r="A52" s="44"/>
      <c r="B52" s="11" t="str">
        <f>CONCATENATE("          ", "5300", " - ", "COG$ OFFSET")</f>
        <v xml:space="preserve">          5300 - COG$ OFFSET</v>
      </c>
      <c r="C52" s="11"/>
      <c r="D52" s="2">
        <v>10619</v>
      </c>
      <c r="E52" s="2"/>
      <c r="F52" s="19">
        <f t="shared" si="9"/>
        <v>0.77818644963333117</v>
      </c>
      <c r="G52" s="2"/>
      <c r="H52" s="2">
        <v>46642.47</v>
      </c>
      <c r="I52" s="2"/>
      <c r="J52" s="19">
        <f t="shared" si="10"/>
        <v>0.73984746371386312</v>
      </c>
      <c r="K52" s="2"/>
      <c r="L52" s="2">
        <f t="shared" si="11"/>
        <v>-36023.47</v>
      </c>
      <c r="M52" s="2"/>
      <c r="N52" s="19">
        <f t="shared" si="12"/>
        <v>-0.77233195411821032</v>
      </c>
      <c r="O52" s="11"/>
      <c r="P52" s="2">
        <v>779697</v>
      </c>
      <c r="Q52" s="2"/>
      <c r="R52" s="19">
        <f t="shared" si="13"/>
        <v>0.71156203873374624</v>
      </c>
      <c r="S52" s="2"/>
      <c r="T52" s="2">
        <v>1485407.4700000002</v>
      </c>
      <c r="U52" s="2"/>
      <c r="V52" s="19">
        <f t="shared" si="14"/>
        <v>0.72911318552548066</v>
      </c>
      <c r="W52" s="2"/>
      <c r="X52" s="2">
        <f t="shared" si="15"/>
        <v>-705710.4700000002</v>
      </c>
      <c r="Y52" s="2"/>
      <c r="Z52" s="19">
        <f t="shared" si="16"/>
        <v>-0.47509554398565135</v>
      </c>
    </row>
    <row r="53" spans="1:26" s="24" customFormat="1" hidden="1" outlineLevel="1" x14ac:dyDescent="0.25">
      <c r="A53" s="44"/>
      <c r="B53" s="11" t="str">
        <f>CONCATENATE("          ", "5501", " - ", "FREIGHT-IN-NEW TEXT")</f>
        <v xml:space="preserve">          5501 - FREIGHT-IN-NEW TEXT</v>
      </c>
      <c r="C53" s="11"/>
      <c r="D53" s="2">
        <v>2414.77</v>
      </c>
      <c r="E53" s="2"/>
      <c r="F53" s="19">
        <f t="shared" si="9"/>
        <v>0.17696028750174961</v>
      </c>
      <c r="G53" s="2"/>
      <c r="H53" s="2">
        <v>4162.3900000000003</v>
      </c>
      <c r="I53" s="2"/>
      <c r="J53" s="19">
        <f t="shared" si="10"/>
        <v>6.6024241093748826E-2</v>
      </c>
      <c r="K53" s="2"/>
      <c r="L53" s="2">
        <f t="shared" si="11"/>
        <v>-1747.6200000000003</v>
      </c>
      <c r="M53" s="2"/>
      <c r="N53" s="19">
        <f t="shared" si="12"/>
        <v>-0.41985974404128401</v>
      </c>
      <c r="O53" s="11"/>
      <c r="P53" s="2">
        <v>37463.58</v>
      </c>
      <c r="Q53" s="2"/>
      <c r="R53" s="19">
        <f t="shared" si="13"/>
        <v>3.418977033779122E-2</v>
      </c>
      <c r="S53" s="2"/>
      <c r="T53" s="2">
        <v>38669.939999999995</v>
      </c>
      <c r="U53" s="2"/>
      <c r="V53" s="19">
        <f t="shared" si="14"/>
        <v>1.8981164230633094E-2</v>
      </c>
      <c r="W53" s="2"/>
      <c r="X53" s="2">
        <f t="shared" si="15"/>
        <v>-1206.3599999999933</v>
      </c>
      <c r="Y53" s="2"/>
      <c r="Z53" s="19">
        <f t="shared" si="16"/>
        <v>-3.1196324587004619E-2</v>
      </c>
    </row>
    <row r="54" spans="1:26" s="24" customFormat="1" hidden="1" outlineLevel="1" x14ac:dyDescent="0.25">
      <c r="A54" s="44"/>
      <c r="B54" s="11" t="str">
        <f>CONCATENATE("          ", "5502", " - ", "FREIGHT-IN-USED TEXT")</f>
        <v xml:space="preserve">          5502 - FREIGHT-IN-USED TEXT</v>
      </c>
      <c r="C54" s="11"/>
      <c r="D54" s="2">
        <v>2389.48</v>
      </c>
      <c r="E54" s="2"/>
      <c r="F54" s="19">
        <f t="shared" si="9"/>
        <v>0.1751069740719326</v>
      </c>
      <c r="G54" s="2"/>
      <c r="H54" s="2">
        <v>563.29999999999995</v>
      </c>
      <c r="I54" s="2"/>
      <c r="J54" s="19">
        <f t="shared" si="10"/>
        <v>8.9351202093289443E-3</v>
      </c>
      <c r="K54" s="2"/>
      <c r="L54" s="2">
        <f t="shared" si="11"/>
        <v>1826.18</v>
      </c>
      <c r="M54" s="2"/>
      <c r="N54" s="19">
        <f t="shared" si="12"/>
        <v>3.2419314752352215</v>
      </c>
      <c r="O54" s="11"/>
      <c r="P54" s="2">
        <v>13522.57</v>
      </c>
      <c r="Q54" s="2"/>
      <c r="R54" s="19">
        <f t="shared" si="13"/>
        <v>1.2340880467822495E-2</v>
      </c>
      <c r="S54" s="2"/>
      <c r="T54" s="2">
        <v>7653.42</v>
      </c>
      <c r="U54" s="2"/>
      <c r="V54" s="19">
        <f t="shared" si="14"/>
        <v>3.7566859929446992E-3</v>
      </c>
      <c r="W54" s="2"/>
      <c r="X54" s="2">
        <f t="shared" si="15"/>
        <v>5869.15</v>
      </c>
      <c r="Y54" s="2"/>
      <c r="Z54" s="19">
        <f t="shared" si="16"/>
        <v>0.76686631597377375</v>
      </c>
    </row>
    <row r="55" spans="1:26" s="24" customFormat="1" hidden="1" outlineLevel="1" x14ac:dyDescent="0.25">
      <c r="A55" s="44"/>
      <c r="B55" s="11" t="str">
        <f>CONCATENATE("          ", "5504", " - ", "FREIGHT-IN-DIGITAL TEXT")</f>
        <v xml:space="preserve">          5504 - FREIGHT-IN-DIGITAL TEXT</v>
      </c>
      <c r="C55" s="11"/>
      <c r="D55" s="2"/>
      <c r="E55" s="2"/>
      <c r="F55" s="19">
        <f t="shared" si="9"/>
        <v>0</v>
      </c>
      <c r="G55" s="2"/>
      <c r="H55" s="2"/>
      <c r="I55" s="2"/>
      <c r="J55" s="19">
        <f t="shared" si="10"/>
        <v>0</v>
      </c>
      <c r="K55" s="2"/>
      <c r="L55" s="2">
        <f t="shared" si="11"/>
        <v>0</v>
      </c>
      <c r="M55" s="2"/>
      <c r="N55" s="19">
        <f t="shared" si="12"/>
        <v>0</v>
      </c>
      <c r="O55" s="11"/>
      <c r="P55" s="2">
        <v>21.98</v>
      </c>
      <c r="Q55" s="2"/>
      <c r="R55" s="19">
        <f t="shared" si="13"/>
        <v>2.0059245593310919E-5</v>
      </c>
      <c r="S55" s="2"/>
      <c r="T55" s="2">
        <v>105.97</v>
      </c>
      <c r="U55" s="2"/>
      <c r="V55" s="19">
        <f t="shared" si="14"/>
        <v>5.2015440766657231E-5</v>
      </c>
      <c r="W55" s="2"/>
      <c r="X55" s="2">
        <f t="shared" si="15"/>
        <v>-83.99</v>
      </c>
      <c r="Y55" s="2"/>
      <c r="Z55" s="19">
        <f t="shared" si="16"/>
        <v>-0.79258280645465695</v>
      </c>
    </row>
    <row r="56" spans="1:26" s="24" customFormat="1" hidden="1" outlineLevel="1" x14ac:dyDescent="0.25">
      <c r="A56" s="44"/>
      <c r="B56" s="11" t="str">
        <f>CONCATENATE("          ", "5513", " - ", "FREIGHT-IN-TRADE BOOKS")</f>
        <v xml:space="preserve">          5513 - FREIGHT-IN-TRADE BOOKS</v>
      </c>
      <c r="C56" s="11"/>
      <c r="D56" s="2"/>
      <c r="E56" s="2"/>
      <c r="F56" s="19">
        <f t="shared" si="9"/>
        <v>0</v>
      </c>
      <c r="G56" s="2"/>
      <c r="H56" s="2">
        <v>9.08</v>
      </c>
      <c r="I56" s="2"/>
      <c r="J56" s="19">
        <f t="shared" si="10"/>
        <v>1.4402785638328923E-4</v>
      </c>
      <c r="K56" s="2"/>
      <c r="L56" s="2">
        <f t="shared" si="11"/>
        <v>-9.08</v>
      </c>
      <c r="M56" s="2"/>
      <c r="N56" s="19">
        <f t="shared" si="12"/>
        <v>-1</v>
      </c>
      <c r="O56" s="11"/>
      <c r="P56" s="2">
        <v>26.46</v>
      </c>
      <c r="Q56" s="2"/>
      <c r="R56" s="19">
        <f t="shared" si="13"/>
        <v>2.4147754249272381E-5</v>
      </c>
      <c r="S56" s="2"/>
      <c r="T56" s="2">
        <v>21.41</v>
      </c>
      <c r="U56" s="2"/>
      <c r="V56" s="19">
        <f t="shared" si="14"/>
        <v>1.0509111888403618E-5</v>
      </c>
      <c r="W56" s="2"/>
      <c r="X56" s="2">
        <f t="shared" si="15"/>
        <v>5.0500000000000007</v>
      </c>
      <c r="Y56" s="2"/>
      <c r="Z56" s="19">
        <f t="shared" si="16"/>
        <v>0.23587108827650632</v>
      </c>
    </row>
    <row r="57" spans="1:26" s="24" customFormat="1" hidden="1" outlineLevel="1" x14ac:dyDescent="0.25">
      <c r="A57" s="44"/>
      <c r="B57" s="11" t="str">
        <f>CONCATENATE("          ", "5518", " - ", "FREIGHT-IN-STUDY GUIDES")</f>
        <v xml:space="preserve">          5518 - FREIGHT-IN-STUDY GUIDES</v>
      </c>
      <c r="C57" s="11"/>
      <c r="D57" s="2"/>
      <c r="E57" s="2"/>
      <c r="F57" s="19">
        <f t="shared" si="9"/>
        <v>0</v>
      </c>
      <c r="G57" s="2"/>
      <c r="H57" s="2">
        <v>8.8699999999999992</v>
      </c>
      <c r="I57" s="2"/>
      <c r="J57" s="19">
        <f t="shared" si="10"/>
        <v>1.4069681565195765E-4</v>
      </c>
      <c r="K57" s="2"/>
      <c r="L57" s="2">
        <f t="shared" si="11"/>
        <v>-8.8699999999999992</v>
      </c>
      <c r="M57" s="2"/>
      <c r="N57" s="19">
        <f t="shared" si="12"/>
        <v>-1</v>
      </c>
      <c r="O57" s="11"/>
      <c r="P57" s="2"/>
      <c r="Q57" s="2"/>
      <c r="R57" s="19">
        <f t="shared" si="13"/>
        <v>0</v>
      </c>
      <c r="S57" s="2"/>
      <c r="T57" s="2">
        <v>21.13</v>
      </c>
      <c r="U57" s="2"/>
      <c r="V57" s="19">
        <f t="shared" si="14"/>
        <v>1.0371673713310062E-5</v>
      </c>
      <c r="W57" s="2"/>
      <c r="X57" s="2">
        <f t="shared" si="15"/>
        <v>-21.13</v>
      </c>
      <c r="Y57" s="2"/>
      <c r="Z57" s="19">
        <f t="shared" si="16"/>
        <v>-1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8" t="s">
        <v>6</v>
      </c>
      <c r="C59" s="28"/>
      <c r="D59" s="20">
        <f>D12-D42</f>
        <v>3026.8300000000145</v>
      </c>
      <c r="E59" s="14"/>
      <c r="F59" s="21">
        <f>IF(D$12=0,0,D59/D$12)</f>
        <v>0.22181355036666986</v>
      </c>
      <c r="G59" s="14"/>
      <c r="H59" s="20">
        <f>H12-H42</f>
        <v>16400.779999999955</v>
      </c>
      <c r="I59" s="14"/>
      <c r="J59" s="21">
        <f>IF(H$12=0,0,H59/H$12)</f>
        <v>0.26015079145527709</v>
      </c>
      <c r="K59" s="15"/>
      <c r="L59" s="20">
        <f>+D59-H59</f>
        <v>-13373.949999999941</v>
      </c>
      <c r="M59" s="15"/>
      <c r="N59" s="21">
        <f>IF(H59=0,0,L59/H59)</f>
        <v>-0.81544597269154129</v>
      </c>
      <c r="O59" s="29"/>
      <c r="P59" s="20">
        <f>P12-P42</f>
        <v>316057.07000000007</v>
      </c>
      <c r="Q59" s="14"/>
      <c r="R59" s="21">
        <f>IF(P$12=0,0,P59/P$12)</f>
        <v>0.28843796126625393</v>
      </c>
      <c r="S59" s="14"/>
      <c r="T59" s="20">
        <f>T12-T42</f>
        <v>551875.48000000021</v>
      </c>
      <c r="U59" s="14"/>
      <c r="V59" s="21">
        <f>IF(T$12=0,0,T59/T$12)</f>
        <v>0.27088842446457051</v>
      </c>
      <c r="W59" s="15"/>
      <c r="X59" s="20">
        <f>+P59-T59</f>
        <v>-235818.41000000015</v>
      </c>
      <c r="Y59" s="15"/>
      <c r="Z59" s="21">
        <f>IF(T59=0,0,X59/T59)</f>
        <v>-0.42730365552751148</v>
      </c>
    </row>
    <row r="60" spans="1:26" x14ac:dyDescent="0.25">
      <c r="A60" s="9"/>
      <c r="B60" s="10"/>
      <c r="C60" s="9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9" t="s">
        <v>9</v>
      </c>
      <c r="C61" s="10"/>
      <c r="D61" s="22">
        <f>SUM(OSRRefD22x_0)</f>
        <v>51172.139999999992</v>
      </c>
      <c r="E61" s="22"/>
      <c r="F61" s="36">
        <f t="shared" ref="F61:F71" si="17">IF(D$12=0,0,D61/D$12)</f>
        <v>3.7500203358828297</v>
      </c>
      <c r="G61" s="22"/>
      <c r="H61" s="22">
        <f>SUM(OSRRefH22x_0)</f>
        <v>46337.939999999988</v>
      </c>
      <c r="I61" s="22"/>
      <c r="J61" s="36">
        <f t="shared" ref="J61:J71" si="18">IF(H$12=0,0,H61/H$12)</f>
        <v>0.73501697879047045</v>
      </c>
      <c r="K61" s="4"/>
      <c r="L61" s="22">
        <f t="shared" ref="L61:L71" si="19">+D61-H61</f>
        <v>4834.2000000000044</v>
      </c>
      <c r="M61" s="4"/>
      <c r="N61" s="36">
        <f t="shared" ref="N61:N71" si="20">IF(H61=0,0,L61/H61)</f>
        <v>0.10432487935372194</v>
      </c>
      <c r="O61" s="10"/>
      <c r="P61" s="22">
        <f>SUM(OSRRefP22x_0)</f>
        <v>264104.50999999995</v>
      </c>
      <c r="Q61" s="22"/>
      <c r="R61" s="36">
        <f t="shared" ref="R61:R71" si="21">IF(P$12=0,0,P61/P$12)</f>
        <v>0.24102535161014732</v>
      </c>
      <c r="S61" s="22"/>
      <c r="T61" s="22">
        <f>SUM(OSRRefT22x_0)</f>
        <v>255586.98999999993</v>
      </c>
      <c r="U61" s="22"/>
      <c r="V61" s="36">
        <f t="shared" ref="V61:V71" si="22">IF(T$12=0,0,T61/T$12)</f>
        <v>0.12545503386876675</v>
      </c>
      <c r="W61" s="4"/>
      <c r="X61" s="22">
        <f t="shared" ref="X61:X71" si="23">+P61-T61</f>
        <v>8517.5200000000186</v>
      </c>
      <c r="Y61" s="4"/>
      <c r="Z61" s="36">
        <f t="shared" ref="Z61:Z71" si="24">IF(T61=0,0,X61/T61)</f>
        <v>3.3325326926851875E-2</v>
      </c>
    </row>
    <row r="62" spans="1:26" s="25" customFormat="1" outlineLevel="1" collapsed="1" x14ac:dyDescent="0.25">
      <c r="A62" s="26"/>
      <c r="B62" s="13" t="str">
        <f>CONCATENATE("     ","*Benefits                                         ")</f>
        <v xml:space="preserve">     *Benefits                                         </v>
      </c>
      <c r="C62" s="13"/>
      <c r="D62" s="1">
        <f>SUM(OSRRefD22_0x_0)</f>
        <v>11725.109999999999</v>
      </c>
      <c r="E62" s="1"/>
      <c r="F62" s="5">
        <f t="shared" si="17"/>
        <v>0.85924491218196319</v>
      </c>
      <c r="G62" s="1"/>
      <c r="H62" s="1">
        <f>SUM(OSRRefH22_0x_0)</f>
        <v>9543.23</v>
      </c>
      <c r="I62" s="1"/>
      <c r="J62" s="5">
        <f t="shared" si="18"/>
        <v>0.15137565637364506</v>
      </c>
      <c r="K62" s="1"/>
      <c r="L62" s="1">
        <f t="shared" si="19"/>
        <v>2181.8799999999992</v>
      </c>
      <c r="M62" s="1"/>
      <c r="N62" s="5">
        <f t="shared" si="20"/>
        <v>0.22863118671560878</v>
      </c>
      <c r="O62" s="13"/>
      <c r="P62" s="1">
        <f>SUM(OSRRefP22_0x_0)</f>
        <v>68762.950000000012</v>
      </c>
      <c r="Q62" s="1"/>
      <c r="R62" s="5">
        <f t="shared" si="21"/>
        <v>6.2753999170635094E-2</v>
      </c>
      <c r="S62" s="1"/>
      <c r="T62" s="1">
        <f>SUM(OSRRefT22_0x_0)</f>
        <v>60890.789999999994</v>
      </c>
      <c r="U62" s="1"/>
      <c r="V62" s="5">
        <f t="shared" si="22"/>
        <v>2.9888282348588886E-2</v>
      </c>
      <c r="W62" s="1"/>
      <c r="X62" s="1">
        <f t="shared" si="23"/>
        <v>7872.160000000018</v>
      </c>
      <c r="Y62" s="1"/>
      <c r="Z62" s="5">
        <f t="shared" si="24"/>
        <v>0.12928326270688914</v>
      </c>
    </row>
    <row r="63" spans="1:26" s="24" customFormat="1" hidden="1" outlineLevel="2" x14ac:dyDescent="0.25">
      <c r="A63" s="27"/>
      <c r="B63" s="11" t="str">
        <f>CONCATENATE("          ", "6111", " - ", "F.I.C.A.")</f>
        <v xml:space="preserve">          6111 - F.I.C.A.</v>
      </c>
      <c r="C63" s="11"/>
      <c r="D63" s="7">
        <v>1995.53</v>
      </c>
      <c r="E63" s="2"/>
      <c r="F63" s="6">
        <f t="shared" si="17"/>
        <v>0.14623734869919969</v>
      </c>
      <c r="G63" s="2"/>
      <c r="H63" s="7">
        <v>1559.53</v>
      </c>
      <c r="I63" s="2"/>
      <c r="J63" s="6">
        <f t="shared" si="18"/>
        <v>2.4737418817778752E-2</v>
      </c>
      <c r="K63" s="2"/>
      <c r="L63" s="7">
        <f t="shared" si="19"/>
        <v>436</v>
      </c>
      <c r="M63" s="2"/>
      <c r="N63" s="6">
        <f t="shared" si="20"/>
        <v>0.27957140933486374</v>
      </c>
      <c r="O63" s="11"/>
      <c r="P63" s="7">
        <v>12943</v>
      </c>
      <c r="Q63" s="2"/>
      <c r="R63" s="6">
        <f t="shared" si="21"/>
        <v>1.1811957038863658E-2</v>
      </c>
      <c r="S63" s="2"/>
      <c r="T63" s="7">
        <v>10634.91</v>
      </c>
      <c r="U63" s="2"/>
      <c r="V63" s="6">
        <f t="shared" si="22"/>
        <v>5.22015222387214E-3</v>
      </c>
      <c r="W63" s="2"/>
      <c r="X63" s="7">
        <f t="shared" si="23"/>
        <v>2308.09</v>
      </c>
      <c r="Y63" s="2"/>
      <c r="Z63" s="6">
        <f t="shared" si="24"/>
        <v>0.21702957523853048</v>
      </c>
    </row>
    <row r="64" spans="1:26" s="24" customFormat="1" hidden="1" outlineLevel="2" x14ac:dyDescent="0.25">
      <c r="A64" s="27"/>
      <c r="B64" s="11" t="str">
        <f>CONCATENATE("          ", "6112", " - ", "COMPENSATION INSURANCE")</f>
        <v xml:space="preserve">          6112 - COMPENSATION INSURANCE</v>
      </c>
      <c r="C64" s="11"/>
      <c r="D64" s="7">
        <v>314.69</v>
      </c>
      <c r="E64" s="2"/>
      <c r="F64" s="6">
        <f t="shared" si="17"/>
        <v>2.3061257541681233E-2</v>
      </c>
      <c r="G64" s="2"/>
      <c r="H64" s="7">
        <v>115.27</v>
      </c>
      <c r="I64" s="2"/>
      <c r="J64" s="6">
        <f t="shared" si="18"/>
        <v>1.8284241195266244E-3</v>
      </c>
      <c r="K64" s="2"/>
      <c r="L64" s="7">
        <f t="shared" si="19"/>
        <v>199.42000000000002</v>
      </c>
      <c r="M64" s="2"/>
      <c r="N64" s="6">
        <f t="shared" si="20"/>
        <v>1.7300251583239352</v>
      </c>
      <c r="O64" s="11"/>
      <c r="P64" s="7">
        <v>982.04</v>
      </c>
      <c r="Q64" s="2"/>
      <c r="R64" s="6">
        <f t="shared" si="21"/>
        <v>8.9622300011169486E-4</v>
      </c>
      <c r="S64" s="2"/>
      <c r="T64" s="7">
        <v>383.33</v>
      </c>
      <c r="U64" s="2"/>
      <c r="V64" s="6">
        <f t="shared" si="22"/>
        <v>1.8815777020933015E-4</v>
      </c>
      <c r="W64" s="2"/>
      <c r="X64" s="7">
        <f t="shared" si="23"/>
        <v>598.71</v>
      </c>
      <c r="Y64" s="2"/>
      <c r="Z64" s="6">
        <f t="shared" si="24"/>
        <v>1.5618657553543946</v>
      </c>
    </row>
    <row r="65" spans="1:26" s="24" customFormat="1" hidden="1" outlineLevel="2" x14ac:dyDescent="0.25">
      <c r="A65" s="27"/>
      <c r="B65" s="11" t="str">
        <f>CONCATENATE("          ", "6113", " - ", "GROUP INSURANCE")</f>
        <v xml:space="preserve">          6113 - GROUP INSURANCE</v>
      </c>
      <c r="C65" s="11"/>
      <c r="D65" s="7">
        <v>4281.38</v>
      </c>
      <c r="E65" s="2"/>
      <c r="F65" s="6">
        <f t="shared" si="17"/>
        <v>0.31375006137406081</v>
      </c>
      <c r="G65" s="2"/>
      <c r="H65" s="7">
        <v>4168.57</v>
      </c>
      <c r="I65" s="2"/>
      <c r="J65" s="6">
        <f t="shared" si="18"/>
        <v>6.6122268863842287E-2</v>
      </c>
      <c r="K65" s="2"/>
      <c r="L65" s="7">
        <f t="shared" si="19"/>
        <v>112.8100000000004</v>
      </c>
      <c r="M65" s="2"/>
      <c r="N65" s="6">
        <f t="shared" si="20"/>
        <v>2.7062038061013826E-2</v>
      </c>
      <c r="O65" s="11"/>
      <c r="P65" s="7">
        <v>25388.22</v>
      </c>
      <c r="Q65" s="2"/>
      <c r="R65" s="6">
        <f t="shared" si="21"/>
        <v>2.3169633310145956E-2</v>
      </c>
      <c r="S65" s="2"/>
      <c r="T65" s="7">
        <v>25011.42</v>
      </c>
      <c r="U65" s="2"/>
      <c r="V65" s="6">
        <f t="shared" si="22"/>
        <v>1.2276871147494442E-2</v>
      </c>
      <c r="W65" s="2"/>
      <c r="X65" s="7">
        <f t="shared" si="23"/>
        <v>376.80000000000291</v>
      </c>
      <c r="Y65" s="2"/>
      <c r="Z65" s="6">
        <f t="shared" si="24"/>
        <v>1.5065118253981699E-2</v>
      </c>
    </row>
    <row r="66" spans="1:26" s="24" customFormat="1" hidden="1" outlineLevel="2" x14ac:dyDescent="0.25">
      <c r="A66" s="27"/>
      <c r="B66" s="11" t="str">
        <f>CONCATENATE("          ", "6114", " - ", "STATE UNEMPLOYMENT INSURANCE")</f>
        <v xml:space="preserve">          6114 - STATE UNEMPLOYMENT INSURANCE</v>
      </c>
      <c r="C66" s="11"/>
      <c r="D66" s="7"/>
      <c r="E66" s="2"/>
      <c r="F66" s="6">
        <f t="shared" si="17"/>
        <v>0</v>
      </c>
      <c r="G66" s="2"/>
      <c r="H66" s="7">
        <v>88.15</v>
      </c>
      <c r="I66" s="2"/>
      <c r="J66" s="6">
        <f t="shared" si="18"/>
        <v>1.3982440022232319E-3</v>
      </c>
      <c r="K66" s="2"/>
      <c r="L66" s="7">
        <f t="shared" si="19"/>
        <v>-88.15</v>
      </c>
      <c r="M66" s="2"/>
      <c r="N66" s="6">
        <f t="shared" si="20"/>
        <v>-1</v>
      </c>
      <c r="O66" s="11"/>
      <c r="P66" s="7">
        <v>382.75</v>
      </c>
      <c r="Q66" s="2"/>
      <c r="R66" s="6">
        <f t="shared" si="21"/>
        <v>3.4930283215831454E-4</v>
      </c>
      <c r="S66" s="2"/>
      <c r="T66" s="7">
        <v>391.59</v>
      </c>
      <c r="U66" s="2"/>
      <c r="V66" s="6">
        <f t="shared" si="22"/>
        <v>1.9221219637459002E-4</v>
      </c>
      <c r="W66" s="2"/>
      <c r="X66" s="7">
        <f t="shared" si="23"/>
        <v>-8.839999999999975</v>
      </c>
      <c r="Y66" s="2"/>
      <c r="Z66" s="6">
        <f t="shared" si="24"/>
        <v>-2.2574631630021134E-2</v>
      </c>
    </row>
    <row r="67" spans="1:26" s="24" customFormat="1" hidden="1" outlineLevel="2" x14ac:dyDescent="0.25">
      <c r="A67" s="27"/>
      <c r="B67" s="11" t="str">
        <f>CONCATENATE("          ", "6115", " - ", "P.E.R.S.")</f>
        <v xml:space="preserve">          6115 - P.E.R.S.</v>
      </c>
      <c r="C67" s="11"/>
      <c r="D67" s="7">
        <v>1783.22</v>
      </c>
      <c r="E67" s="2"/>
      <c r="F67" s="6">
        <f t="shared" si="17"/>
        <v>0.1306787494787785</v>
      </c>
      <c r="G67" s="2"/>
      <c r="H67" s="7">
        <v>1325.86</v>
      </c>
      <c r="I67" s="2"/>
      <c r="J67" s="6">
        <f t="shared" si="18"/>
        <v>2.1030922209729939E-2</v>
      </c>
      <c r="K67" s="2"/>
      <c r="L67" s="7">
        <f t="shared" si="19"/>
        <v>457.36000000000013</v>
      </c>
      <c r="M67" s="2"/>
      <c r="N67" s="6">
        <f t="shared" si="20"/>
        <v>0.34495346416665423</v>
      </c>
      <c r="O67" s="11"/>
      <c r="P67" s="7">
        <v>10486.24</v>
      </c>
      <c r="Q67" s="2"/>
      <c r="R67" s="6">
        <f t="shared" si="21"/>
        <v>9.5698846001092217E-3</v>
      </c>
      <c r="S67" s="2"/>
      <c r="T67" s="7">
        <v>8432.4</v>
      </c>
      <c r="U67" s="2"/>
      <c r="V67" s="6">
        <f t="shared" si="22"/>
        <v>4.1390488130674755E-3</v>
      </c>
      <c r="W67" s="2"/>
      <c r="X67" s="7">
        <f t="shared" si="23"/>
        <v>2053.84</v>
      </c>
      <c r="Y67" s="2"/>
      <c r="Z67" s="6">
        <f t="shared" si="24"/>
        <v>0.24356529576395811</v>
      </c>
    </row>
    <row r="68" spans="1:26" s="24" customFormat="1" hidden="1" outlineLevel="2" x14ac:dyDescent="0.25">
      <c r="A68" s="27"/>
      <c r="B68" s="11" t="str">
        <f>CONCATENATE("          ", "6117", " - ", "RETIREMENT STAFF HOURLY")</f>
        <v xml:space="preserve">          6117 - RETIREMENT STAFF HOURLY</v>
      </c>
      <c r="C68" s="11"/>
      <c r="D68" s="7">
        <v>250.51</v>
      </c>
      <c r="E68" s="2"/>
      <c r="F68" s="6">
        <f t="shared" si="17"/>
        <v>1.8357989217218741E-2</v>
      </c>
      <c r="G68" s="2"/>
      <c r="H68" s="7">
        <v>92.54</v>
      </c>
      <c r="I68" s="2"/>
      <c r="J68" s="6">
        <f t="shared" si="18"/>
        <v>1.4678786156067827E-3</v>
      </c>
      <c r="K68" s="2"/>
      <c r="L68" s="7">
        <f t="shared" si="19"/>
        <v>157.96999999999997</v>
      </c>
      <c r="M68" s="2"/>
      <c r="N68" s="6">
        <f t="shared" si="20"/>
        <v>1.7070456019018798</v>
      </c>
      <c r="O68" s="11"/>
      <c r="P68" s="7">
        <v>1544.16</v>
      </c>
      <c r="Q68" s="2"/>
      <c r="R68" s="6">
        <f t="shared" si="21"/>
        <v>1.4092213228101451E-3</v>
      </c>
      <c r="S68" s="2"/>
      <c r="T68" s="7">
        <v>738.74</v>
      </c>
      <c r="U68" s="2"/>
      <c r="V68" s="6">
        <f t="shared" si="22"/>
        <v>3.6261099095933155E-4</v>
      </c>
      <c r="W68" s="2"/>
      <c r="X68" s="7">
        <f t="shared" si="23"/>
        <v>805.42000000000007</v>
      </c>
      <c r="Y68" s="2"/>
      <c r="Z68" s="6">
        <f t="shared" si="24"/>
        <v>1.0902617971140049</v>
      </c>
    </row>
    <row r="69" spans="1:26" s="24" customFormat="1" hidden="1" outlineLevel="2" x14ac:dyDescent="0.25">
      <c r="A69" s="27"/>
      <c r="B69" s="11" t="str">
        <f>CONCATENATE("          ", "6118", " - ", "VACATION")</f>
        <v xml:space="preserve">          6118 - VACATION</v>
      </c>
      <c r="C69" s="11"/>
      <c r="D69" s="7">
        <v>1613.8</v>
      </c>
      <c r="E69" s="2"/>
      <c r="F69" s="6">
        <f t="shared" si="17"/>
        <v>0.11826323499559939</v>
      </c>
      <c r="G69" s="2"/>
      <c r="H69" s="7">
        <v>794.54</v>
      </c>
      <c r="I69" s="2"/>
      <c r="J69" s="6">
        <f t="shared" si="18"/>
        <v>1.2603071917486632E-2</v>
      </c>
      <c r="K69" s="2"/>
      <c r="L69" s="7">
        <f t="shared" si="19"/>
        <v>819.26</v>
      </c>
      <c r="M69" s="2"/>
      <c r="N69" s="6">
        <f t="shared" si="20"/>
        <v>1.0311123417323231</v>
      </c>
      <c r="O69" s="11"/>
      <c r="P69" s="7">
        <v>7776.65</v>
      </c>
      <c r="Q69" s="2"/>
      <c r="R69" s="6">
        <f t="shared" si="21"/>
        <v>7.097076080219351E-3</v>
      </c>
      <c r="S69" s="2"/>
      <c r="T69" s="7">
        <v>5636.46</v>
      </c>
      <c r="U69" s="2"/>
      <c r="V69" s="6">
        <f t="shared" si="22"/>
        <v>2.7666599156707826E-3</v>
      </c>
      <c r="W69" s="2"/>
      <c r="X69" s="7">
        <f t="shared" si="23"/>
        <v>2140.1899999999996</v>
      </c>
      <c r="Y69" s="2"/>
      <c r="Z69" s="6">
        <f t="shared" si="24"/>
        <v>0.37970463730781367</v>
      </c>
    </row>
    <row r="70" spans="1:26" s="24" customFormat="1" hidden="1" outlineLevel="2" x14ac:dyDescent="0.25">
      <c r="A70" s="27"/>
      <c r="B70" s="11" t="str">
        <f>CONCATENATE("          ", "6119", " - ", "SICK LEAVE")</f>
        <v xml:space="preserve">          6119 - SICK LEAVE</v>
      </c>
      <c r="C70" s="11"/>
      <c r="D70" s="7">
        <v>1147.56</v>
      </c>
      <c r="E70" s="2"/>
      <c r="F70" s="6">
        <f t="shared" si="17"/>
        <v>8.4096020542539368E-2</v>
      </c>
      <c r="G70" s="2"/>
      <c r="H70" s="7">
        <v>801.74</v>
      </c>
      <c r="I70" s="2"/>
      <c r="J70" s="6">
        <f t="shared" si="18"/>
        <v>1.2717279028275144E-2</v>
      </c>
      <c r="K70" s="2"/>
      <c r="L70" s="7">
        <f t="shared" si="19"/>
        <v>345.81999999999994</v>
      </c>
      <c r="M70" s="2"/>
      <c r="N70" s="6">
        <f t="shared" si="20"/>
        <v>0.43133684236784986</v>
      </c>
      <c r="O70" s="11"/>
      <c r="P70" s="7">
        <v>6444.34</v>
      </c>
      <c r="Q70" s="2"/>
      <c r="R70" s="6">
        <f t="shared" si="21"/>
        <v>5.8811919357050629E-3</v>
      </c>
      <c r="S70" s="2"/>
      <c r="T70" s="7">
        <v>6120.11</v>
      </c>
      <c r="U70" s="2"/>
      <c r="V70" s="6">
        <f t="shared" si="22"/>
        <v>3.0040598206136321E-3</v>
      </c>
      <c r="W70" s="2"/>
      <c r="X70" s="7">
        <f t="shared" si="23"/>
        <v>324.23000000000047</v>
      </c>
      <c r="Y70" s="2"/>
      <c r="Z70" s="6">
        <f t="shared" si="24"/>
        <v>5.2977805954468216E-2</v>
      </c>
    </row>
    <row r="71" spans="1:26" s="24" customFormat="1" hidden="1" outlineLevel="2" x14ac:dyDescent="0.25">
      <c r="A71" s="27"/>
      <c r="B71" s="11" t="str">
        <f>CONCATENATE("          ", "6156", " - ", "EMPLOYEE MEALS")</f>
        <v xml:space="preserve">          6156 - EMPLOYEE MEALS</v>
      </c>
      <c r="C71" s="11"/>
      <c r="D71" s="7">
        <v>338.42</v>
      </c>
      <c r="E71" s="2"/>
      <c r="F71" s="6">
        <f t="shared" si="17"/>
        <v>2.480025033288558E-2</v>
      </c>
      <c r="G71" s="2"/>
      <c r="H71" s="7">
        <v>597.03</v>
      </c>
      <c r="I71" s="2"/>
      <c r="J71" s="6">
        <f t="shared" si="18"/>
        <v>9.4701487991756782E-3</v>
      </c>
      <c r="K71" s="2"/>
      <c r="L71" s="7">
        <f t="shared" si="19"/>
        <v>-258.60999999999996</v>
      </c>
      <c r="M71" s="2"/>
      <c r="N71" s="6">
        <f t="shared" si="20"/>
        <v>-0.43316081268947954</v>
      </c>
      <c r="O71" s="11"/>
      <c r="P71" s="7">
        <v>2815.55</v>
      </c>
      <c r="Q71" s="2"/>
      <c r="R71" s="6">
        <f t="shared" si="21"/>
        <v>2.5695090505116723E-3</v>
      </c>
      <c r="S71" s="2"/>
      <c r="T71" s="7">
        <v>3541.83</v>
      </c>
      <c r="U71" s="2"/>
      <c r="V71" s="6">
        <f t="shared" si="22"/>
        <v>1.738509470327164E-3</v>
      </c>
      <c r="W71" s="2"/>
      <c r="X71" s="7">
        <f t="shared" si="23"/>
        <v>-726.27999999999975</v>
      </c>
      <c r="Y71" s="2"/>
      <c r="Z71" s="6">
        <f t="shared" si="24"/>
        <v>-0.20505783733267824</v>
      </c>
    </row>
    <row r="72" spans="1:26" s="25" customFormat="1" outlineLevel="1" collapsed="1" x14ac:dyDescent="0.25">
      <c r="A72" s="26"/>
      <c r="B72" s="13" t="str">
        <f>CONCATENATE("     ","*Payroll                                          ")</f>
        <v xml:space="preserve">     *Payroll                                          </v>
      </c>
      <c r="C72" s="13"/>
      <c r="D72" s="1">
        <f>SUM(OSRRefD22_1x_0)</f>
        <v>28068.31</v>
      </c>
      <c r="E72" s="1"/>
      <c r="F72" s="5">
        <f t="shared" ref="F72:F78" si="25">IF(D$12=0,0,D72/D$12)</f>
        <v>2.0569148230631629</v>
      </c>
      <c r="G72" s="1"/>
      <c r="H72" s="1">
        <f>SUM(OSRRefH22_1x_0)</f>
        <v>24062.180000000004</v>
      </c>
      <c r="I72" s="1"/>
      <c r="J72" s="5">
        <f t="shared" ref="J72:J78" si="26">IF(H$12=0,0,H72/H$12)</f>
        <v>0.38167667459348625</v>
      </c>
      <c r="K72" s="1"/>
      <c r="L72" s="1">
        <f t="shared" ref="L72:L78" si="27">+D72-H72</f>
        <v>4006.1299999999974</v>
      </c>
      <c r="M72" s="1"/>
      <c r="N72" s="5">
        <f t="shared" ref="N72:N78" si="28">IF(H72=0,0,L72/H72)</f>
        <v>0.16649073359105437</v>
      </c>
      <c r="O72" s="13"/>
      <c r="P72" s="1">
        <f>SUM(OSRRefP22_1x_0)</f>
        <v>165407.07</v>
      </c>
      <c r="Q72" s="1"/>
      <c r="R72" s="5">
        <f t="shared" ref="R72:R78" si="29">IF(P$12=0,0,P72/P$12)</f>
        <v>0.15095273157415701</v>
      </c>
      <c r="S72" s="1"/>
      <c r="T72" s="1">
        <f>SUM(OSRRefT22_1x_0)</f>
        <v>143018.14000000001</v>
      </c>
      <c r="U72" s="1"/>
      <c r="V72" s="5">
        <f t="shared" ref="V72:V78" si="30">IF(T$12=0,0,T72/T$12)</f>
        <v>7.0200543453123446E-2</v>
      </c>
      <c r="W72" s="1"/>
      <c r="X72" s="1">
        <f t="shared" ref="X72:X78" si="31">+P72-T72</f>
        <v>22388.929999999993</v>
      </c>
      <c r="Y72" s="1"/>
      <c r="Z72" s="5">
        <f t="shared" ref="Z72:Z78" si="32">IF(T72=0,0,X72/T72)</f>
        <v>0.15654608569234638</v>
      </c>
    </row>
    <row r="73" spans="1:26" s="24" customFormat="1" hidden="1" outlineLevel="2" x14ac:dyDescent="0.25">
      <c r="A73" s="27"/>
      <c r="B73" s="11" t="str">
        <f>CONCATENATE("          ", "6001", " - ", "ADMINISTRATIVE SALARIES")</f>
        <v xml:space="preserve">          6001 - ADMINISTRATIVE SALARIES</v>
      </c>
      <c r="C73" s="11"/>
      <c r="D73" s="7"/>
      <c r="E73" s="2"/>
      <c r="F73" s="6">
        <f t="shared" si="25"/>
        <v>0</v>
      </c>
      <c r="G73" s="2"/>
      <c r="H73" s="7"/>
      <c r="I73" s="2"/>
      <c r="J73" s="6">
        <f t="shared" si="26"/>
        <v>0</v>
      </c>
      <c r="K73" s="2"/>
      <c r="L73" s="7">
        <f t="shared" si="27"/>
        <v>0</v>
      </c>
      <c r="M73" s="2"/>
      <c r="N73" s="6">
        <f t="shared" si="28"/>
        <v>0</v>
      </c>
      <c r="O73" s="11"/>
      <c r="P73" s="7">
        <v>-311.32</v>
      </c>
      <c r="Q73" s="2"/>
      <c r="R73" s="6">
        <f t="shared" si="29"/>
        <v>-2.8411484704775043E-4</v>
      </c>
      <c r="S73" s="2"/>
      <c r="T73" s="7"/>
      <c r="U73" s="2"/>
      <c r="V73" s="6">
        <f t="shared" si="30"/>
        <v>0</v>
      </c>
      <c r="W73" s="2"/>
      <c r="X73" s="7">
        <f t="shared" si="31"/>
        <v>-311.32</v>
      </c>
      <c r="Y73" s="2"/>
      <c r="Z73" s="6">
        <f t="shared" si="32"/>
        <v>0</v>
      </c>
    </row>
    <row r="74" spans="1:26" s="24" customFormat="1" hidden="1" outlineLevel="2" x14ac:dyDescent="0.25">
      <c r="A74" s="27"/>
      <c r="B74" s="11" t="str">
        <f>CONCATENATE("          ", "6002", " - ", "STAFF SALARIES")</f>
        <v xml:space="preserve">          6002 - STAFF SALARIES</v>
      </c>
      <c r="C74" s="11"/>
      <c r="D74" s="7">
        <v>18082.7</v>
      </c>
      <c r="E74" s="2"/>
      <c r="F74" s="6">
        <f t="shared" si="25"/>
        <v>1.3251447511803973</v>
      </c>
      <c r="G74" s="2"/>
      <c r="H74" s="7">
        <v>14382.75</v>
      </c>
      <c r="I74" s="2"/>
      <c r="J74" s="6">
        <f t="shared" si="26"/>
        <v>0.22814060037409176</v>
      </c>
      <c r="K74" s="2"/>
      <c r="L74" s="7">
        <f t="shared" si="27"/>
        <v>3699.9500000000007</v>
      </c>
      <c r="M74" s="2"/>
      <c r="N74" s="6">
        <f t="shared" si="28"/>
        <v>0.25724913524882242</v>
      </c>
      <c r="O74" s="11"/>
      <c r="P74" s="7">
        <v>96498.200000000012</v>
      </c>
      <c r="Q74" s="2"/>
      <c r="R74" s="6">
        <f t="shared" si="29"/>
        <v>8.8065563835870608E-2</v>
      </c>
      <c r="S74" s="2"/>
      <c r="T74" s="7">
        <v>89028.58</v>
      </c>
      <c r="U74" s="2"/>
      <c r="V74" s="6">
        <f t="shared" si="30"/>
        <v>4.3699734165609176E-2</v>
      </c>
      <c r="W74" s="2"/>
      <c r="X74" s="7">
        <f t="shared" si="31"/>
        <v>7469.6200000000099</v>
      </c>
      <c r="Y74" s="2"/>
      <c r="Z74" s="6">
        <f t="shared" si="32"/>
        <v>8.3901371896530408E-2</v>
      </c>
    </row>
    <row r="75" spans="1:26" s="24" customFormat="1" hidden="1" outlineLevel="2" x14ac:dyDescent="0.25">
      <c r="A75" s="27"/>
      <c r="B75" s="11" t="str">
        <f>CONCATENATE("          ", "6004", " - ", "STAFF HOURLY")</f>
        <v xml:space="preserve">          6004 - STAFF HOURLY</v>
      </c>
      <c r="C75" s="11"/>
      <c r="D75" s="7">
        <v>7156.04</v>
      </c>
      <c r="E75" s="2"/>
      <c r="F75" s="6">
        <f t="shared" si="25"/>
        <v>0.52441221970374829</v>
      </c>
      <c r="G75" s="2"/>
      <c r="H75" s="7">
        <v>3238.83</v>
      </c>
      <c r="I75" s="2"/>
      <c r="J75" s="6">
        <f t="shared" si="26"/>
        <v>5.1374641199326943E-2</v>
      </c>
      <c r="K75" s="2"/>
      <c r="L75" s="7">
        <f t="shared" si="27"/>
        <v>3917.21</v>
      </c>
      <c r="M75" s="2"/>
      <c r="N75" s="6">
        <f t="shared" si="28"/>
        <v>1.2094521787188584</v>
      </c>
      <c r="O75" s="11"/>
      <c r="P75" s="7">
        <v>39838.049999999996</v>
      </c>
      <c r="Q75" s="2"/>
      <c r="R75" s="6">
        <f t="shared" si="29"/>
        <v>3.6356743808398539E-2</v>
      </c>
      <c r="S75" s="2"/>
      <c r="T75" s="7">
        <v>18551.86</v>
      </c>
      <c r="U75" s="2"/>
      <c r="V75" s="6">
        <f t="shared" si="30"/>
        <v>9.1061920821111416E-3</v>
      </c>
      <c r="W75" s="2"/>
      <c r="X75" s="7">
        <f t="shared" si="31"/>
        <v>21286.189999999995</v>
      </c>
      <c r="Y75" s="2"/>
      <c r="Z75" s="6">
        <f t="shared" si="32"/>
        <v>1.147388455928408</v>
      </c>
    </row>
    <row r="76" spans="1:26" s="24" customFormat="1" hidden="1" outlineLevel="2" x14ac:dyDescent="0.25">
      <c r="A76" s="27"/>
      <c r="B76" s="11" t="str">
        <f>CONCATENATE("          ", "6005", " - ", "TEMPORARY WAGES-HOURLY")</f>
        <v xml:space="preserve">          6005 - TEMPORARY WAGES-HOURLY</v>
      </c>
      <c r="C76" s="11"/>
      <c r="D76" s="7"/>
      <c r="E76" s="2"/>
      <c r="F76" s="6">
        <f t="shared" si="25"/>
        <v>0</v>
      </c>
      <c r="G76" s="2"/>
      <c r="H76" s="7">
        <v>3282.15</v>
      </c>
      <c r="I76" s="2"/>
      <c r="J76" s="6">
        <f t="shared" si="26"/>
        <v>5.2061787315904488E-2</v>
      </c>
      <c r="K76" s="2"/>
      <c r="L76" s="7">
        <f t="shared" si="27"/>
        <v>-3282.15</v>
      </c>
      <c r="M76" s="2"/>
      <c r="N76" s="6">
        <f t="shared" si="28"/>
        <v>-1</v>
      </c>
      <c r="O76" s="11"/>
      <c r="P76" s="7">
        <v>12838</v>
      </c>
      <c r="Q76" s="2"/>
      <c r="R76" s="6">
        <f t="shared" si="29"/>
        <v>1.1716132617239562E-2</v>
      </c>
      <c r="S76" s="2"/>
      <c r="T76" s="7">
        <v>13553.27</v>
      </c>
      <c r="U76" s="2"/>
      <c r="V76" s="6">
        <f t="shared" si="30"/>
        <v>6.652631054822237E-3</v>
      </c>
      <c r="W76" s="2"/>
      <c r="X76" s="7">
        <f t="shared" si="31"/>
        <v>-715.27000000000044</v>
      </c>
      <c r="Y76" s="2"/>
      <c r="Z76" s="6">
        <f t="shared" si="32"/>
        <v>-5.2774717835621987E-2</v>
      </c>
    </row>
    <row r="77" spans="1:26" s="24" customFormat="1" hidden="1" outlineLevel="2" x14ac:dyDescent="0.25">
      <c r="A77" s="27"/>
      <c r="B77" s="11" t="str">
        <f>CONCATENATE("          ", "6006", " - ", "TEMPORARY PART TIME")</f>
        <v xml:space="preserve">          6006 - TEMPORARY PART TIME</v>
      </c>
      <c r="C77" s="11"/>
      <c r="D77" s="7"/>
      <c r="E77" s="2"/>
      <c r="F77" s="6">
        <f t="shared" si="25"/>
        <v>0</v>
      </c>
      <c r="G77" s="2"/>
      <c r="H77" s="7"/>
      <c r="I77" s="2"/>
      <c r="J77" s="6">
        <f t="shared" si="26"/>
        <v>0</v>
      </c>
      <c r="K77" s="2"/>
      <c r="L77" s="7">
        <f t="shared" si="27"/>
        <v>0</v>
      </c>
      <c r="M77" s="2"/>
      <c r="N77" s="6">
        <f t="shared" si="28"/>
        <v>0</v>
      </c>
      <c r="O77" s="11"/>
      <c r="P77" s="7">
        <v>502.29</v>
      </c>
      <c r="Q77" s="2"/>
      <c r="R77" s="6">
        <f t="shared" si="29"/>
        <v>4.5839665464350051E-4</v>
      </c>
      <c r="S77" s="2"/>
      <c r="T77" s="7"/>
      <c r="U77" s="2"/>
      <c r="V77" s="6">
        <f t="shared" si="30"/>
        <v>0</v>
      </c>
      <c r="W77" s="2"/>
      <c r="X77" s="7">
        <f t="shared" si="31"/>
        <v>502.29</v>
      </c>
      <c r="Y77" s="2"/>
      <c r="Z77" s="6">
        <f t="shared" si="32"/>
        <v>0</v>
      </c>
    </row>
    <row r="78" spans="1:26" s="24" customFormat="1" hidden="1" outlineLevel="2" x14ac:dyDescent="0.25">
      <c r="A78" s="27"/>
      <c r="B78" s="11" t="str">
        <f>CONCATENATE("          ", "6007", " - ", "STUDENT HOURLY")</f>
        <v xml:space="preserve">          6007 - STUDENT HOURLY</v>
      </c>
      <c r="C78" s="11"/>
      <c r="D78" s="7">
        <v>2829.57</v>
      </c>
      <c r="E78" s="2"/>
      <c r="F78" s="6">
        <f t="shared" si="25"/>
        <v>0.20735785217901734</v>
      </c>
      <c r="G78" s="2"/>
      <c r="H78" s="7">
        <v>3158.45</v>
      </c>
      <c r="I78" s="2"/>
      <c r="J78" s="6">
        <f t="shared" si="26"/>
        <v>5.0099645704162976E-2</v>
      </c>
      <c r="K78" s="2"/>
      <c r="L78" s="7">
        <f t="shared" si="27"/>
        <v>-328.87999999999965</v>
      </c>
      <c r="M78" s="2"/>
      <c r="N78" s="6">
        <f t="shared" si="28"/>
        <v>-0.10412702433155493</v>
      </c>
      <c r="O78" s="11"/>
      <c r="P78" s="7">
        <v>16041.849999999999</v>
      </c>
      <c r="Q78" s="2"/>
      <c r="R78" s="6">
        <f t="shared" si="29"/>
        <v>1.4640009505052535E-2</v>
      </c>
      <c r="S78" s="2"/>
      <c r="T78" s="7">
        <v>21884.43</v>
      </c>
      <c r="U78" s="2"/>
      <c r="V78" s="6">
        <f t="shared" si="30"/>
        <v>1.0741986150580887E-2</v>
      </c>
      <c r="W78" s="2"/>
      <c r="X78" s="7">
        <f t="shared" si="31"/>
        <v>-5842.5800000000017</v>
      </c>
      <c r="Y78" s="2"/>
      <c r="Z78" s="6">
        <f t="shared" si="32"/>
        <v>-0.26697428262924838</v>
      </c>
    </row>
    <row r="79" spans="1:26" s="25" customFormat="1" outlineLevel="1" collapsed="1" x14ac:dyDescent="0.25">
      <c r="A79" s="26"/>
      <c r="B79" s="13" t="str">
        <f>CONCATENATE("     ","Advertising/Promo                                 ")</f>
        <v xml:space="preserve">     Advertising/Promo                                 </v>
      </c>
      <c r="C79" s="13"/>
      <c r="D79" s="1">
        <f>SUM(OSRRefD22_2x_0)</f>
        <v>70.56</v>
      </c>
      <c r="E79" s="1"/>
      <c r="F79" s="5">
        <f t="shared" ref="F79:F83" si="33">IF(D$12=0,0,D79/D$12)</f>
        <v>5.1708104234040727E-3</v>
      </c>
      <c r="G79" s="1"/>
      <c r="H79" s="1">
        <f>SUM(OSRRefH22_2x_0)</f>
        <v>1138.8499999999999</v>
      </c>
      <c r="I79" s="1"/>
      <c r="J79" s="5">
        <f t="shared" ref="J79:J83" si="34">IF(H$12=0,0,H79/H$12)</f>
        <v>1.8064551127985565E-2</v>
      </c>
      <c r="K79" s="1"/>
      <c r="L79" s="1">
        <f t="shared" ref="L79:L83" si="35">+D79-H79</f>
        <v>-1068.29</v>
      </c>
      <c r="M79" s="1"/>
      <c r="N79" s="5">
        <f t="shared" ref="N79:N83" si="36">IF(H79=0,0,L79/H79)</f>
        <v>-0.93804276243579054</v>
      </c>
      <c r="O79" s="13"/>
      <c r="P79" s="1">
        <f>SUM(OSRRefP22_2x_0)</f>
        <v>1430.44</v>
      </c>
      <c r="Q79" s="1"/>
      <c r="R79" s="5">
        <f t="shared" ref="R79:R83" si="37">IF(P$12=0,0,P79/P$12)</f>
        <v>1.305438911123552E-3</v>
      </c>
      <c r="S79" s="1"/>
      <c r="T79" s="1">
        <f>SUM(OSRRefT22_2x_0)</f>
        <v>4346.9399999999996</v>
      </c>
      <c r="U79" s="1"/>
      <c r="V79" s="5">
        <f t="shared" ref="V79:V83" si="38">IF(T$12=0,0,T79/T$12)</f>
        <v>2.1336982172899211E-3</v>
      </c>
      <c r="W79" s="1"/>
      <c r="X79" s="1">
        <f t="shared" ref="X79:X83" si="39">+P79-T79</f>
        <v>-2916.4999999999995</v>
      </c>
      <c r="Y79" s="1"/>
      <c r="Z79" s="5">
        <f t="shared" ref="Z79:Z83" si="40">IF(T79=0,0,X79/T79)</f>
        <v>-0.67093173588777388</v>
      </c>
    </row>
    <row r="80" spans="1:26" s="24" customFormat="1" hidden="1" outlineLevel="2" x14ac:dyDescent="0.25">
      <c r="A80" s="27"/>
      <c r="B80" s="11" t="str">
        <f>CONCATENATE("          ", "6362", " - ", "ADVERTISING EXPENSE")</f>
        <v xml:space="preserve">          6362 - ADVERTISING EXPENSE</v>
      </c>
      <c r="C80" s="11"/>
      <c r="D80" s="7">
        <v>70.56</v>
      </c>
      <c r="E80" s="2"/>
      <c r="F80" s="6">
        <f t="shared" si="33"/>
        <v>5.1708104234040727E-3</v>
      </c>
      <c r="G80" s="2"/>
      <c r="H80" s="7">
        <v>1138.8499999999999</v>
      </c>
      <c r="I80" s="2"/>
      <c r="J80" s="6">
        <f t="shared" si="34"/>
        <v>1.8064551127985565E-2</v>
      </c>
      <c r="K80" s="2"/>
      <c r="L80" s="7">
        <f t="shared" si="35"/>
        <v>-1068.29</v>
      </c>
      <c r="M80" s="2"/>
      <c r="N80" s="6">
        <f t="shared" si="36"/>
        <v>-0.93804276243579054</v>
      </c>
      <c r="O80" s="11"/>
      <c r="P80" s="7">
        <v>1430.44</v>
      </c>
      <c r="Q80" s="2"/>
      <c r="R80" s="6">
        <f t="shared" si="37"/>
        <v>1.305438911123552E-3</v>
      </c>
      <c r="S80" s="2"/>
      <c r="T80" s="7">
        <v>4346.9399999999996</v>
      </c>
      <c r="U80" s="2"/>
      <c r="V80" s="6">
        <f t="shared" si="38"/>
        <v>2.1336982172899211E-3</v>
      </c>
      <c r="W80" s="2"/>
      <c r="X80" s="7">
        <f t="shared" si="39"/>
        <v>-2916.4999999999995</v>
      </c>
      <c r="Y80" s="2"/>
      <c r="Z80" s="6">
        <f t="shared" si="40"/>
        <v>-0.67093173588777388</v>
      </c>
    </row>
    <row r="81" spans="1:26" s="25" customFormat="1" outlineLevel="1" collapsed="1" x14ac:dyDescent="0.25">
      <c r="A81" s="26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SUM(OSRRefD22_3x_0)</f>
        <v>0</v>
      </c>
      <c r="E81" s="1"/>
      <c r="F81" s="5">
        <f t="shared" si="33"/>
        <v>0</v>
      </c>
      <c r="G81" s="1"/>
      <c r="H81" s="1">
        <f>SUM(OSRRefH22_3x_0)</f>
        <v>675.06</v>
      </c>
      <c r="I81" s="1"/>
      <c r="J81" s="5">
        <f t="shared" si="34"/>
        <v>1.0707868362346169E-2</v>
      </c>
      <c r="K81" s="1"/>
      <c r="L81" s="1">
        <f t="shared" si="35"/>
        <v>-675.06</v>
      </c>
      <c r="M81" s="1"/>
      <c r="N81" s="5">
        <f t="shared" si="36"/>
        <v>-1</v>
      </c>
      <c r="O81" s="13"/>
      <c r="P81" s="1">
        <f>SUM(OSRRefP22_3x_0)</f>
        <v>0</v>
      </c>
      <c r="Q81" s="1"/>
      <c r="R81" s="5">
        <f t="shared" si="37"/>
        <v>0</v>
      </c>
      <c r="S81" s="1"/>
      <c r="T81" s="1">
        <f>SUM(OSRRefT22_3x_0)</f>
        <v>-1838.17</v>
      </c>
      <c r="U81" s="1"/>
      <c r="V81" s="5">
        <f t="shared" si="38"/>
        <v>-9.022668939704287E-4</v>
      </c>
      <c r="W81" s="1"/>
      <c r="X81" s="1">
        <f t="shared" si="39"/>
        <v>1838.17</v>
      </c>
      <c r="Y81" s="1"/>
      <c r="Z81" s="5">
        <f t="shared" si="40"/>
        <v>-1</v>
      </c>
    </row>
    <row r="82" spans="1:26" s="24" customFormat="1" hidden="1" outlineLevel="2" x14ac:dyDescent="0.25">
      <c r="A82" s="27"/>
      <c r="B82" s="11" t="str">
        <f>CONCATENATE("          ", "6382", " - ", "DISCOUNTS/MARK DOWNS")</f>
        <v xml:space="preserve">          6382 - DISCOUNTS/MARK DOWNS</v>
      </c>
      <c r="C82" s="11"/>
      <c r="D82" s="7"/>
      <c r="E82" s="2"/>
      <c r="F82" s="6">
        <f t="shared" si="33"/>
        <v>0</v>
      </c>
      <c r="G82" s="2"/>
      <c r="H82" s="7">
        <v>675.06</v>
      </c>
      <c r="I82" s="2"/>
      <c r="J82" s="6">
        <f t="shared" si="34"/>
        <v>1.0707868362346169E-2</v>
      </c>
      <c r="K82" s="2"/>
      <c r="L82" s="7">
        <f t="shared" si="35"/>
        <v>-675.06</v>
      </c>
      <c r="M82" s="2"/>
      <c r="N82" s="6">
        <f t="shared" si="36"/>
        <v>-1</v>
      </c>
      <c r="O82" s="11"/>
      <c r="P82" s="7"/>
      <c r="Q82" s="2"/>
      <c r="R82" s="6">
        <f t="shared" si="37"/>
        <v>0</v>
      </c>
      <c r="S82" s="2"/>
      <c r="T82" s="7">
        <v>-1404.54</v>
      </c>
      <c r="U82" s="2"/>
      <c r="V82" s="6">
        <f t="shared" si="38"/>
        <v>-6.8941933730679202E-4</v>
      </c>
      <c r="W82" s="2"/>
      <c r="X82" s="7">
        <f t="shared" si="39"/>
        <v>1404.54</v>
      </c>
      <c r="Y82" s="2"/>
      <c r="Z82" s="6">
        <f t="shared" si="40"/>
        <v>-1</v>
      </c>
    </row>
    <row r="83" spans="1:26" s="24" customFormat="1" hidden="1" outlineLevel="2" x14ac:dyDescent="0.25">
      <c r="A83" s="27"/>
      <c r="B83" s="11" t="str">
        <f>CONCATENATE("          ", "9175", " - ", "EARNED DISCOUNTS")</f>
        <v xml:space="preserve">          9175 - EARNED DISCOUNTS</v>
      </c>
      <c r="C83" s="11"/>
      <c r="D83" s="7"/>
      <c r="E83" s="2"/>
      <c r="F83" s="6">
        <f t="shared" si="33"/>
        <v>0</v>
      </c>
      <c r="G83" s="2"/>
      <c r="H83" s="7"/>
      <c r="I83" s="2"/>
      <c r="J83" s="6">
        <f t="shared" si="34"/>
        <v>0</v>
      </c>
      <c r="K83" s="2"/>
      <c r="L83" s="7">
        <f t="shared" si="35"/>
        <v>0</v>
      </c>
      <c r="M83" s="2"/>
      <c r="N83" s="6">
        <f t="shared" si="36"/>
        <v>0</v>
      </c>
      <c r="O83" s="11"/>
      <c r="P83" s="7"/>
      <c r="Q83" s="2"/>
      <c r="R83" s="6">
        <f t="shared" si="37"/>
        <v>0</v>
      </c>
      <c r="S83" s="2"/>
      <c r="T83" s="7">
        <v>-433.63</v>
      </c>
      <c r="U83" s="2"/>
      <c r="V83" s="6">
        <f t="shared" si="38"/>
        <v>-2.1284755666363663E-4</v>
      </c>
      <c r="W83" s="2"/>
      <c r="X83" s="7">
        <f t="shared" si="39"/>
        <v>433.63</v>
      </c>
      <c r="Y83" s="2"/>
      <c r="Z83" s="6">
        <f t="shared" si="40"/>
        <v>-1</v>
      </c>
    </row>
    <row r="84" spans="1:26" s="25" customFormat="1" outlineLevel="1" collapsed="1" x14ac:dyDescent="0.25">
      <c r="A84" s="26"/>
      <c r="B84" s="13" t="str">
        <f>CONCATENATE("     ","Employees' Appreciation                           ")</f>
        <v xml:space="preserve">     Employees' Appreciation                           </v>
      </c>
      <c r="C84" s="13"/>
      <c r="D84" s="1">
        <f>SUM(OSRRefD22_4x_0)</f>
        <v>0</v>
      </c>
      <c r="E84" s="1"/>
      <c r="F84" s="5">
        <f t="shared" ref="F84:F90" si="41">IF(D$12=0,0,D84/D$12)</f>
        <v>0</v>
      </c>
      <c r="G84" s="1"/>
      <c r="H84" s="1">
        <f>SUM(OSRRefH22_4x_0)</f>
        <v>0</v>
      </c>
      <c r="I84" s="1"/>
      <c r="J84" s="5">
        <f t="shared" ref="J84:J90" si="42">IF(H$12=0,0,H84/H$12)</f>
        <v>0</v>
      </c>
      <c r="K84" s="1"/>
      <c r="L84" s="1">
        <f t="shared" ref="L84:L90" si="43">+D84-H84</f>
        <v>0</v>
      </c>
      <c r="M84" s="1"/>
      <c r="N84" s="5">
        <f t="shared" ref="N84:N90" si="44">IF(H84=0,0,L84/H84)</f>
        <v>0</v>
      </c>
      <c r="O84" s="13"/>
      <c r="P84" s="1">
        <f>SUM(OSRRefP22_4x_0)</f>
        <v>107.7</v>
      </c>
      <c r="Q84" s="1"/>
      <c r="R84" s="5">
        <f t="shared" ref="R84:R90" si="45">IF(P$12=0,0,P84/P$12)</f>
        <v>9.8288478180144954E-5</v>
      </c>
      <c r="S84" s="1"/>
      <c r="T84" s="1">
        <f>SUM(OSRRefT22_4x_0)</f>
        <v>37.880000000000003</v>
      </c>
      <c r="U84" s="1"/>
      <c r="V84" s="5">
        <f t="shared" ref="V84:V90" si="46">IF(T$12=0,0,T84/T$12)</f>
        <v>1.8593421687656659E-5</v>
      </c>
      <c r="W84" s="1"/>
      <c r="X84" s="1">
        <f t="shared" ref="X84:X90" si="47">+P84-T84</f>
        <v>69.819999999999993</v>
      </c>
      <c r="Y84" s="1"/>
      <c r="Z84" s="5">
        <f t="shared" ref="Z84:Z90" si="48">IF(T84=0,0,X84/T84)</f>
        <v>1.8431890179514252</v>
      </c>
    </row>
    <row r="85" spans="1:26" s="24" customFormat="1" hidden="1" outlineLevel="2" x14ac:dyDescent="0.25">
      <c r="A85" s="27"/>
      <c r="B85" s="11" t="str">
        <f>CONCATENATE("          ", "6277", " - ", "EMPLOYEE APPRECIATION")</f>
        <v xml:space="preserve">          6277 - EMPLOYEE APPRECIATION</v>
      </c>
      <c r="C85" s="11"/>
      <c r="D85" s="7"/>
      <c r="E85" s="2"/>
      <c r="F85" s="6">
        <f t="shared" si="41"/>
        <v>0</v>
      </c>
      <c r="G85" s="2"/>
      <c r="H85" s="7"/>
      <c r="I85" s="2"/>
      <c r="J85" s="6">
        <f t="shared" si="42"/>
        <v>0</v>
      </c>
      <c r="K85" s="2"/>
      <c r="L85" s="7">
        <f t="shared" si="43"/>
        <v>0</v>
      </c>
      <c r="M85" s="2"/>
      <c r="N85" s="6">
        <f t="shared" si="44"/>
        <v>0</v>
      </c>
      <c r="O85" s="11"/>
      <c r="P85" s="7">
        <v>107.7</v>
      </c>
      <c r="Q85" s="2"/>
      <c r="R85" s="6">
        <f t="shared" si="45"/>
        <v>9.8288478180144954E-5</v>
      </c>
      <c r="S85" s="2"/>
      <c r="T85" s="7">
        <v>37.880000000000003</v>
      </c>
      <c r="U85" s="2"/>
      <c r="V85" s="6">
        <f t="shared" si="46"/>
        <v>1.8593421687656659E-5</v>
      </c>
      <c r="W85" s="2"/>
      <c r="X85" s="7">
        <f t="shared" si="47"/>
        <v>69.819999999999993</v>
      </c>
      <c r="Y85" s="2"/>
      <c r="Z85" s="6">
        <f t="shared" si="48"/>
        <v>1.8431890179514252</v>
      </c>
    </row>
    <row r="86" spans="1:26" s="25" customFormat="1" outlineLevel="1" collapsed="1" x14ac:dyDescent="0.25">
      <c r="A86" s="26"/>
      <c r="B86" s="13" t="str">
        <f>CONCATENATE("     ","Equipment Rental                                  ")</f>
        <v xml:space="preserve">     Equipment Rental                                  </v>
      </c>
      <c r="C86" s="13"/>
      <c r="D86" s="1">
        <f>SUM(OSRRefD22_5x_0)</f>
        <v>0</v>
      </c>
      <c r="E86" s="1"/>
      <c r="F86" s="5">
        <f t="shared" si="41"/>
        <v>0</v>
      </c>
      <c r="G86" s="1"/>
      <c r="H86" s="1">
        <f>SUM(OSRRefH22_5x_0)</f>
        <v>0</v>
      </c>
      <c r="I86" s="1"/>
      <c r="J86" s="5">
        <f t="shared" si="42"/>
        <v>0</v>
      </c>
      <c r="K86" s="1"/>
      <c r="L86" s="1">
        <f t="shared" si="43"/>
        <v>0</v>
      </c>
      <c r="M86" s="1"/>
      <c r="N86" s="5">
        <f t="shared" si="44"/>
        <v>0</v>
      </c>
      <c r="O86" s="13"/>
      <c r="P86" s="1">
        <f>SUM(OSRRefP22_5x_0)</f>
        <v>547.55999999999995</v>
      </c>
      <c r="Q86" s="1"/>
      <c r="R86" s="5">
        <f t="shared" si="45"/>
        <v>4.9971066956657536E-4</v>
      </c>
      <c r="S86" s="1"/>
      <c r="T86" s="1">
        <f>SUM(OSRRefT22_5x_0)</f>
        <v>547.55999999999995</v>
      </c>
      <c r="U86" s="1"/>
      <c r="V86" s="5">
        <f t="shared" si="46"/>
        <v>2.6877016840795348E-4</v>
      </c>
      <c r="W86" s="1"/>
      <c r="X86" s="1">
        <f t="shared" si="47"/>
        <v>0</v>
      </c>
      <c r="Y86" s="1"/>
      <c r="Z86" s="5">
        <f t="shared" si="48"/>
        <v>0</v>
      </c>
    </row>
    <row r="87" spans="1:26" s="24" customFormat="1" hidden="1" outlineLevel="2" x14ac:dyDescent="0.25">
      <c r="A87" s="27"/>
      <c r="B87" s="11" t="str">
        <f>CONCATENATE("          ", "6351", " - ", "EQUIPMENT RENTAL")</f>
        <v xml:space="preserve">          6351 - EQUIPMENT RENTAL</v>
      </c>
      <c r="C87" s="11"/>
      <c r="D87" s="7"/>
      <c r="E87" s="2"/>
      <c r="F87" s="6">
        <f t="shared" si="41"/>
        <v>0</v>
      </c>
      <c r="G87" s="2"/>
      <c r="H87" s="7"/>
      <c r="I87" s="2"/>
      <c r="J87" s="6">
        <f t="shared" si="42"/>
        <v>0</v>
      </c>
      <c r="K87" s="2"/>
      <c r="L87" s="7">
        <f t="shared" si="43"/>
        <v>0</v>
      </c>
      <c r="M87" s="2"/>
      <c r="N87" s="6">
        <f t="shared" si="44"/>
        <v>0</v>
      </c>
      <c r="O87" s="11"/>
      <c r="P87" s="7">
        <v>547.55999999999995</v>
      </c>
      <c r="Q87" s="2"/>
      <c r="R87" s="6">
        <f t="shared" si="45"/>
        <v>4.9971066956657536E-4</v>
      </c>
      <c r="S87" s="2"/>
      <c r="T87" s="7">
        <v>547.55999999999995</v>
      </c>
      <c r="U87" s="2"/>
      <c r="V87" s="6">
        <f t="shared" si="46"/>
        <v>2.6877016840795348E-4</v>
      </c>
      <c r="W87" s="2"/>
      <c r="X87" s="7">
        <f t="shared" si="47"/>
        <v>0</v>
      </c>
      <c r="Y87" s="2"/>
      <c r="Z87" s="6">
        <f t="shared" si="48"/>
        <v>0</v>
      </c>
    </row>
    <row r="88" spans="1:26" s="25" customFormat="1" outlineLevel="1" collapsed="1" x14ac:dyDescent="0.25">
      <c r="A88" s="26"/>
      <c r="B88" s="13" t="str">
        <f>CONCATENATE("     ","Freight out/Postage                               ")</f>
        <v xml:space="preserve">     Freight out/Postage                               </v>
      </c>
      <c r="C88" s="13"/>
      <c r="D88" s="1">
        <f>SUM(OSRRefD22_6x_0)</f>
        <v>4167.2</v>
      </c>
      <c r="E88" s="1"/>
      <c r="F88" s="5">
        <f t="shared" si="41"/>
        <v>0.30538267001714076</v>
      </c>
      <c r="G88" s="1"/>
      <c r="H88" s="1">
        <f>SUM(OSRRefH22_6x_0)</f>
        <v>2571.11</v>
      </c>
      <c r="I88" s="1"/>
      <c r="J88" s="5">
        <f t="shared" si="42"/>
        <v>4.0783200641590175E-2</v>
      </c>
      <c r="K88" s="1"/>
      <c r="L88" s="1">
        <f t="shared" si="43"/>
        <v>1596.0899999999997</v>
      </c>
      <c r="M88" s="1"/>
      <c r="N88" s="5">
        <f t="shared" si="44"/>
        <v>0.62077857423447447</v>
      </c>
      <c r="O88" s="13"/>
      <c r="P88" s="1">
        <f>SUM(OSRRefP22_6x_0)</f>
        <v>8898.0300000000007</v>
      </c>
      <c r="Q88" s="1"/>
      <c r="R88" s="5">
        <f t="shared" si="45"/>
        <v>8.1204626508939205E-3</v>
      </c>
      <c r="S88" s="1"/>
      <c r="T88" s="1">
        <f>SUM(OSRRefT22_6x_0)</f>
        <v>11941.9</v>
      </c>
      <c r="U88" s="1"/>
      <c r="V88" s="5">
        <f t="shared" si="46"/>
        <v>5.8616890826775877E-3</v>
      </c>
      <c r="W88" s="1"/>
      <c r="X88" s="1">
        <f t="shared" si="47"/>
        <v>-3043.869999999999</v>
      </c>
      <c r="Y88" s="1"/>
      <c r="Z88" s="5">
        <f t="shared" si="48"/>
        <v>-0.25488992538875715</v>
      </c>
    </row>
    <row r="89" spans="1:26" s="24" customFormat="1" hidden="1" outlineLevel="2" x14ac:dyDescent="0.25">
      <c r="A89" s="27"/>
      <c r="B89" s="11" t="str">
        <f>CONCATENATE("          ", "6305", " - ", "FREIGHT OUT")</f>
        <v xml:space="preserve">          6305 - FREIGHT OUT</v>
      </c>
      <c r="C89" s="11"/>
      <c r="D89" s="7">
        <v>3867.2</v>
      </c>
      <c r="E89" s="2"/>
      <c r="F89" s="6">
        <f t="shared" si="41"/>
        <v>0.28339793182239553</v>
      </c>
      <c r="G89" s="2"/>
      <c r="H89" s="7">
        <v>2571.11</v>
      </c>
      <c r="I89" s="2"/>
      <c r="J89" s="6">
        <f t="shared" si="42"/>
        <v>4.0783200641590175E-2</v>
      </c>
      <c r="K89" s="2"/>
      <c r="L89" s="7">
        <f t="shared" si="43"/>
        <v>1296.0899999999997</v>
      </c>
      <c r="M89" s="2"/>
      <c r="N89" s="6">
        <f t="shared" si="44"/>
        <v>0.50409745207322898</v>
      </c>
      <c r="O89" s="11"/>
      <c r="P89" s="7">
        <v>8598.0300000000007</v>
      </c>
      <c r="Q89" s="2"/>
      <c r="R89" s="6">
        <f t="shared" si="45"/>
        <v>7.8466785891107872E-3</v>
      </c>
      <c r="S89" s="2"/>
      <c r="T89" s="7">
        <v>11941.4</v>
      </c>
      <c r="U89" s="2"/>
      <c r="V89" s="6">
        <f t="shared" si="46"/>
        <v>5.8614436573649203E-3</v>
      </c>
      <c r="W89" s="2"/>
      <c r="X89" s="7">
        <f t="shared" si="47"/>
        <v>-3343.369999999999</v>
      </c>
      <c r="Y89" s="2"/>
      <c r="Z89" s="6">
        <f t="shared" si="48"/>
        <v>-0.27998140921499987</v>
      </c>
    </row>
    <row r="90" spans="1:26" s="24" customFormat="1" hidden="1" outlineLevel="2" x14ac:dyDescent="0.25">
      <c r="A90" s="27"/>
      <c r="B90" s="11" t="str">
        <f>CONCATENATE("          ", "6307", " - ", "POSTAGE")</f>
        <v xml:space="preserve">          6307 - POSTAGE</v>
      </c>
      <c r="C90" s="11"/>
      <c r="D90" s="7">
        <v>300</v>
      </c>
      <c r="E90" s="2"/>
      <c r="F90" s="6">
        <f t="shared" si="41"/>
        <v>2.1984738194745206E-2</v>
      </c>
      <c r="G90" s="2"/>
      <c r="H90" s="7"/>
      <c r="I90" s="2"/>
      <c r="J90" s="6">
        <f t="shared" si="42"/>
        <v>0</v>
      </c>
      <c r="K90" s="2"/>
      <c r="L90" s="7">
        <f t="shared" si="43"/>
        <v>300</v>
      </c>
      <c r="M90" s="2"/>
      <c r="N90" s="6">
        <f t="shared" si="44"/>
        <v>0</v>
      </c>
      <c r="O90" s="11"/>
      <c r="P90" s="7">
        <v>300</v>
      </c>
      <c r="Q90" s="2"/>
      <c r="R90" s="6">
        <f t="shared" si="45"/>
        <v>2.7378406178313357E-4</v>
      </c>
      <c r="S90" s="2"/>
      <c r="T90" s="7">
        <v>0.5</v>
      </c>
      <c r="U90" s="2"/>
      <c r="V90" s="6">
        <f t="shared" si="46"/>
        <v>2.4542531266706252E-7</v>
      </c>
      <c r="W90" s="2"/>
      <c r="X90" s="7">
        <f t="shared" si="47"/>
        <v>299.5</v>
      </c>
      <c r="Y90" s="2"/>
      <c r="Z90" s="6">
        <f t="shared" si="48"/>
        <v>599</v>
      </c>
    </row>
    <row r="91" spans="1:26" s="25" customFormat="1" outlineLevel="1" collapsed="1" x14ac:dyDescent="0.25">
      <c r="A91" s="26"/>
      <c r="B91" s="13" t="str">
        <f>CONCATENATE("     ","General                                           ")</f>
        <v xml:space="preserve">     General                                           </v>
      </c>
      <c r="C91" s="13"/>
      <c r="D91" s="1">
        <f>SUM(OSRRefD22_7x_0)</f>
        <v>-0.99</v>
      </c>
      <c r="E91" s="1"/>
      <c r="F91" s="5">
        <f t="shared" ref="F91:F97" si="49">IF(D$12=0,0,D91/D$12)</f>
        <v>-7.2549636042659187E-5</v>
      </c>
      <c r="G91" s="1"/>
      <c r="H91" s="1">
        <f>SUM(OSRRefH22_7x_0)</f>
        <v>0</v>
      </c>
      <c r="I91" s="1"/>
      <c r="J91" s="5">
        <f t="shared" ref="J91:J97" si="50">IF(H$12=0,0,H91/H$12)</f>
        <v>0</v>
      </c>
      <c r="K91" s="1"/>
      <c r="L91" s="1">
        <f t="shared" ref="L91:L97" si="51">+D91-H91</f>
        <v>-0.99</v>
      </c>
      <c r="M91" s="1"/>
      <c r="N91" s="5">
        <f t="shared" ref="N91:N97" si="52">IF(H91=0,0,L91/H91)</f>
        <v>0</v>
      </c>
      <c r="O91" s="13"/>
      <c r="P91" s="1">
        <f>SUM(OSRRefP22_7x_0)</f>
        <v>-1042.45</v>
      </c>
      <c r="Q91" s="1"/>
      <c r="R91" s="5">
        <f t="shared" ref="R91:R97" si="53">IF(P$12=0,0,P91/P$12)</f>
        <v>-9.5135398401942524E-4</v>
      </c>
      <c r="S91" s="1"/>
      <c r="T91" s="1">
        <f>SUM(OSRRefT22_7x_0)</f>
        <v>8152.9</v>
      </c>
      <c r="U91" s="1"/>
      <c r="V91" s="5">
        <f t="shared" ref="V91:V97" si="54">IF(T$12=0,0,T91/T$12)</f>
        <v>4.0018560632865876E-3</v>
      </c>
      <c r="W91" s="1"/>
      <c r="X91" s="1">
        <f t="shared" ref="X91:X97" si="55">+P91-T91</f>
        <v>-9195.35</v>
      </c>
      <c r="Y91" s="1"/>
      <c r="Z91" s="5">
        <f t="shared" ref="Z91:Z97" si="56">IF(T91=0,0,X91/T91)</f>
        <v>-1.1278624783819255</v>
      </c>
    </row>
    <row r="92" spans="1:26" s="24" customFormat="1" hidden="1" outlineLevel="2" x14ac:dyDescent="0.25">
      <c r="A92" s="27"/>
      <c r="B92" s="11" t="str">
        <f>CONCATENATE("          ", "6279", " - ", "GENERAL EXPENSE")</f>
        <v xml:space="preserve">          6279 - GENERAL EXPENSE</v>
      </c>
      <c r="C92" s="11"/>
      <c r="D92" s="7">
        <v>-0.99</v>
      </c>
      <c r="E92" s="2"/>
      <c r="F92" s="6">
        <f t="shared" si="49"/>
        <v>-7.2549636042659187E-5</v>
      </c>
      <c r="G92" s="2"/>
      <c r="H92" s="7"/>
      <c r="I92" s="2"/>
      <c r="J92" s="6">
        <f t="shared" si="50"/>
        <v>0</v>
      </c>
      <c r="K92" s="2"/>
      <c r="L92" s="7">
        <f t="shared" si="51"/>
        <v>-0.99</v>
      </c>
      <c r="M92" s="2"/>
      <c r="N92" s="6">
        <f t="shared" si="52"/>
        <v>0</v>
      </c>
      <c r="O92" s="11"/>
      <c r="P92" s="7">
        <v>-1042.45</v>
      </c>
      <c r="Q92" s="2"/>
      <c r="R92" s="6">
        <f t="shared" si="53"/>
        <v>-9.5135398401942524E-4</v>
      </c>
      <c r="S92" s="2"/>
      <c r="T92" s="7">
        <v>8152.9</v>
      </c>
      <c r="U92" s="2"/>
      <c r="V92" s="6">
        <f t="shared" si="54"/>
        <v>4.0018560632865876E-3</v>
      </c>
      <c r="W92" s="2"/>
      <c r="X92" s="7">
        <f t="shared" si="55"/>
        <v>-9195.35</v>
      </c>
      <c r="Y92" s="2"/>
      <c r="Z92" s="6">
        <f t="shared" si="56"/>
        <v>-1.1278624783819255</v>
      </c>
    </row>
    <row r="93" spans="1:26" s="25" customFormat="1" outlineLevel="1" collapsed="1" x14ac:dyDescent="0.25">
      <c r="A93" s="26"/>
      <c r="B93" s="13" t="str">
        <f>CONCATENATE("     ","Inventory Adjustment                              ")</f>
        <v xml:space="preserve">     Inventory Adjustment                              </v>
      </c>
      <c r="C93" s="13"/>
      <c r="D93" s="1">
        <f>SUM(OSRRefD22_8x_0)</f>
        <v>6000</v>
      </c>
      <c r="E93" s="1"/>
      <c r="F93" s="5">
        <f t="shared" si="49"/>
        <v>0.43969476389490414</v>
      </c>
      <c r="G93" s="1"/>
      <c r="H93" s="1">
        <f>SUM(OSRRefH22_8x_0)</f>
        <v>6800</v>
      </c>
      <c r="I93" s="1"/>
      <c r="J93" s="5">
        <f t="shared" si="50"/>
        <v>0.10786227130026066</v>
      </c>
      <c r="K93" s="1"/>
      <c r="L93" s="1">
        <f t="shared" si="51"/>
        <v>-800</v>
      </c>
      <c r="M93" s="1"/>
      <c r="N93" s="5">
        <f t="shared" si="52"/>
        <v>-0.11764705882352941</v>
      </c>
      <c r="O93" s="13"/>
      <c r="P93" s="1">
        <f>SUM(OSRRefP22_8x_0)</f>
        <v>11000</v>
      </c>
      <c r="Q93" s="1"/>
      <c r="R93" s="5">
        <f t="shared" si="53"/>
        <v>1.003874893204823E-2</v>
      </c>
      <c r="S93" s="1"/>
      <c r="T93" s="1">
        <f>SUM(OSRRefT22_8x_0)</f>
        <v>11800</v>
      </c>
      <c r="U93" s="1"/>
      <c r="V93" s="5">
        <f t="shared" si="54"/>
        <v>5.7920373789426757E-3</v>
      </c>
      <c r="W93" s="1"/>
      <c r="X93" s="1">
        <f t="shared" si="55"/>
        <v>-800</v>
      </c>
      <c r="Y93" s="1"/>
      <c r="Z93" s="5">
        <f t="shared" si="56"/>
        <v>-6.7796610169491525E-2</v>
      </c>
    </row>
    <row r="94" spans="1:26" s="24" customFormat="1" hidden="1" outlineLevel="2" x14ac:dyDescent="0.25">
      <c r="A94" s="27"/>
      <c r="B94" s="11" t="str">
        <f>CONCATENATE("          ", "6408", " - ", "INVENTORY ADJUSTMENT")</f>
        <v xml:space="preserve">          6408 - INVENTORY ADJUSTMENT</v>
      </c>
      <c r="C94" s="11"/>
      <c r="D94" s="7">
        <v>6000</v>
      </c>
      <c r="E94" s="2"/>
      <c r="F94" s="6">
        <f t="shared" si="49"/>
        <v>0.43969476389490414</v>
      </c>
      <c r="G94" s="2"/>
      <c r="H94" s="7">
        <v>6800</v>
      </c>
      <c r="I94" s="2"/>
      <c r="J94" s="6">
        <f t="shared" si="50"/>
        <v>0.10786227130026066</v>
      </c>
      <c r="K94" s="2"/>
      <c r="L94" s="7">
        <f t="shared" si="51"/>
        <v>-800</v>
      </c>
      <c r="M94" s="2"/>
      <c r="N94" s="6">
        <f t="shared" si="52"/>
        <v>-0.11764705882352941</v>
      </c>
      <c r="O94" s="11"/>
      <c r="P94" s="7">
        <v>11000</v>
      </c>
      <c r="Q94" s="2"/>
      <c r="R94" s="6">
        <f t="shared" si="53"/>
        <v>1.003874893204823E-2</v>
      </c>
      <c r="S94" s="2"/>
      <c r="T94" s="7">
        <v>11800</v>
      </c>
      <c r="U94" s="2"/>
      <c r="V94" s="6">
        <f t="shared" si="54"/>
        <v>5.7920373789426757E-3</v>
      </c>
      <c r="W94" s="2"/>
      <c r="X94" s="7">
        <f t="shared" si="55"/>
        <v>-800</v>
      </c>
      <c r="Y94" s="2"/>
      <c r="Z94" s="6">
        <f t="shared" si="56"/>
        <v>-6.7796610169491525E-2</v>
      </c>
    </row>
    <row r="95" spans="1:26" s="25" customFormat="1" outlineLevel="1" collapsed="1" x14ac:dyDescent="0.25">
      <c r="A95" s="26"/>
      <c r="B95" s="13" t="str">
        <f>CONCATENATE("     ","Repair and Maintenance                            ")</f>
        <v xml:space="preserve">     Repair and Maintenance                            </v>
      </c>
      <c r="C95" s="13"/>
      <c r="D95" s="1">
        <f>SUM(OSRRefD22_9x_0)</f>
        <v>15.84</v>
      </c>
      <c r="E95" s="1"/>
      <c r="F95" s="5">
        <f t="shared" si="49"/>
        <v>1.160794176682547E-3</v>
      </c>
      <c r="G95" s="1"/>
      <c r="H95" s="1">
        <f>SUM(OSRRefH22_9x_0)</f>
        <v>23.6</v>
      </c>
      <c r="I95" s="1"/>
      <c r="J95" s="5">
        <f t="shared" si="50"/>
        <v>3.7434552980678703E-4</v>
      </c>
      <c r="K95" s="1"/>
      <c r="L95" s="1">
        <f t="shared" si="51"/>
        <v>-7.7600000000000016</v>
      </c>
      <c r="M95" s="1"/>
      <c r="N95" s="5">
        <f t="shared" si="52"/>
        <v>-0.32881355932203393</v>
      </c>
      <c r="O95" s="13"/>
      <c r="P95" s="1">
        <f>SUM(OSRRefP22_9x_0)</f>
        <v>149.47</v>
      </c>
      <c r="Q95" s="1"/>
      <c r="R95" s="5">
        <f t="shared" si="53"/>
        <v>1.3640834571574992E-4</v>
      </c>
      <c r="S95" s="1"/>
      <c r="T95" s="1">
        <f>SUM(OSRRefT22_9x_0)</f>
        <v>143.16</v>
      </c>
      <c r="U95" s="1"/>
      <c r="V95" s="5">
        <f t="shared" si="54"/>
        <v>7.0270175522833345E-5</v>
      </c>
      <c r="W95" s="1"/>
      <c r="X95" s="1">
        <f t="shared" si="55"/>
        <v>6.3100000000000023</v>
      </c>
      <c r="Y95" s="1"/>
      <c r="Z95" s="5">
        <f t="shared" si="56"/>
        <v>4.4076557697680936E-2</v>
      </c>
    </row>
    <row r="96" spans="1:26" s="24" customFormat="1" hidden="1" outlineLevel="2" x14ac:dyDescent="0.25">
      <c r="A96" s="27"/>
      <c r="B96" s="11" t="str">
        <f>CONCATENATE("          ", "6373", " - ", "MAINTENANCE CONTRACTS")</f>
        <v xml:space="preserve">          6373 - MAINTENANCE CONTRACTS</v>
      </c>
      <c r="C96" s="11"/>
      <c r="D96" s="7">
        <v>15.84</v>
      </c>
      <c r="E96" s="2"/>
      <c r="F96" s="6">
        <f t="shared" si="49"/>
        <v>1.160794176682547E-3</v>
      </c>
      <c r="G96" s="2"/>
      <c r="H96" s="7">
        <v>23.6</v>
      </c>
      <c r="I96" s="2"/>
      <c r="J96" s="6">
        <f t="shared" si="50"/>
        <v>3.7434552980678703E-4</v>
      </c>
      <c r="K96" s="2"/>
      <c r="L96" s="7">
        <f t="shared" si="51"/>
        <v>-7.7600000000000016</v>
      </c>
      <c r="M96" s="2"/>
      <c r="N96" s="6">
        <f t="shared" si="52"/>
        <v>-0.32881355932203393</v>
      </c>
      <c r="O96" s="11"/>
      <c r="P96" s="7">
        <v>124.36</v>
      </c>
      <c r="Q96" s="2"/>
      <c r="R96" s="6">
        <f t="shared" si="53"/>
        <v>1.1349261974450163E-4</v>
      </c>
      <c r="S96" s="2"/>
      <c r="T96" s="7">
        <v>143.16</v>
      </c>
      <c r="U96" s="2"/>
      <c r="V96" s="6">
        <f t="shared" si="54"/>
        <v>7.0270175522833345E-5</v>
      </c>
      <c r="W96" s="2"/>
      <c r="X96" s="7">
        <f t="shared" si="55"/>
        <v>-18.799999999999997</v>
      </c>
      <c r="Y96" s="2"/>
      <c r="Z96" s="6">
        <f t="shared" si="56"/>
        <v>-0.13132159821179099</v>
      </c>
    </row>
    <row r="97" spans="1:26" s="24" customFormat="1" hidden="1" outlineLevel="2" x14ac:dyDescent="0.25">
      <c r="A97" s="27"/>
      <c r="B97" s="11" t="str">
        <f>CONCATENATE("          ", "6375", " - ", "OUTSIDE REPAIRS &amp; MAINTENANCE")</f>
        <v xml:space="preserve">          6375 - OUTSIDE REPAIRS &amp; MAINTENANCE</v>
      </c>
      <c r="C97" s="11"/>
      <c r="D97" s="7"/>
      <c r="E97" s="2"/>
      <c r="F97" s="6">
        <f t="shared" si="49"/>
        <v>0</v>
      </c>
      <c r="G97" s="2"/>
      <c r="H97" s="7"/>
      <c r="I97" s="2"/>
      <c r="J97" s="6">
        <f t="shared" si="50"/>
        <v>0</v>
      </c>
      <c r="K97" s="2"/>
      <c r="L97" s="7">
        <f t="shared" si="51"/>
        <v>0</v>
      </c>
      <c r="M97" s="2"/>
      <c r="N97" s="6">
        <f t="shared" si="52"/>
        <v>0</v>
      </c>
      <c r="O97" s="11"/>
      <c r="P97" s="7">
        <v>25.11</v>
      </c>
      <c r="Q97" s="2"/>
      <c r="R97" s="6">
        <f t="shared" si="53"/>
        <v>2.2915725971248279E-5</v>
      </c>
      <c r="S97" s="2"/>
      <c r="T97" s="7"/>
      <c r="U97" s="2"/>
      <c r="V97" s="6">
        <f t="shared" si="54"/>
        <v>0</v>
      </c>
      <c r="W97" s="2"/>
      <c r="X97" s="7">
        <f t="shared" si="55"/>
        <v>25.11</v>
      </c>
      <c r="Y97" s="2"/>
      <c r="Z97" s="6">
        <f t="shared" si="56"/>
        <v>0</v>
      </c>
    </row>
    <row r="98" spans="1:26" s="25" customFormat="1" outlineLevel="1" collapsed="1" x14ac:dyDescent="0.25">
      <c r="A98" s="26"/>
      <c r="B98" s="13" t="str">
        <f>CONCATENATE("     ","Subscriptions &amp; Dues                              ")</f>
        <v xml:space="preserve">     Subscriptions &amp; Dues                              </v>
      </c>
      <c r="C98" s="13"/>
      <c r="D98" s="1">
        <f>SUM(OSRRefD22_10x_0)</f>
        <v>141.16</v>
      </c>
      <c r="E98" s="1"/>
      <c r="F98" s="5">
        <f t="shared" ref="F98:F103" si="57">IF(D$12=0,0,D98/D$12)</f>
        <v>1.0344552145234111E-2</v>
      </c>
      <c r="G98" s="1"/>
      <c r="H98" s="1">
        <f>SUM(OSRRefH22_10x_0)</f>
        <v>250</v>
      </c>
      <c r="I98" s="1"/>
      <c r="J98" s="5">
        <f t="shared" ref="J98:J103" si="58">IF(H$12=0,0,H98/H$12)</f>
        <v>3.9655246801566417E-3</v>
      </c>
      <c r="K98" s="1"/>
      <c r="L98" s="1">
        <f t="shared" ref="L98:L103" si="59">+D98-H98</f>
        <v>-108.84</v>
      </c>
      <c r="M98" s="1"/>
      <c r="N98" s="5">
        <f t="shared" ref="N98:N103" si="60">IF(H98=0,0,L98/H98)</f>
        <v>-0.43536000000000002</v>
      </c>
      <c r="O98" s="13"/>
      <c r="P98" s="1">
        <f>SUM(OSRRefP22_10x_0)</f>
        <v>1731.44</v>
      </c>
      <c r="Q98" s="1"/>
      <c r="R98" s="5">
        <f t="shared" ref="R98:R103" si="61">IF(P$12=0,0,P98/P$12)</f>
        <v>1.5801355864459626E-3</v>
      </c>
      <c r="S98" s="1"/>
      <c r="T98" s="1">
        <f>SUM(OSRRefT22_10x_0)</f>
        <v>1557.4</v>
      </c>
      <c r="U98" s="1"/>
      <c r="V98" s="5">
        <f t="shared" ref="V98:V103" si="62">IF(T$12=0,0,T98/T$12)</f>
        <v>7.6445076389536641E-4</v>
      </c>
      <c r="W98" s="1"/>
      <c r="X98" s="1">
        <f t="shared" ref="X98:X103" si="63">+P98-T98</f>
        <v>174.03999999999996</v>
      </c>
      <c r="Y98" s="1"/>
      <c r="Z98" s="5">
        <f t="shared" ref="Z98:Z103" si="64">IF(T98=0,0,X98/T98)</f>
        <v>0.11175035315269036</v>
      </c>
    </row>
    <row r="99" spans="1:26" s="24" customFormat="1" hidden="1" outlineLevel="2" x14ac:dyDescent="0.25">
      <c r="A99" s="27"/>
      <c r="B99" s="11" t="str">
        <f>CONCATENATE("          ", "6258", " - ", "MEMBERSHIP DUES")</f>
        <v xml:space="preserve">          6258 - MEMBERSHIP DUES</v>
      </c>
      <c r="C99" s="11"/>
      <c r="D99" s="7">
        <v>141.16</v>
      </c>
      <c r="E99" s="2"/>
      <c r="F99" s="6">
        <f t="shared" si="57"/>
        <v>1.0344552145234111E-2</v>
      </c>
      <c r="G99" s="2"/>
      <c r="H99" s="7">
        <v>250</v>
      </c>
      <c r="I99" s="2"/>
      <c r="J99" s="6">
        <f t="shared" si="58"/>
        <v>3.9655246801566417E-3</v>
      </c>
      <c r="K99" s="2"/>
      <c r="L99" s="7">
        <f t="shared" si="59"/>
        <v>-108.84</v>
      </c>
      <c r="M99" s="2"/>
      <c r="N99" s="6">
        <f t="shared" si="60"/>
        <v>-0.43536000000000002</v>
      </c>
      <c r="O99" s="11"/>
      <c r="P99" s="7">
        <v>1731.44</v>
      </c>
      <c r="Q99" s="2"/>
      <c r="R99" s="6">
        <f t="shared" si="61"/>
        <v>1.5801355864459626E-3</v>
      </c>
      <c r="S99" s="2"/>
      <c r="T99" s="7">
        <v>1557.4</v>
      </c>
      <c r="U99" s="2"/>
      <c r="V99" s="6">
        <f t="shared" si="62"/>
        <v>7.6445076389536641E-4</v>
      </c>
      <c r="W99" s="2"/>
      <c r="X99" s="7">
        <f t="shared" si="63"/>
        <v>174.03999999999996</v>
      </c>
      <c r="Y99" s="2"/>
      <c r="Z99" s="6">
        <f t="shared" si="64"/>
        <v>0.11175035315269036</v>
      </c>
    </row>
    <row r="100" spans="1:26" s="25" customFormat="1" outlineLevel="1" collapsed="1" x14ac:dyDescent="0.25">
      <c r="A100" s="26"/>
      <c r="B100" s="13" t="str">
        <f>CONCATENATE("     ","Supplies                                          ")</f>
        <v xml:space="preserve">     Supplies                                          </v>
      </c>
      <c r="C100" s="13"/>
      <c r="D100" s="1">
        <f>SUM(OSRRefD22_11x_0)</f>
        <v>522.95000000000005</v>
      </c>
      <c r="E100" s="1"/>
      <c r="F100" s="5">
        <f t="shared" si="57"/>
        <v>3.8323062796473358E-2</v>
      </c>
      <c r="G100" s="1"/>
      <c r="H100" s="1">
        <f>SUM(OSRRefH22_11x_0)</f>
        <v>208.46</v>
      </c>
      <c r="I100" s="1"/>
      <c r="J100" s="5">
        <f t="shared" si="58"/>
        <v>3.3066130993018145E-3</v>
      </c>
      <c r="K100" s="1"/>
      <c r="L100" s="1">
        <f t="shared" si="59"/>
        <v>314.49</v>
      </c>
      <c r="M100" s="1"/>
      <c r="N100" s="5">
        <f t="shared" si="60"/>
        <v>1.5086347500719561</v>
      </c>
      <c r="O100" s="13"/>
      <c r="P100" s="1">
        <f>SUM(OSRRefP22_11x_0)</f>
        <v>2069.64</v>
      </c>
      <c r="Q100" s="1"/>
      <c r="R100" s="5">
        <f t="shared" si="61"/>
        <v>1.8887814854294815E-3</v>
      </c>
      <c r="S100" s="1"/>
      <c r="T100" s="1">
        <f>SUM(OSRRefT22_11x_0)</f>
        <v>9423.0499999999993</v>
      </c>
      <c r="U100" s="1"/>
      <c r="V100" s="5">
        <f t="shared" si="62"/>
        <v>4.6253099850547263E-3</v>
      </c>
      <c r="W100" s="1"/>
      <c r="X100" s="1">
        <f t="shared" si="63"/>
        <v>-7353.41</v>
      </c>
      <c r="Y100" s="1"/>
      <c r="Z100" s="5">
        <f t="shared" si="64"/>
        <v>-0.78036410716275517</v>
      </c>
    </row>
    <row r="101" spans="1:26" s="24" customFormat="1" hidden="1" outlineLevel="2" x14ac:dyDescent="0.25">
      <c r="A101" s="27"/>
      <c r="B101" s="11" t="str">
        <f>CONCATENATE("          ", "6241", " - ", "OFFICE EXPENSE")</f>
        <v xml:space="preserve">          6241 - OFFICE EXPENSE</v>
      </c>
      <c r="C101" s="11"/>
      <c r="D101" s="7">
        <v>210.77</v>
      </c>
      <c r="E101" s="2"/>
      <c r="F101" s="6">
        <f t="shared" si="57"/>
        <v>1.5445744231021493E-2</v>
      </c>
      <c r="G101" s="2"/>
      <c r="H101" s="7">
        <v>208.46</v>
      </c>
      <c r="I101" s="2"/>
      <c r="J101" s="6">
        <f t="shared" si="58"/>
        <v>3.3066130993018145E-3</v>
      </c>
      <c r="K101" s="2"/>
      <c r="L101" s="7">
        <f t="shared" si="59"/>
        <v>2.3100000000000023</v>
      </c>
      <c r="M101" s="2"/>
      <c r="N101" s="6">
        <f t="shared" si="60"/>
        <v>1.1081262592343865E-2</v>
      </c>
      <c r="O101" s="11"/>
      <c r="P101" s="7">
        <v>1124.3599999999999</v>
      </c>
      <c r="Q101" s="2"/>
      <c r="R101" s="6">
        <f t="shared" si="61"/>
        <v>1.0261061590216133E-3</v>
      </c>
      <c r="S101" s="2"/>
      <c r="T101" s="7">
        <v>3583.93</v>
      </c>
      <c r="U101" s="2"/>
      <c r="V101" s="6">
        <f t="shared" si="62"/>
        <v>1.7591742816537308E-3</v>
      </c>
      <c r="W101" s="2"/>
      <c r="X101" s="7">
        <f t="shared" si="63"/>
        <v>-2459.5699999999997</v>
      </c>
      <c r="Y101" s="2"/>
      <c r="Z101" s="6">
        <f t="shared" si="64"/>
        <v>-0.686277354747442</v>
      </c>
    </row>
    <row r="102" spans="1:26" s="24" customFormat="1" hidden="1" outlineLevel="2" x14ac:dyDescent="0.25">
      <c r="A102" s="27"/>
      <c r="B102" s="11" t="str">
        <f>CONCATENATE("          ", "6245", " - ", "PRINTING")</f>
        <v xml:space="preserve">          6245 - PRINTING</v>
      </c>
      <c r="C102" s="11"/>
      <c r="D102" s="7"/>
      <c r="E102" s="2"/>
      <c r="F102" s="6">
        <f t="shared" si="57"/>
        <v>0</v>
      </c>
      <c r="G102" s="2"/>
      <c r="H102" s="7"/>
      <c r="I102" s="2"/>
      <c r="J102" s="6">
        <f t="shared" si="58"/>
        <v>0</v>
      </c>
      <c r="K102" s="2"/>
      <c r="L102" s="7">
        <f t="shared" si="59"/>
        <v>0</v>
      </c>
      <c r="M102" s="2"/>
      <c r="N102" s="6">
        <f t="shared" si="60"/>
        <v>0</v>
      </c>
      <c r="O102" s="11"/>
      <c r="P102" s="7"/>
      <c r="Q102" s="2"/>
      <c r="R102" s="6">
        <f t="shared" si="61"/>
        <v>0</v>
      </c>
      <c r="S102" s="2"/>
      <c r="T102" s="7">
        <v>4978.08</v>
      </c>
      <c r="U102" s="2"/>
      <c r="V102" s="6">
        <f t="shared" si="62"/>
        <v>2.4434936809633011E-3</v>
      </c>
      <c r="W102" s="2"/>
      <c r="X102" s="7">
        <f t="shared" si="63"/>
        <v>-4978.08</v>
      </c>
      <c r="Y102" s="2"/>
      <c r="Z102" s="6">
        <f t="shared" si="64"/>
        <v>-1</v>
      </c>
    </row>
    <row r="103" spans="1:26" s="24" customFormat="1" hidden="1" outlineLevel="2" x14ac:dyDescent="0.25">
      <c r="A103" s="27"/>
      <c r="B103" s="11" t="str">
        <f>CONCATENATE("          ", "6247", " - ", "STORE SUPPLIES")</f>
        <v xml:space="preserve">          6247 - STORE SUPPLIES</v>
      </c>
      <c r="C103" s="11"/>
      <c r="D103" s="7">
        <v>312.18</v>
      </c>
      <c r="E103" s="2"/>
      <c r="F103" s="6">
        <f t="shared" si="57"/>
        <v>2.2877318565451863E-2</v>
      </c>
      <c r="G103" s="2"/>
      <c r="H103" s="7"/>
      <c r="I103" s="2"/>
      <c r="J103" s="6">
        <f t="shared" si="58"/>
        <v>0</v>
      </c>
      <c r="K103" s="2"/>
      <c r="L103" s="7">
        <f t="shared" si="59"/>
        <v>312.18</v>
      </c>
      <c r="M103" s="2"/>
      <c r="N103" s="6">
        <f t="shared" si="60"/>
        <v>0</v>
      </c>
      <c r="O103" s="11"/>
      <c r="P103" s="7">
        <v>945.28</v>
      </c>
      <c r="Q103" s="2"/>
      <c r="R103" s="6">
        <f t="shared" si="61"/>
        <v>8.6267532640786821E-4</v>
      </c>
      <c r="S103" s="2"/>
      <c r="T103" s="7">
        <v>861.04</v>
      </c>
      <c r="U103" s="2"/>
      <c r="V103" s="6">
        <f t="shared" si="62"/>
        <v>4.2264202243769502E-4</v>
      </c>
      <c r="W103" s="2"/>
      <c r="X103" s="7">
        <f t="shared" si="63"/>
        <v>84.240000000000009</v>
      </c>
      <c r="Y103" s="2"/>
      <c r="Z103" s="6">
        <f t="shared" si="64"/>
        <v>9.7835176066152579E-2</v>
      </c>
    </row>
    <row r="104" spans="1:26" s="25" customFormat="1" outlineLevel="1" collapsed="1" x14ac:dyDescent="0.25">
      <c r="A104" s="26"/>
      <c r="B104" s="13" t="str">
        <f>CONCATENATE("     ","Telephone/Data Lines                              ")</f>
        <v xml:space="preserve">     Telephone/Data Lines                              </v>
      </c>
      <c r="C104" s="13"/>
      <c r="D104" s="1">
        <f>SUM(OSRRefD22_12x_0)</f>
        <v>462</v>
      </c>
      <c r="E104" s="1"/>
      <c r="F104" s="5">
        <f t="shared" ref="F104:F106" si="65">IF(D$12=0,0,D104/D$12)</f>
        <v>3.3856496819907621E-2</v>
      </c>
      <c r="G104" s="1"/>
      <c r="H104" s="1">
        <f>SUM(OSRRefH22_12x_0)</f>
        <v>1065.45</v>
      </c>
      <c r="I104" s="1"/>
      <c r="J104" s="5">
        <f t="shared" ref="J104:J106" si="66">IF(H$12=0,0,H104/H$12)</f>
        <v>1.6900273081891577E-2</v>
      </c>
      <c r="K104" s="1"/>
      <c r="L104" s="1">
        <f t="shared" ref="L104:L106" si="67">+D104-H104</f>
        <v>-603.45000000000005</v>
      </c>
      <c r="M104" s="1"/>
      <c r="N104" s="5">
        <f t="shared" ref="N104:N106" si="68">IF(H104=0,0,L104/H104)</f>
        <v>-0.56638040264676903</v>
      </c>
      <c r="O104" s="13"/>
      <c r="P104" s="1">
        <f>SUM(OSRRefP22_12x_0)</f>
        <v>5042.5</v>
      </c>
      <c r="Q104" s="1"/>
      <c r="R104" s="5">
        <f t="shared" ref="R104:R106" si="69">IF(P$12=0,0,P104/P$12)</f>
        <v>4.6018537718048366E-3</v>
      </c>
      <c r="S104" s="1"/>
      <c r="T104" s="1">
        <f>SUM(OSRRefT22_12x_0)</f>
        <v>4934.04</v>
      </c>
      <c r="U104" s="1"/>
      <c r="V104" s="5">
        <f t="shared" ref="V104:V106" si="70">IF(T$12=0,0,T104/T$12)</f>
        <v>2.4218766194235865E-3</v>
      </c>
      <c r="W104" s="1"/>
      <c r="X104" s="1">
        <f t="shared" ref="X104:X106" si="71">+P104-T104</f>
        <v>108.46000000000004</v>
      </c>
      <c r="Y104" s="1"/>
      <c r="Z104" s="5">
        <f t="shared" ref="Z104:Z106" si="72">IF(T104=0,0,X104/T104)</f>
        <v>2.1981986364115417E-2</v>
      </c>
    </row>
    <row r="105" spans="1:26" s="24" customFormat="1" hidden="1" outlineLevel="2" x14ac:dyDescent="0.25">
      <c r="A105" s="27"/>
      <c r="B105" s="11" t="str">
        <f>CONCATENATE("          ", "6303", " - ", "DATA PHONE LINES")</f>
        <v xml:space="preserve">          6303 - DATA PHONE LINES</v>
      </c>
      <c r="C105" s="11"/>
      <c r="D105" s="7"/>
      <c r="E105" s="2"/>
      <c r="F105" s="6">
        <f t="shared" si="65"/>
        <v>0</v>
      </c>
      <c r="G105" s="2"/>
      <c r="H105" s="7">
        <v>295</v>
      </c>
      <c r="I105" s="2"/>
      <c r="J105" s="6">
        <f t="shared" si="66"/>
        <v>4.6793191225848376E-3</v>
      </c>
      <c r="K105" s="2"/>
      <c r="L105" s="7">
        <f t="shared" si="67"/>
        <v>-295</v>
      </c>
      <c r="M105" s="2"/>
      <c r="N105" s="6">
        <f t="shared" si="68"/>
        <v>-1</v>
      </c>
      <c r="O105" s="11"/>
      <c r="P105" s="7">
        <v>2065</v>
      </c>
      <c r="Q105" s="2"/>
      <c r="R105" s="6">
        <f t="shared" si="69"/>
        <v>1.8845469586072359E-3</v>
      </c>
      <c r="S105" s="2"/>
      <c r="T105" s="7">
        <v>1770</v>
      </c>
      <c r="U105" s="2"/>
      <c r="V105" s="6">
        <f t="shared" si="70"/>
        <v>8.6880560684140129E-4</v>
      </c>
      <c r="W105" s="2"/>
      <c r="X105" s="7">
        <f t="shared" si="71"/>
        <v>295</v>
      </c>
      <c r="Y105" s="2"/>
      <c r="Z105" s="6">
        <f t="shared" si="72"/>
        <v>0.16666666666666666</v>
      </c>
    </row>
    <row r="106" spans="1:26" s="24" customFormat="1" hidden="1" outlineLevel="2" x14ac:dyDescent="0.25">
      <c r="A106" s="27"/>
      <c r="B106" s="11" t="str">
        <f>CONCATENATE("          ", "6309", " - ", "TELEPHONE")</f>
        <v xml:space="preserve">          6309 - TELEPHONE</v>
      </c>
      <c r="C106" s="11"/>
      <c r="D106" s="7">
        <v>462</v>
      </c>
      <c r="E106" s="2"/>
      <c r="F106" s="6">
        <f t="shared" si="65"/>
        <v>3.3856496819907621E-2</v>
      </c>
      <c r="G106" s="2"/>
      <c r="H106" s="7">
        <v>770.45</v>
      </c>
      <c r="I106" s="2"/>
      <c r="J106" s="6">
        <f t="shared" si="66"/>
        <v>1.222095395930674E-2</v>
      </c>
      <c r="K106" s="2"/>
      <c r="L106" s="7">
        <f t="shared" si="67"/>
        <v>-308.45000000000005</v>
      </c>
      <c r="M106" s="2"/>
      <c r="N106" s="6">
        <f t="shared" si="68"/>
        <v>-0.40035044454539559</v>
      </c>
      <c r="O106" s="11"/>
      <c r="P106" s="7">
        <v>2977.5</v>
      </c>
      <c r="Q106" s="2"/>
      <c r="R106" s="6">
        <f t="shared" si="69"/>
        <v>2.7173068131976005E-3</v>
      </c>
      <c r="S106" s="2"/>
      <c r="T106" s="7">
        <v>3164.04</v>
      </c>
      <c r="U106" s="2"/>
      <c r="V106" s="6">
        <f t="shared" si="70"/>
        <v>1.5530710125821849E-3</v>
      </c>
      <c r="W106" s="2"/>
      <c r="X106" s="7">
        <f t="shared" si="71"/>
        <v>-186.53999999999996</v>
      </c>
      <c r="Y106" s="2"/>
      <c r="Z106" s="6">
        <f t="shared" si="72"/>
        <v>-5.8956271096446307E-2</v>
      </c>
    </row>
    <row r="107" spans="1:26" s="25" customFormat="1" outlineLevel="1" collapsed="1" x14ac:dyDescent="0.25">
      <c r="A107" s="26"/>
      <c r="B107" s="13" t="str">
        <f>CONCATENATE("     ","Training                                          ")</f>
        <v xml:space="preserve">     Training                                          </v>
      </c>
      <c r="C107" s="13"/>
      <c r="D107" s="1">
        <f>SUM(OSRRefD22_13x_0)</f>
        <v>0</v>
      </c>
      <c r="E107" s="1"/>
      <c r="F107" s="5">
        <f t="shared" ref="F107:F110" si="73">IF(D$12=0,0,D107/D$12)</f>
        <v>0</v>
      </c>
      <c r="G107" s="1"/>
      <c r="H107" s="1">
        <f>SUM(OSRRefH22_13x_0)</f>
        <v>0</v>
      </c>
      <c r="I107" s="1"/>
      <c r="J107" s="5">
        <f t="shared" ref="J107:J110" si="74">IF(H$12=0,0,H107/H$12)</f>
        <v>0</v>
      </c>
      <c r="K107" s="1"/>
      <c r="L107" s="1">
        <f t="shared" ref="L107:L110" si="75">+D107-H107</f>
        <v>0</v>
      </c>
      <c r="M107" s="1"/>
      <c r="N107" s="5">
        <f t="shared" ref="N107:N110" si="76">IF(H107=0,0,L107/H107)</f>
        <v>0</v>
      </c>
      <c r="O107" s="13"/>
      <c r="P107" s="1">
        <f>SUM(OSRRefP22_13x_0)</f>
        <v>0</v>
      </c>
      <c r="Q107" s="1"/>
      <c r="R107" s="5">
        <f t="shared" ref="R107:R110" si="77">IF(P$12=0,0,P107/P$12)</f>
        <v>0</v>
      </c>
      <c r="S107" s="1"/>
      <c r="T107" s="1">
        <f>SUM(OSRRefT22_13x_0)</f>
        <v>547.47</v>
      </c>
      <c r="U107" s="1"/>
      <c r="V107" s="5">
        <f t="shared" ref="V107:V110" si="78">IF(T$12=0,0,T107/T$12)</f>
        <v>2.6872599185167348E-4</v>
      </c>
      <c r="W107" s="1"/>
      <c r="X107" s="1">
        <f t="shared" ref="X107:X110" si="79">+P107-T107</f>
        <v>-547.47</v>
      </c>
      <c r="Y107" s="1"/>
      <c r="Z107" s="5">
        <f t="shared" ref="Z107:Z110" si="80">IF(T107=0,0,X107/T107)</f>
        <v>-1</v>
      </c>
    </row>
    <row r="108" spans="1:26" s="24" customFormat="1" hidden="1" outlineLevel="2" x14ac:dyDescent="0.25">
      <c r="A108" s="27"/>
      <c r="B108" s="11" t="str">
        <f>CONCATENATE("          ", "6376", " - ", "TRAINING")</f>
        <v xml:space="preserve">          6376 - TRAINING</v>
      </c>
      <c r="C108" s="11"/>
      <c r="D108" s="7"/>
      <c r="E108" s="2"/>
      <c r="F108" s="6">
        <f t="shared" si="73"/>
        <v>0</v>
      </c>
      <c r="G108" s="2"/>
      <c r="H108" s="7"/>
      <c r="I108" s="2"/>
      <c r="J108" s="6">
        <f t="shared" si="74"/>
        <v>0</v>
      </c>
      <c r="K108" s="2"/>
      <c r="L108" s="7">
        <f t="shared" si="75"/>
        <v>0</v>
      </c>
      <c r="M108" s="2"/>
      <c r="N108" s="6">
        <f t="shared" si="76"/>
        <v>0</v>
      </c>
      <c r="O108" s="11"/>
      <c r="P108" s="7"/>
      <c r="Q108" s="2"/>
      <c r="R108" s="6">
        <f t="shared" si="77"/>
        <v>0</v>
      </c>
      <c r="S108" s="2"/>
      <c r="T108" s="7">
        <v>547.47</v>
      </c>
      <c r="U108" s="2"/>
      <c r="V108" s="6">
        <f t="shared" si="78"/>
        <v>2.6872599185167348E-4</v>
      </c>
      <c r="W108" s="2"/>
      <c r="X108" s="7">
        <f t="shared" si="79"/>
        <v>-547.47</v>
      </c>
      <c r="Y108" s="2"/>
      <c r="Z108" s="6">
        <f t="shared" si="80"/>
        <v>-1</v>
      </c>
    </row>
    <row r="109" spans="1:26" s="25" customFormat="1" outlineLevel="1" collapsed="1" x14ac:dyDescent="0.25">
      <c r="A109" s="26"/>
      <c r="B109" s="13" t="str">
        <f>CONCATENATE("     ","Travel                                            ")</f>
        <v xml:space="preserve">     Travel                                            </v>
      </c>
      <c r="C109" s="13"/>
      <c r="D109" s="1">
        <f>SUM(OSRRefD22_14x_0)</f>
        <v>0</v>
      </c>
      <c r="E109" s="1"/>
      <c r="F109" s="5">
        <f t="shared" si="73"/>
        <v>0</v>
      </c>
      <c r="G109" s="1"/>
      <c r="H109" s="1">
        <f>SUM(OSRRefH22_14x_0)</f>
        <v>0</v>
      </c>
      <c r="I109" s="1"/>
      <c r="J109" s="5">
        <f t="shared" si="74"/>
        <v>0</v>
      </c>
      <c r="K109" s="1"/>
      <c r="L109" s="1">
        <f t="shared" si="75"/>
        <v>0</v>
      </c>
      <c r="M109" s="1"/>
      <c r="N109" s="5">
        <f t="shared" si="76"/>
        <v>0</v>
      </c>
      <c r="O109" s="13"/>
      <c r="P109" s="1">
        <f>SUM(OSRRefP22_14x_0)</f>
        <v>0.16</v>
      </c>
      <c r="Q109" s="1"/>
      <c r="R109" s="5">
        <f t="shared" si="77"/>
        <v>1.4601816628433789E-7</v>
      </c>
      <c r="S109" s="1"/>
      <c r="T109" s="1">
        <f>SUM(OSRRefT22_14x_0)</f>
        <v>83.93</v>
      </c>
      <c r="U109" s="1"/>
      <c r="V109" s="5">
        <f t="shared" si="78"/>
        <v>4.1197092984293116E-5</v>
      </c>
      <c r="W109" s="1"/>
      <c r="X109" s="1">
        <f t="shared" si="79"/>
        <v>-83.77000000000001</v>
      </c>
      <c r="Y109" s="1"/>
      <c r="Z109" s="5">
        <f t="shared" si="80"/>
        <v>-0.99809364946979628</v>
      </c>
    </row>
    <row r="110" spans="1:26" s="24" customFormat="1" hidden="1" outlineLevel="2" x14ac:dyDescent="0.25">
      <c r="A110" s="27"/>
      <c r="B110" s="11" t="str">
        <f>CONCATENATE("          ", "6292", " - ", "TRAVEL/CONFERENCE")</f>
        <v xml:space="preserve">          6292 - TRAVEL/CONFERENCE</v>
      </c>
      <c r="C110" s="11"/>
      <c r="D110" s="7"/>
      <c r="E110" s="2"/>
      <c r="F110" s="6">
        <f t="shared" si="73"/>
        <v>0</v>
      </c>
      <c r="G110" s="2"/>
      <c r="H110" s="7"/>
      <c r="I110" s="2"/>
      <c r="J110" s="6">
        <f t="shared" si="74"/>
        <v>0</v>
      </c>
      <c r="K110" s="2"/>
      <c r="L110" s="7">
        <f t="shared" si="75"/>
        <v>0</v>
      </c>
      <c r="M110" s="2"/>
      <c r="N110" s="6">
        <f t="shared" si="76"/>
        <v>0</v>
      </c>
      <c r="O110" s="11"/>
      <c r="P110" s="7">
        <v>0.16</v>
      </c>
      <c r="Q110" s="2"/>
      <c r="R110" s="6">
        <f t="shared" si="77"/>
        <v>1.4601816628433789E-7</v>
      </c>
      <c r="S110" s="2"/>
      <c r="T110" s="7">
        <v>83.93</v>
      </c>
      <c r="U110" s="2"/>
      <c r="V110" s="6">
        <f t="shared" si="78"/>
        <v>4.1197092984293116E-5</v>
      </c>
      <c r="W110" s="2"/>
      <c r="X110" s="7">
        <f t="shared" si="79"/>
        <v>-83.77000000000001</v>
      </c>
      <c r="Y110" s="2"/>
      <c r="Z110" s="6">
        <f t="shared" si="80"/>
        <v>-0.99809364946979628</v>
      </c>
    </row>
    <row r="111" spans="1:26" s="55" customFormat="1" x14ac:dyDescent="0.25">
      <c r="A111" s="37"/>
      <c r="B111" s="37"/>
      <c r="C111" s="37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7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3" customFormat="1" collapsed="1" x14ac:dyDescent="0.25">
      <c r="A112" s="10"/>
      <c r="B112" s="29" t="s">
        <v>0</v>
      </c>
      <c r="C112" s="10"/>
      <c r="D112" s="4">
        <f>SUM(OSRRefD25x_0)</f>
        <v>11680.240000000002</v>
      </c>
      <c r="E112" s="4"/>
      <c r="F112" s="12">
        <f t="shared" ref="F112:F115" si="81">IF(D$12=0,0,D112/D$12)</f>
        <v>0.85595672817263602</v>
      </c>
      <c r="G112" s="4"/>
      <c r="H112" s="4">
        <f>SUM(OSRRefH25x_0)</f>
        <v>3606.87</v>
      </c>
      <c r="I112" s="4"/>
      <c r="J112" s="12">
        <f t="shared" ref="J112:J115" si="82">IF(H$12=0,0,H112/H$12)</f>
        <v>5.7212528012466346E-2</v>
      </c>
      <c r="K112" s="4"/>
      <c r="L112" s="4">
        <f t="shared" ref="L112:L115" si="83">+D112-H112</f>
        <v>8073.3700000000017</v>
      </c>
      <c r="M112" s="4"/>
      <c r="N112" s="12">
        <f t="shared" ref="N112:N115" si="84">IF(H112=0,0,L112/H112)</f>
        <v>2.2383312955554269</v>
      </c>
      <c r="O112" s="10"/>
      <c r="P112" s="4">
        <f>SUM(OSRRefP25x_0)</f>
        <v>173765.81</v>
      </c>
      <c r="Q112" s="4"/>
      <c r="R112" s="12">
        <f t="shared" ref="R112:R115" si="85">IF(P$12=0,0,P112/P$12)</f>
        <v>0.15858103086945416</v>
      </c>
      <c r="S112" s="4"/>
      <c r="T112" s="4">
        <f>SUM(OSRRefT25x_0)</f>
        <v>146048.81</v>
      </c>
      <c r="U112" s="4"/>
      <c r="V112" s="12">
        <f t="shared" ref="V112:V115" si="86">IF(T$12=0,0,T112/T$12)</f>
        <v>7.1688149717804808E-2</v>
      </c>
      <c r="W112" s="4"/>
      <c r="X112" s="4">
        <f t="shared" ref="X112:X115" si="87">+P112-T112</f>
        <v>27717</v>
      </c>
      <c r="Y112" s="4"/>
      <c r="Z112" s="12">
        <f t="shared" ref="Z112:Z115" si="88">IF(T112=0,0,X112/T112)</f>
        <v>0.18977901976743256</v>
      </c>
    </row>
    <row r="113" spans="1:26" s="24" customFormat="1" hidden="1" outlineLevel="1" x14ac:dyDescent="0.25">
      <c r="A113" s="44"/>
      <c r="B113" s="11" t="str">
        <f>CONCATENATE("          ", "9150", " - ", "MISC. INCOME")</f>
        <v xml:space="preserve">          9150 - MISC. INCOME</v>
      </c>
      <c r="C113" s="11"/>
      <c r="D113" s="2">
        <f>--11200.54</f>
        <v>11200.54</v>
      </c>
      <c r="E113" s="2"/>
      <c r="F113" s="19">
        <f t="shared" si="81"/>
        <v>0.82080313179923836</v>
      </c>
      <c r="G113" s="2"/>
      <c r="H113" s="2">
        <f>--224.43</f>
        <v>224.43</v>
      </c>
      <c r="I113" s="2"/>
      <c r="J113" s="19">
        <f t="shared" si="82"/>
        <v>3.5599308158702206E-3</v>
      </c>
      <c r="K113" s="2"/>
      <c r="L113" s="2">
        <f t="shared" si="83"/>
        <v>10976.11</v>
      </c>
      <c r="M113" s="2"/>
      <c r="N113" s="19">
        <f t="shared" si="84"/>
        <v>48.906607851000309</v>
      </c>
      <c r="O113" s="11"/>
      <c r="P113" s="2">
        <f>--23394.49</f>
        <v>23394.49</v>
      </c>
      <c r="Q113" s="2"/>
      <c r="R113" s="19">
        <f t="shared" si="85"/>
        <v>2.1350128318483E-2</v>
      </c>
      <c r="S113" s="2"/>
      <c r="T113" s="2">
        <f>--54141.85</f>
        <v>54141.85</v>
      </c>
      <c r="U113" s="2"/>
      <c r="V113" s="19">
        <f t="shared" si="86"/>
        <v>2.6575560929246397E-2</v>
      </c>
      <c r="W113" s="2"/>
      <c r="X113" s="2">
        <f t="shared" si="87"/>
        <v>-30747.359999999997</v>
      </c>
      <c r="Y113" s="2"/>
      <c r="Z113" s="19">
        <f t="shared" si="88"/>
        <v>-0.56790375652106451</v>
      </c>
    </row>
    <row r="114" spans="1:26" s="24" customFormat="1" hidden="1" outlineLevel="1" x14ac:dyDescent="0.25">
      <c r="A114" s="44"/>
      <c r="B114" s="11" t="str">
        <f>CONCATENATE("          ", "9151", " - ", "MISC. INCOME")</f>
        <v xml:space="preserve">          9151 - MISC. INCOME</v>
      </c>
      <c r="C114" s="11"/>
      <c r="D114" s="2">
        <f>0</f>
        <v>0</v>
      </c>
      <c r="E114" s="2"/>
      <c r="F114" s="19">
        <f t="shared" si="81"/>
        <v>0</v>
      </c>
      <c r="G114" s="2"/>
      <c r="H114" s="2">
        <f>0</f>
        <v>0</v>
      </c>
      <c r="I114" s="2"/>
      <c r="J114" s="19">
        <f t="shared" si="82"/>
        <v>0</v>
      </c>
      <c r="K114" s="2"/>
      <c r="L114" s="2">
        <f t="shared" si="83"/>
        <v>0</v>
      </c>
      <c r="M114" s="2"/>
      <c r="N114" s="19">
        <f t="shared" si="84"/>
        <v>0</v>
      </c>
      <c r="O114" s="11"/>
      <c r="P114" s="2">
        <f>--147285.39</f>
        <v>147285.39000000001</v>
      </c>
      <c r="Q114" s="2"/>
      <c r="R114" s="19">
        <f t="shared" si="85"/>
        <v>0.13441464105170975</v>
      </c>
      <c r="S114" s="2"/>
      <c r="T114" s="2">
        <f>--87676.2</f>
        <v>87676.2</v>
      </c>
      <c r="U114" s="2"/>
      <c r="V114" s="19">
        <f t="shared" si="86"/>
        <v>4.3035917596919812E-2</v>
      </c>
      <c r="W114" s="2"/>
      <c r="X114" s="2">
        <f t="shared" si="87"/>
        <v>59609.190000000017</v>
      </c>
      <c r="Y114" s="2"/>
      <c r="Z114" s="19">
        <f t="shared" si="88"/>
        <v>0.67987880405400802</v>
      </c>
    </row>
    <row r="115" spans="1:26" s="24" customFormat="1" hidden="1" outlineLevel="1" x14ac:dyDescent="0.25">
      <c r="A115" s="44"/>
      <c r="B115" s="11" t="str">
        <f>CONCATENATE("          ", "9152", " - ", "MISC. INCOME")</f>
        <v xml:space="preserve">          9152 - MISC. INCOME</v>
      </c>
      <c r="C115" s="11"/>
      <c r="D115" s="2">
        <f>--479.7</f>
        <v>479.7</v>
      </c>
      <c r="E115" s="2"/>
      <c r="F115" s="19">
        <f t="shared" si="81"/>
        <v>3.5153596373397586E-2</v>
      </c>
      <c r="G115" s="2"/>
      <c r="H115" s="2">
        <f>--3382.44</f>
        <v>3382.44</v>
      </c>
      <c r="I115" s="2"/>
      <c r="J115" s="19">
        <f t="shared" si="82"/>
        <v>5.3652597196596125E-2</v>
      </c>
      <c r="K115" s="2"/>
      <c r="L115" s="2">
        <f t="shared" si="83"/>
        <v>-2902.7400000000002</v>
      </c>
      <c r="M115" s="2"/>
      <c r="N115" s="19">
        <f t="shared" si="84"/>
        <v>-0.85817930251534402</v>
      </c>
      <c r="O115" s="11"/>
      <c r="P115" s="2">
        <f>--3085.93</f>
        <v>3085.93</v>
      </c>
      <c r="Q115" s="2"/>
      <c r="R115" s="19">
        <f t="shared" si="85"/>
        <v>2.8162614992614174E-3</v>
      </c>
      <c r="S115" s="2"/>
      <c r="T115" s="2">
        <f>--4230.76</f>
        <v>4230.76</v>
      </c>
      <c r="U115" s="2"/>
      <c r="V115" s="19">
        <f t="shared" si="86"/>
        <v>2.076671191638603E-3</v>
      </c>
      <c r="W115" s="2"/>
      <c r="X115" s="2">
        <f t="shared" si="87"/>
        <v>-1144.8300000000004</v>
      </c>
      <c r="Y115" s="2"/>
      <c r="Z115" s="19">
        <f t="shared" si="88"/>
        <v>-0.27059677221113942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10"/>
      <c r="B117" s="28" t="s">
        <v>3</v>
      </c>
      <c r="C117" s="28"/>
      <c r="D117" s="20">
        <f>+D59-D61+D112</f>
        <v>-36465.069999999978</v>
      </c>
      <c r="E117" s="14"/>
      <c r="F117" s="21">
        <f>IF(D$12=0,0,D117/D$12)</f>
        <v>-2.6722500573435237</v>
      </c>
      <c r="G117" s="14"/>
      <c r="H117" s="20">
        <f>+H59-H61+H112</f>
        <v>-26330.290000000034</v>
      </c>
      <c r="I117" s="14"/>
      <c r="J117" s="21">
        <f>IF(H$12=0,0,H117/H$12)</f>
        <v>-0.41765365932272702</v>
      </c>
      <c r="K117" s="15"/>
      <c r="L117" s="20">
        <f>+D117-H117</f>
        <v>-10134.779999999944</v>
      </c>
      <c r="M117" s="15"/>
      <c r="N117" s="21">
        <f>IF(H117=0,0,L117/H117)</f>
        <v>0.38490954714133158</v>
      </c>
      <c r="O117" s="29"/>
      <c r="P117" s="20">
        <f>+P59-P61+P112</f>
        <v>225718.37000000011</v>
      </c>
      <c r="Q117" s="14"/>
      <c r="R117" s="21">
        <f>IF(P$12=0,0,P117/P$12)</f>
        <v>0.20599364052556077</v>
      </c>
      <c r="S117" s="14"/>
      <c r="T117" s="20">
        <f>+T59-T61+T112</f>
        <v>442337.30000000028</v>
      </c>
      <c r="U117" s="14"/>
      <c r="V117" s="21">
        <f>IF(T$12=0,0,T117/T$12)</f>
        <v>0.21712154031360861</v>
      </c>
      <c r="W117" s="15"/>
      <c r="X117" s="20">
        <f>+P117-T117</f>
        <v>-216618.93000000017</v>
      </c>
      <c r="Y117" s="15"/>
      <c r="Z117" s="21">
        <f>IF(T117=0,0,X117/T117)</f>
        <v>-0.48971436503319987</v>
      </c>
    </row>
    <row r="118" spans="1:26" x14ac:dyDescent="0.25">
      <c r="A118" s="9"/>
      <c r="B118" s="10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51"/>
      <c r="B119" s="10" t="s">
        <v>13</v>
      </c>
      <c r="C119" s="10"/>
      <c r="D119" s="4">
        <v>25054.06</v>
      </c>
      <c r="E119" s="4"/>
      <c r="F119" s="12">
        <f>IF(D$12=0,0,D119/D$12)</f>
        <v>1.8360231660514605</v>
      </c>
      <c r="G119" s="4"/>
      <c r="H119" s="4">
        <v>10983.62</v>
      </c>
      <c r="I119" s="4"/>
      <c r="J119" s="12">
        <f>IF(H$12=0,0,H119/H$12)</f>
        <v>0.17422326474984839</v>
      </c>
      <c r="K119" s="4"/>
      <c r="L119" s="4">
        <f>+D119-H119</f>
        <v>14070.44</v>
      </c>
      <c r="M119" s="4"/>
      <c r="N119" s="12">
        <f>IF(H119=0,0,L119/H119)</f>
        <v>1.2810384918633382</v>
      </c>
      <c r="O119" s="10"/>
      <c r="P119" s="4">
        <v>197001.08000000002</v>
      </c>
      <c r="Q119" s="4"/>
      <c r="R119" s="12">
        <f>IF(P$12=0,0,P119/P$12)</f>
        <v>0.17978585286021348</v>
      </c>
      <c r="S119" s="4"/>
      <c r="T119" s="4">
        <v>220041.88999999998</v>
      </c>
      <c r="U119" s="4"/>
      <c r="V119" s="12">
        <f>IF(T$12=0,0,T119/T$12)</f>
        <v>0.10800769930620276</v>
      </c>
      <c r="W119" s="4"/>
      <c r="X119" s="4">
        <f>+P119-T119</f>
        <v>-23040.809999999969</v>
      </c>
      <c r="Y119" s="4"/>
      <c r="Z119" s="12">
        <f>IF(T119=0,0,X119/T119)</f>
        <v>-0.1047110166159724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8" t="s">
        <v>4</v>
      </c>
      <c r="C121" s="28"/>
      <c r="D121" s="33">
        <f>+D117-D119</f>
        <v>-61519.129999999976</v>
      </c>
      <c r="E121" s="14"/>
      <c r="F121" s="34">
        <f>IF(D$12=0,0,D121/D$12)</f>
        <v>-4.5082732233949843</v>
      </c>
      <c r="G121" s="14"/>
      <c r="H121" s="33">
        <f>+H117-H119</f>
        <v>-37313.910000000033</v>
      </c>
      <c r="I121" s="14"/>
      <c r="J121" s="34">
        <f>IF(H$12=0,0,H121/H$12)</f>
        <v>-0.59187692407257542</v>
      </c>
      <c r="K121" s="15"/>
      <c r="L121" s="33">
        <f>D121-H121</f>
        <v>-24205.219999999943</v>
      </c>
      <c r="M121" s="15"/>
      <c r="N121" s="34">
        <f>IF(H121=0,0,L121/H121)</f>
        <v>0.6486916005318103</v>
      </c>
      <c r="O121" s="29"/>
      <c r="P121" s="33">
        <f>+P117-P119</f>
        <v>28717.290000000095</v>
      </c>
      <c r="Q121" s="14"/>
      <c r="R121" s="34">
        <f>IF(P$12=0,0,P121/P$12)</f>
        <v>2.6207787665347298E-2</v>
      </c>
      <c r="S121" s="14"/>
      <c r="T121" s="33">
        <f>+T117-T119</f>
        <v>222295.41000000029</v>
      </c>
      <c r="U121" s="14"/>
      <c r="V121" s="34">
        <f>IF(T$12=0,0,T121/T$12)</f>
        <v>0.10911384100740586</v>
      </c>
      <c r="W121" s="15"/>
      <c r="X121" s="33">
        <f>P121-T121</f>
        <v>-193578.1200000002</v>
      </c>
      <c r="Y121" s="15"/>
      <c r="Z121" s="34">
        <f>IF(T121=0,0,X121/T121)</f>
        <v>-0.87081474151895422</v>
      </c>
    </row>
    <row r="122" spans="1:26" ht="15.75" thickTop="1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8" t="s">
        <v>5</v>
      </c>
      <c r="C124" s="28"/>
      <c r="D124" s="30">
        <f>SUM(D121:D123)</f>
        <v>-61519.129999999976</v>
      </c>
      <c r="E124" s="14"/>
      <c r="F124" s="32">
        <f>IF(D$12=0,0,D124/D$12)</f>
        <v>-4.5082732233949843</v>
      </c>
      <c r="G124" s="14"/>
      <c r="H124" s="30">
        <f>SUM(H121:H123)</f>
        <v>-37313.910000000033</v>
      </c>
      <c r="I124" s="14"/>
      <c r="J124" s="32">
        <f>IF(H$12=0,0,H124/H$12)</f>
        <v>-0.59187692407257542</v>
      </c>
      <c r="K124" s="15"/>
      <c r="L124" s="30">
        <f>+D124-H124</f>
        <v>-24205.219999999943</v>
      </c>
      <c r="M124" s="15"/>
      <c r="N124" s="32">
        <f>IF(H124=0,0,L124/H124)</f>
        <v>0.6486916005318103</v>
      </c>
      <c r="O124" s="29"/>
      <c r="P124" s="30">
        <f>SUM(P121:P123)</f>
        <v>28717.290000000095</v>
      </c>
      <c r="Q124" s="14"/>
      <c r="R124" s="32">
        <f>IF(P$12=0,0,P124/P$12)</f>
        <v>2.6207787665347298E-2</v>
      </c>
      <c r="S124" s="14"/>
      <c r="T124" s="30">
        <f>SUM(T121:T123)</f>
        <v>222295.41000000029</v>
      </c>
      <c r="U124" s="14"/>
      <c r="V124" s="32">
        <f>IF(T$12=0,0,T124/T$12)</f>
        <v>0.10911384100740586</v>
      </c>
      <c r="W124" s="15"/>
      <c r="X124" s="30">
        <f>+P124-T124</f>
        <v>-193578.1200000002</v>
      </c>
      <c r="Y124" s="15"/>
      <c r="Z124" s="32">
        <f>IF(T124=0,0,X124/T124)</f>
        <v>-0.87081474151895422</v>
      </c>
    </row>
    <row r="125" spans="1:26" ht="15.75" thickTop="1" x14ac:dyDescent="0.25">
      <c r="A125" s="9"/>
      <c r="C125" s="9"/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  <row r="126" spans="1:26" x14ac:dyDescent="0.25">
      <c r="A126" s="9"/>
      <c r="B126" s="58">
        <v>44209.5217647338</v>
      </c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  <row r="127" spans="1:26" x14ac:dyDescent="0.25">
      <c r="A127" s="9"/>
      <c r="B127" s="61" t="s">
        <v>313</v>
      </c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  <row r="128" spans="1:26" x14ac:dyDescent="0.25">
      <c r="A128" s="9"/>
      <c r="B128" s="57"/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  <row r="129" spans="4:24" x14ac:dyDescent="0.25"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","324", " - ", "Textbook Rental")</f>
        <v>Department 324 - Textbook Rental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4076.46</v>
      </c>
      <c r="E12" s="4"/>
      <c r="F12" s="12"/>
      <c r="G12" s="4"/>
      <c r="H12" s="4">
        <f>SUM(OSRRefH13x_0)</f>
        <v>155.16999999999996</v>
      </c>
      <c r="I12" s="4"/>
      <c r="J12" s="12"/>
      <c r="K12" s="4"/>
      <c r="L12" s="4">
        <f t="shared" ref="L12:L15" si="0">+D12-H12</f>
        <v>3921.29</v>
      </c>
      <c r="M12" s="4"/>
      <c r="N12" s="12">
        <f t="shared" ref="N12:N15" si="1">IF(H12=0,0,L12/H12)</f>
        <v>25.270928658890256</v>
      </c>
      <c r="O12" s="10"/>
      <c r="P12" s="4">
        <f>SUM(OSRRefP13x_0)</f>
        <v>476198.40000000002</v>
      </c>
      <c r="Q12" s="4"/>
      <c r="R12" s="12"/>
      <c r="S12" s="4"/>
      <c r="T12" s="4">
        <f>SUM(OSRRefT13x_0)</f>
        <v>902974.25</v>
      </c>
      <c r="U12" s="4"/>
      <c r="V12" s="12"/>
      <c r="W12" s="4"/>
      <c r="X12" s="4">
        <f t="shared" ref="X12:X15" si="2">+P12-T12</f>
        <v>-426775.85</v>
      </c>
      <c r="Y12" s="4"/>
      <c r="Z12" s="12">
        <f t="shared" ref="Z12:Z15" si="3">IF(T12=0,0,X12/T12)</f>
        <v>-0.4726334665689525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--3109.21</f>
        <v>3109.21</v>
      </c>
      <c r="E13" s="2"/>
      <c r="F13" s="19"/>
      <c r="G13" s="2"/>
      <c r="H13" s="2">
        <f>-535.1</f>
        <v>-535.1</v>
      </c>
      <c r="I13" s="2"/>
      <c r="J13" s="19"/>
      <c r="K13" s="2"/>
      <c r="L13" s="2">
        <f t="shared" si="0"/>
        <v>3644.31</v>
      </c>
      <c r="M13" s="2"/>
      <c r="N13" s="19">
        <f t="shared" si="1"/>
        <v>-6.8105213978695565</v>
      </c>
      <c r="O13" s="11"/>
      <c r="P13" s="2">
        <f>--175819.22</f>
        <v>175819.22</v>
      </c>
      <c r="Q13" s="2"/>
      <c r="R13" s="19"/>
      <c r="S13" s="2"/>
      <c r="T13" s="2">
        <f>--256483.61</f>
        <v>256483.61</v>
      </c>
      <c r="U13" s="2"/>
      <c r="V13" s="19"/>
      <c r="W13" s="2"/>
      <c r="X13" s="2">
        <f t="shared" si="2"/>
        <v>-80664.389999999985</v>
      </c>
      <c r="Y13" s="2"/>
      <c r="Z13" s="19">
        <f t="shared" si="3"/>
        <v>-0.31450114882584501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--1193</f>
        <v>1193</v>
      </c>
      <c r="E14" s="2"/>
      <c r="F14" s="19"/>
      <c r="G14" s="2"/>
      <c r="H14" s="2">
        <f>--602.28</f>
        <v>602.28</v>
      </c>
      <c r="I14" s="2"/>
      <c r="J14" s="19"/>
      <c r="K14" s="2"/>
      <c r="L14" s="2">
        <f t="shared" si="0"/>
        <v>590.72</v>
      </c>
      <c r="M14" s="2"/>
      <c r="N14" s="19">
        <f t="shared" si="1"/>
        <v>0.98080626950919847</v>
      </c>
      <c r="O14" s="11"/>
      <c r="P14" s="2">
        <f>--134791.51</f>
        <v>134791.51</v>
      </c>
      <c r="Q14" s="2"/>
      <c r="R14" s="19"/>
      <c r="S14" s="2"/>
      <c r="T14" s="2">
        <f>--310562.09</f>
        <v>310562.09000000003</v>
      </c>
      <c r="U14" s="2"/>
      <c r="V14" s="19"/>
      <c r="W14" s="2"/>
      <c r="X14" s="2">
        <f t="shared" si="2"/>
        <v>-175770.58000000002</v>
      </c>
      <c r="Y14" s="2"/>
      <c r="Z14" s="19">
        <f t="shared" si="3"/>
        <v>-0.56597564757501473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-225.75</f>
        <v>-225.75</v>
      </c>
      <c r="E15" s="2"/>
      <c r="F15" s="19"/>
      <c r="G15" s="2"/>
      <c r="H15" s="2">
        <f>--87.99</f>
        <v>87.99</v>
      </c>
      <c r="I15" s="2"/>
      <c r="J15" s="19"/>
      <c r="K15" s="2"/>
      <c r="L15" s="2">
        <f t="shared" si="0"/>
        <v>-313.74</v>
      </c>
      <c r="M15" s="2"/>
      <c r="N15" s="19">
        <f t="shared" si="1"/>
        <v>-3.5656324582338907</v>
      </c>
      <c r="O15" s="11"/>
      <c r="P15" s="2">
        <f>--165587.67</f>
        <v>165587.67000000001</v>
      </c>
      <c r="Q15" s="2"/>
      <c r="R15" s="19"/>
      <c r="S15" s="2"/>
      <c r="T15" s="2">
        <f>--335928.55</f>
        <v>335928.55</v>
      </c>
      <c r="U15" s="2"/>
      <c r="V15" s="19"/>
      <c r="W15" s="2"/>
      <c r="X15" s="2">
        <f t="shared" si="2"/>
        <v>-170340.87999999998</v>
      </c>
      <c r="Y15" s="2"/>
      <c r="Z15" s="19">
        <f t="shared" si="3"/>
        <v>-0.50707473360034439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-1154.68</v>
      </c>
      <c r="E17" s="4"/>
      <c r="F17" s="12">
        <f t="shared" ref="F17:F19" si="4">IF(D$12=0,0,D17/D$12)</f>
        <v>-0.28325556978358674</v>
      </c>
      <c r="G17" s="4"/>
      <c r="H17" s="4">
        <f>SUM(OSRRefH16x_0)</f>
        <v>-14228.7</v>
      </c>
      <c r="I17" s="4"/>
      <c r="J17" s="12">
        <f t="shared" ref="J17:J19" si="5">IF(H$12=0,0,H17/H$12)</f>
        <v>-91.697493072114483</v>
      </c>
      <c r="K17" s="4"/>
      <c r="L17" s="4">
        <f t="shared" ref="L17:L19" si="6">+D17-H17</f>
        <v>13074.02</v>
      </c>
      <c r="M17" s="4"/>
      <c r="N17" s="12">
        <f t="shared" ref="N17:N19" si="7">IF(H17=0,0,L17/H17)</f>
        <v>-0.91884852446112431</v>
      </c>
      <c r="O17" s="10"/>
      <c r="P17" s="4">
        <f>SUM(OSRRefP16x_0)</f>
        <v>343007.15</v>
      </c>
      <c r="Q17" s="4"/>
      <c r="R17" s="12">
        <f t="shared" ref="R17:R19" si="8">IF(P$12=0,0,P17/P$12)</f>
        <v>0.72030302915759481</v>
      </c>
      <c r="S17" s="4"/>
      <c r="T17" s="4">
        <f>SUM(OSRRefT16x_0)</f>
        <v>669111.65999999992</v>
      </c>
      <c r="U17" s="4"/>
      <c r="V17" s="12">
        <f t="shared" ref="V17:V19" si="9">IF(T$12=0,0,T17/T$12)</f>
        <v>0.74100857250359009</v>
      </c>
      <c r="W17" s="4"/>
      <c r="X17" s="4">
        <f t="shared" ref="X17:X19" si="10">+P17-T17</f>
        <v>-326104.50999999989</v>
      </c>
      <c r="Y17" s="4"/>
      <c r="Z17" s="12">
        <f t="shared" ref="Z17:Z19" si="11">IF(T17=0,0,X17/T17)</f>
        <v>-0.48736934280894151</v>
      </c>
    </row>
    <row r="18" spans="1:26" s="24" customFormat="1" hidden="1" outlineLevel="1" x14ac:dyDescent="0.25">
      <c r="A18" s="44"/>
      <c r="B18" s="11" t="str">
        <f>CONCATENATE("          ", "5001", " - ", "PURCHASES @ COST-NEW TEXT")</f>
        <v xml:space="preserve">          5001 - PURCHASES @ COST-NEW TEXT</v>
      </c>
      <c r="C18" s="11"/>
      <c r="D18" s="2">
        <v>-8.68</v>
      </c>
      <c r="E18" s="2"/>
      <c r="F18" s="19">
        <f t="shared" si="4"/>
        <v>-2.1292984599382797E-3</v>
      </c>
      <c r="G18" s="2"/>
      <c r="H18" s="2">
        <v>-6988.4</v>
      </c>
      <c r="I18" s="2"/>
      <c r="J18" s="19">
        <f t="shared" si="5"/>
        <v>-45.037056131984286</v>
      </c>
      <c r="K18" s="2"/>
      <c r="L18" s="2">
        <f t="shared" si="6"/>
        <v>6979.7199999999993</v>
      </c>
      <c r="M18" s="2"/>
      <c r="N18" s="19">
        <f t="shared" si="7"/>
        <v>-0.99875794173201304</v>
      </c>
      <c r="O18" s="11"/>
      <c r="P18" s="2">
        <v>204371.36</v>
      </c>
      <c r="Q18" s="2"/>
      <c r="R18" s="19">
        <f t="shared" si="8"/>
        <v>0.42917271456602957</v>
      </c>
      <c r="S18" s="2"/>
      <c r="T18" s="2">
        <v>302080.46000000002</v>
      </c>
      <c r="U18" s="2"/>
      <c r="V18" s="19">
        <f t="shared" si="9"/>
        <v>0.33453939578011227</v>
      </c>
      <c r="W18" s="2"/>
      <c r="X18" s="2">
        <f t="shared" si="10"/>
        <v>-97709.100000000035</v>
      </c>
      <c r="Y18" s="2"/>
      <c r="Z18" s="19">
        <f t="shared" si="11"/>
        <v>-0.32345389039728034</v>
      </c>
    </row>
    <row r="19" spans="1:26" s="24" customFormat="1" hidden="1" outlineLevel="1" x14ac:dyDescent="0.25">
      <c r="A19" s="44"/>
      <c r="B19" s="11" t="str">
        <f>CONCATENATE("          ", "5002", " - ", "PURCHASES @ COST-USED TEXT")</f>
        <v xml:space="preserve">          5002 - PURCHASES @ COST-USED TEXT</v>
      </c>
      <c r="C19" s="11"/>
      <c r="D19" s="2">
        <v>-1146</v>
      </c>
      <c r="E19" s="2"/>
      <c r="F19" s="19">
        <f t="shared" si="4"/>
        <v>-0.28112627132364848</v>
      </c>
      <c r="G19" s="2"/>
      <c r="H19" s="2">
        <v>-7240.3</v>
      </c>
      <c r="I19" s="2"/>
      <c r="J19" s="19">
        <f t="shared" si="5"/>
        <v>-46.660436940130197</v>
      </c>
      <c r="K19" s="2"/>
      <c r="L19" s="2">
        <f t="shared" si="6"/>
        <v>6094.3</v>
      </c>
      <c r="M19" s="2"/>
      <c r="N19" s="19">
        <f t="shared" si="7"/>
        <v>-0.84171926577627998</v>
      </c>
      <c r="O19" s="11"/>
      <c r="P19" s="2">
        <v>138635.79</v>
      </c>
      <c r="Q19" s="2"/>
      <c r="R19" s="19">
        <f t="shared" si="8"/>
        <v>0.29113031459156519</v>
      </c>
      <c r="S19" s="2"/>
      <c r="T19" s="2">
        <v>367031.19999999995</v>
      </c>
      <c r="U19" s="2"/>
      <c r="V19" s="19">
        <f t="shared" si="9"/>
        <v>0.40646917672347793</v>
      </c>
      <c r="W19" s="2"/>
      <c r="X19" s="2">
        <f t="shared" si="10"/>
        <v>-228395.40999999995</v>
      </c>
      <c r="Y19" s="2"/>
      <c r="Z19" s="19">
        <f t="shared" si="11"/>
        <v>-0.6222779153379876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5231.1400000000003</v>
      </c>
      <c r="E21" s="14"/>
      <c r="F21" s="21">
        <f>IF(D$12=0,0,D21/D$12)</f>
        <v>1.2832555697835868</v>
      </c>
      <c r="G21" s="14"/>
      <c r="H21" s="20">
        <f>H12-H17</f>
        <v>14383.87</v>
      </c>
      <c r="I21" s="14"/>
      <c r="J21" s="21">
        <f>IF(H$12=0,0,H21/H$12)</f>
        <v>92.697493072114483</v>
      </c>
      <c r="K21" s="15"/>
      <c r="L21" s="20">
        <f>+D21-H21</f>
        <v>-9152.73</v>
      </c>
      <c r="M21" s="15"/>
      <c r="N21" s="21">
        <f>IF(H21=0,0,L21/H21)</f>
        <v>-0.63631901567519722</v>
      </c>
      <c r="O21" s="29"/>
      <c r="P21" s="20">
        <f>P12-P17</f>
        <v>133191.25</v>
      </c>
      <c r="Q21" s="14"/>
      <c r="R21" s="21">
        <f>IF(P$12=0,0,P21/P$12)</f>
        <v>0.27969697084240519</v>
      </c>
      <c r="S21" s="14"/>
      <c r="T21" s="20">
        <f>T12-T17</f>
        <v>233862.59000000008</v>
      </c>
      <c r="U21" s="14"/>
      <c r="V21" s="21">
        <f>IF(T$12=0,0,T21/T$12)</f>
        <v>0.25899142749640985</v>
      </c>
      <c r="W21" s="15"/>
      <c r="X21" s="20">
        <f>+P21-T21</f>
        <v>-100671.34000000008</v>
      </c>
      <c r="Y21" s="15"/>
      <c r="Z21" s="21">
        <f>IF(T21=0,0,X21/T21)</f>
        <v>-0.43047218454221364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2">
        <f>SUM(0)</f>
        <v>0</v>
      </c>
      <c r="E23" s="22"/>
      <c r="F23" s="36">
        <f>IF(D$12=0,0,D23/D$12)</f>
        <v>0</v>
      </c>
      <c r="G23" s="22"/>
      <c r="H23" s="22">
        <f>SUM(0)</f>
        <v>0</v>
      </c>
      <c r="I23" s="22"/>
      <c r="J23" s="36">
        <f>IF(H$12=0,0,H23/H$12)</f>
        <v>0</v>
      </c>
      <c r="K23" s="4"/>
      <c r="L23" s="22">
        <f>+D23-H23</f>
        <v>0</v>
      </c>
      <c r="M23" s="4"/>
      <c r="N23" s="36">
        <f>IF(H23=0,0,L23/H23)</f>
        <v>0</v>
      </c>
      <c r="O23" s="10"/>
      <c r="P23" s="22">
        <f>SUM(0)</f>
        <v>0</v>
      </c>
      <c r="Q23" s="22"/>
      <c r="R23" s="36">
        <f>IF(P$12=0,0,P23/P$12)</f>
        <v>0</v>
      </c>
      <c r="S23" s="22"/>
      <c r="T23" s="22">
        <f>SUM(0)</f>
        <v>0</v>
      </c>
      <c r="U23" s="22"/>
      <c r="V23" s="36">
        <f>IF(T$12=0,0,T23/T$12)</f>
        <v>0</v>
      </c>
      <c r="W23" s="4"/>
      <c r="X23" s="22">
        <f>+P23-T23</f>
        <v>0</v>
      </c>
      <c r="Y23" s="4"/>
      <c r="Z23" s="36">
        <f>IF(T23=0,0,X23/T23)</f>
        <v>0</v>
      </c>
    </row>
    <row r="24" spans="1:26" s="55" customFormat="1" x14ac:dyDescent="0.25">
      <c r="A24" s="37"/>
      <c r="B24" s="37"/>
      <c r="C24" s="37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0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>
        <f>+D21-D23+D25</f>
        <v>5231.1400000000003</v>
      </c>
      <c r="E27" s="14"/>
      <c r="F27" s="21">
        <f>IF(D$12=0,0,D27/D$12)</f>
        <v>1.2832555697835868</v>
      </c>
      <c r="G27" s="14"/>
      <c r="H27" s="20">
        <f>+H21-H23+H25</f>
        <v>14383.87</v>
      </c>
      <c r="I27" s="14"/>
      <c r="J27" s="21">
        <f>IF(H$12=0,0,H27/H$12)</f>
        <v>92.697493072114483</v>
      </c>
      <c r="K27" s="15"/>
      <c r="L27" s="20">
        <f>+D27-H27</f>
        <v>-9152.73</v>
      </c>
      <c r="M27" s="15"/>
      <c r="N27" s="21">
        <f>IF(H27=0,0,L27/H27)</f>
        <v>-0.63631901567519722</v>
      </c>
      <c r="O27" s="29"/>
      <c r="P27" s="20">
        <f>+P21-P23+P25</f>
        <v>133191.25</v>
      </c>
      <c r="Q27" s="14"/>
      <c r="R27" s="21">
        <f>IF(P$12=0,0,P27/P$12)</f>
        <v>0.27969697084240519</v>
      </c>
      <c r="S27" s="14"/>
      <c r="T27" s="20">
        <f>+T21-T23+T25</f>
        <v>233862.59000000008</v>
      </c>
      <c r="U27" s="14"/>
      <c r="V27" s="21">
        <f>IF(T$12=0,0,T27/T$12)</f>
        <v>0.25899142749640985</v>
      </c>
      <c r="W27" s="15"/>
      <c r="X27" s="20">
        <f>+P27-T27</f>
        <v>-100671.34000000008</v>
      </c>
      <c r="Y27" s="15"/>
      <c r="Z27" s="21">
        <f>IF(T27=0,0,X27/T27)</f>
        <v>-0.43047218454221364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>
        <v>13092.95</v>
      </c>
      <c r="E29" s="4"/>
      <c r="F29" s="12">
        <f>IF(D$12=0,0,D29/D$12)</f>
        <v>3.2118431187844356</v>
      </c>
      <c r="G29" s="4"/>
      <c r="H29" s="4">
        <v>1925.74</v>
      </c>
      <c r="I29" s="4"/>
      <c r="J29" s="12">
        <f>IF(H$12=0,0,H29/H$12)</f>
        <v>12.410517496938844</v>
      </c>
      <c r="K29" s="4"/>
      <c r="L29" s="4">
        <f>+D29-H29</f>
        <v>11167.210000000001</v>
      </c>
      <c r="M29" s="4"/>
      <c r="N29" s="12">
        <f>IF(H29=0,0,L29/H29)</f>
        <v>5.7989188571665959</v>
      </c>
      <c r="O29" s="10"/>
      <c r="P29" s="4">
        <v>88106.790000000008</v>
      </c>
      <c r="Q29" s="4"/>
      <c r="R29" s="12">
        <f>IF(P$12=0,0,P29/P$12)</f>
        <v>0.1850211802475607</v>
      </c>
      <c r="S29" s="4"/>
      <c r="T29" s="4">
        <v>97528.17</v>
      </c>
      <c r="U29" s="4"/>
      <c r="V29" s="12">
        <f>IF(T$12=0,0,T29/T$12)</f>
        <v>0.10800769789393219</v>
      </c>
      <c r="W29" s="4"/>
      <c r="X29" s="4">
        <f>+P29-T29</f>
        <v>-9421.3799999999901</v>
      </c>
      <c r="Y29" s="4"/>
      <c r="Z29" s="12">
        <f>IF(T29=0,0,X29/T29)</f>
        <v>-9.6601628021934491E-2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>
        <f>+D27-D29</f>
        <v>-7861.81</v>
      </c>
      <c r="E31" s="14"/>
      <c r="F31" s="34">
        <f>IF(D$12=0,0,D31/D$12)</f>
        <v>-1.9285875490008488</v>
      </c>
      <c r="G31" s="14"/>
      <c r="H31" s="33">
        <f>+H27-H29</f>
        <v>12458.130000000001</v>
      </c>
      <c r="I31" s="14"/>
      <c r="J31" s="34">
        <f>IF(H$12=0,0,H31/H$12)</f>
        <v>80.286975575175646</v>
      </c>
      <c r="K31" s="15"/>
      <c r="L31" s="33">
        <f>D31-H31</f>
        <v>-20319.940000000002</v>
      </c>
      <c r="M31" s="15"/>
      <c r="N31" s="34">
        <f>IF(H31=0,0,L31/H31)</f>
        <v>-1.6310585938660136</v>
      </c>
      <c r="O31" s="29"/>
      <c r="P31" s="33">
        <f>+P27-P29</f>
        <v>45084.459999999992</v>
      </c>
      <c r="Q31" s="14"/>
      <c r="R31" s="34">
        <f>IF(P$12=0,0,P31/P$12)</f>
        <v>9.4675790594844475E-2</v>
      </c>
      <c r="S31" s="14"/>
      <c r="T31" s="33">
        <f>+T27-T29</f>
        <v>136334.4200000001</v>
      </c>
      <c r="U31" s="14"/>
      <c r="V31" s="34">
        <f>IF(T$12=0,0,T31/T$12)</f>
        <v>0.15098372960247769</v>
      </c>
      <c r="W31" s="15"/>
      <c r="X31" s="33">
        <f>P31-T31</f>
        <v>-91249.960000000108</v>
      </c>
      <c r="Y31" s="15"/>
      <c r="Z31" s="34">
        <f>IF(T31=0,0,X31/T31)</f>
        <v>-0.66930977518369927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8" t="s">
        <v>5</v>
      </c>
      <c r="C34" s="28"/>
      <c r="D34" s="30">
        <f>SUM(D31:D33)</f>
        <v>-7861.81</v>
      </c>
      <c r="E34" s="14"/>
      <c r="F34" s="32">
        <f>IF(D$12=0,0,D34/D$12)</f>
        <v>-1.9285875490008488</v>
      </c>
      <c r="G34" s="14"/>
      <c r="H34" s="30">
        <f>SUM(H31:H33)</f>
        <v>12458.130000000001</v>
      </c>
      <c r="I34" s="14"/>
      <c r="J34" s="32">
        <f>IF(H$12=0,0,H34/H$12)</f>
        <v>80.286975575175646</v>
      </c>
      <c r="K34" s="15"/>
      <c r="L34" s="30">
        <f>+D34-H34</f>
        <v>-20319.940000000002</v>
      </c>
      <c r="M34" s="15"/>
      <c r="N34" s="32">
        <f>IF(H34=0,0,L34/H34)</f>
        <v>-1.6310585938660136</v>
      </c>
      <c r="O34" s="29"/>
      <c r="P34" s="30">
        <f>SUM(P31:P33)</f>
        <v>45084.459999999992</v>
      </c>
      <c r="Q34" s="14"/>
      <c r="R34" s="32">
        <f>IF(P$12=0,0,P34/P$12)</f>
        <v>9.4675790594844475E-2</v>
      </c>
      <c r="S34" s="14"/>
      <c r="T34" s="30">
        <f>SUM(T31:T33)</f>
        <v>136334.4200000001</v>
      </c>
      <c r="U34" s="14"/>
      <c r="V34" s="32">
        <f>IF(T$12=0,0,T34/T$12)</f>
        <v>0.15098372960247769</v>
      </c>
      <c r="W34" s="15"/>
      <c r="X34" s="30">
        <f>+P34-T34</f>
        <v>-91249.960000000108</v>
      </c>
      <c r="Y34" s="15"/>
      <c r="Z34" s="32">
        <f>IF(T34=0,0,X34/T34)</f>
        <v>-0.66930977518369927</v>
      </c>
    </row>
    <row r="35" spans="1:26" ht="15.75" thickTop="1" x14ac:dyDescent="0.25">
      <c r="A35" s="9"/>
      <c r="C35" s="9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6" x14ac:dyDescent="0.25">
      <c r="A36" s="9"/>
      <c r="B36" s="58">
        <v>44209.521922453707</v>
      </c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25">
      <c r="A37" s="9"/>
      <c r="B37" s="61" t="s">
        <v>313</v>
      </c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7"/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7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302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214652.63999999996</v>
      </c>
      <c r="E12" s="4"/>
      <c r="F12" s="12"/>
      <c r="G12" s="4"/>
      <c r="H12" s="4">
        <f>SUM(OSRRefH13x_0)</f>
        <v>299522.15999999986</v>
      </c>
      <c r="I12" s="4"/>
      <c r="J12" s="12"/>
      <c r="K12" s="4"/>
      <c r="L12" s="4">
        <f t="shared" ref="L12:L53" si="0">+D12-H12</f>
        <v>-84869.519999999902</v>
      </c>
      <c r="M12" s="4"/>
      <c r="N12" s="12">
        <f t="shared" ref="N12:N53" si="1">IF(H12=0,0,L12/H12)</f>
        <v>-0.28334971943311288</v>
      </c>
      <c r="O12" s="10"/>
      <c r="P12" s="4">
        <f>SUM(OSRRefP13x_0)</f>
        <v>1030520.55</v>
      </c>
      <c r="Q12" s="4"/>
      <c r="R12" s="12"/>
      <c r="S12" s="4"/>
      <c r="T12" s="4">
        <f>SUM(OSRRefT13x_0)</f>
        <v>1751308.4799999997</v>
      </c>
      <c r="U12" s="4"/>
      <c r="V12" s="12"/>
      <c r="W12" s="4"/>
      <c r="X12" s="4">
        <f t="shared" ref="X12:X53" si="2">+P12-T12</f>
        <v>-720787.9299999997</v>
      </c>
      <c r="Y12" s="4"/>
      <c r="Z12" s="12">
        <f t="shared" ref="Z12:Z53" si="3">IF(T12=0,0,X12/T12)</f>
        <v>-0.41157108426723304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-31504.58</f>
        <v>-31504.58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-31504.58</v>
      </c>
      <c r="M13" s="2"/>
      <c r="N13" s="19">
        <f t="shared" si="1"/>
        <v>0</v>
      </c>
      <c r="O13" s="11"/>
      <c r="P13" s="2">
        <f>-80798.27</f>
        <v>-80798.27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-80798.27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--75.18</f>
        <v>75.180000000000007</v>
      </c>
      <c r="E14" s="2"/>
      <c r="F14" s="19"/>
      <c r="G14" s="2"/>
      <c r="H14" s="2">
        <f>--26.46</f>
        <v>26.46</v>
      </c>
      <c r="I14" s="2"/>
      <c r="J14" s="19"/>
      <c r="K14" s="2"/>
      <c r="L14" s="2">
        <f t="shared" si="0"/>
        <v>48.720000000000006</v>
      </c>
      <c r="M14" s="2"/>
      <c r="N14" s="19">
        <f t="shared" si="1"/>
        <v>1.8412698412698414</v>
      </c>
      <c r="O14" s="11"/>
      <c r="P14" s="2">
        <f>--354.87</f>
        <v>354.87</v>
      </c>
      <c r="Q14" s="2"/>
      <c r="R14" s="19"/>
      <c r="S14" s="2"/>
      <c r="T14" s="2">
        <f>--149.65</f>
        <v>149.65</v>
      </c>
      <c r="U14" s="2"/>
      <c r="V14" s="19"/>
      <c r="W14" s="2"/>
      <c r="X14" s="2">
        <f t="shared" si="2"/>
        <v>205.22</v>
      </c>
      <c r="Y14" s="2"/>
      <c r="Z14" s="19">
        <f t="shared" si="3"/>
        <v>1.3713331105913797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--3253.96</f>
        <v>3253.96</v>
      </c>
      <c r="E15" s="2"/>
      <c r="F15" s="19"/>
      <c r="G15" s="2"/>
      <c r="H15" s="2">
        <f t="shared" ref="H15:H18" si="4">0</f>
        <v>0</v>
      </c>
      <c r="I15" s="2"/>
      <c r="J15" s="19"/>
      <c r="K15" s="2"/>
      <c r="L15" s="2">
        <f t="shared" si="0"/>
        <v>3253.96</v>
      </c>
      <c r="M15" s="2"/>
      <c r="N15" s="19">
        <f t="shared" si="1"/>
        <v>0</v>
      </c>
      <c r="O15" s="11"/>
      <c r="P15" s="2">
        <f>--31984.11</f>
        <v>31984.11</v>
      </c>
      <c r="Q15" s="2"/>
      <c r="R15" s="19"/>
      <c r="S15" s="2"/>
      <c r="T15" s="2">
        <f>--47.91</f>
        <v>47.91</v>
      </c>
      <c r="U15" s="2"/>
      <c r="V15" s="19"/>
      <c r="W15" s="2"/>
      <c r="X15" s="2">
        <f t="shared" si="2"/>
        <v>31936.2</v>
      </c>
      <c r="Y15" s="2"/>
      <c r="Z15" s="19">
        <f t="shared" si="3"/>
        <v>666.58735128365697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--1179.23</f>
        <v>1179.23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1179.23</v>
      </c>
      <c r="M16" s="2"/>
      <c r="N16" s="19">
        <f t="shared" si="1"/>
        <v>0</v>
      </c>
      <c r="O16" s="11"/>
      <c r="P16" s="2">
        <f>--4699.76</f>
        <v>4699.76</v>
      </c>
      <c r="Q16" s="2"/>
      <c r="R16" s="19"/>
      <c r="S16" s="2"/>
      <c r="T16" s="2">
        <f t="shared" ref="T16:T18" si="5">0</f>
        <v>0</v>
      </c>
      <c r="U16" s="2"/>
      <c r="V16" s="19"/>
      <c r="W16" s="2"/>
      <c r="X16" s="2">
        <f t="shared" si="2"/>
        <v>4699.76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--247.04</f>
        <v>247.04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247.04</v>
      </c>
      <c r="M17" s="2"/>
      <c r="N17" s="19">
        <f t="shared" si="1"/>
        <v>0</v>
      </c>
      <c r="O17" s="11"/>
      <c r="P17" s="2">
        <f>--1735.1</f>
        <v>1735.1</v>
      </c>
      <c r="Q17" s="2"/>
      <c r="R17" s="19"/>
      <c r="S17" s="2"/>
      <c r="T17" s="2">
        <f t="shared" si="5"/>
        <v>0</v>
      </c>
      <c r="U17" s="2"/>
      <c r="V17" s="19"/>
      <c r="W17" s="2"/>
      <c r="X17" s="2">
        <f t="shared" si="2"/>
        <v>1735.1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--84378.29</f>
        <v>84378.29</v>
      </c>
      <c r="E19" s="2"/>
      <c r="F19" s="19"/>
      <c r="G19" s="2"/>
      <c r="H19" s="2">
        <f>--193654.24</f>
        <v>193654.24</v>
      </c>
      <c r="I19" s="2"/>
      <c r="J19" s="19"/>
      <c r="K19" s="2"/>
      <c r="L19" s="2">
        <f t="shared" si="0"/>
        <v>-109275.95</v>
      </c>
      <c r="M19" s="2"/>
      <c r="N19" s="19">
        <f t="shared" si="1"/>
        <v>-0.56428379776244508</v>
      </c>
      <c r="O19" s="11"/>
      <c r="P19" s="2">
        <f>--508110.99</f>
        <v>508110.99</v>
      </c>
      <c r="Q19" s="2"/>
      <c r="R19" s="19"/>
      <c r="S19" s="2"/>
      <c r="T19" s="2">
        <f>--1291791.18</f>
        <v>1291791.18</v>
      </c>
      <c r="U19" s="2"/>
      <c r="V19" s="19"/>
      <c r="W19" s="2"/>
      <c r="X19" s="2">
        <f t="shared" si="2"/>
        <v>-783680.19</v>
      </c>
      <c r="Y19" s="2"/>
      <c r="Z19" s="19">
        <f t="shared" si="3"/>
        <v>-0.60666166647770425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--31965.93</f>
        <v>31965.93</v>
      </c>
      <c r="E20" s="2"/>
      <c r="F20" s="19"/>
      <c r="G20" s="2"/>
      <c r="H20" s="2">
        <f>--37882.63</f>
        <v>37882.629999999997</v>
      </c>
      <c r="I20" s="2"/>
      <c r="J20" s="19"/>
      <c r="K20" s="2"/>
      <c r="L20" s="2">
        <f t="shared" si="0"/>
        <v>-5916.6999999999971</v>
      </c>
      <c r="M20" s="2"/>
      <c r="N20" s="19">
        <f t="shared" si="1"/>
        <v>-0.15618503783924181</v>
      </c>
      <c r="O20" s="11"/>
      <c r="P20" s="2">
        <f>--136674.05</f>
        <v>136674.04999999999</v>
      </c>
      <c r="Q20" s="2"/>
      <c r="R20" s="19"/>
      <c r="S20" s="2"/>
      <c r="T20" s="2">
        <f>--199061.93</f>
        <v>199061.93</v>
      </c>
      <c r="U20" s="2"/>
      <c r="V20" s="19"/>
      <c r="W20" s="2"/>
      <c r="X20" s="2">
        <f t="shared" si="2"/>
        <v>-62387.880000000005</v>
      </c>
      <c r="Y20" s="2"/>
      <c r="Z20" s="19">
        <f t="shared" si="3"/>
        <v>-0.31340939977824994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--7054.55</f>
        <v>7054.55</v>
      </c>
      <c r="E21" s="2"/>
      <c r="F21" s="19"/>
      <c r="G21" s="2"/>
      <c r="H21" s="2">
        <f>--36762.61</f>
        <v>36762.61</v>
      </c>
      <c r="I21" s="2"/>
      <c r="J21" s="19"/>
      <c r="K21" s="2"/>
      <c r="L21" s="2">
        <f t="shared" si="0"/>
        <v>-29708.06</v>
      </c>
      <c r="M21" s="2"/>
      <c r="N21" s="19">
        <f t="shared" si="1"/>
        <v>-0.80810530046696905</v>
      </c>
      <c r="O21" s="11"/>
      <c r="P21" s="2">
        <f>--52043.85</f>
        <v>52043.85</v>
      </c>
      <c r="Q21" s="2"/>
      <c r="R21" s="19"/>
      <c r="S21" s="2"/>
      <c r="T21" s="2">
        <f>--151845.16</f>
        <v>151845.16</v>
      </c>
      <c r="U21" s="2"/>
      <c r="V21" s="19"/>
      <c r="W21" s="2"/>
      <c r="X21" s="2">
        <f t="shared" si="2"/>
        <v>-99801.31</v>
      </c>
      <c r="Y21" s="2"/>
      <c r="Z21" s="19">
        <f t="shared" si="3"/>
        <v>-0.65725710322278297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--35922.95</f>
        <v>35922.949999999997</v>
      </c>
      <c r="E22" s="2"/>
      <c r="F22" s="19"/>
      <c r="G22" s="2"/>
      <c r="H22" s="2">
        <f>--9495.36</f>
        <v>9495.36</v>
      </c>
      <c r="I22" s="2"/>
      <c r="J22" s="19"/>
      <c r="K22" s="2"/>
      <c r="L22" s="2">
        <f t="shared" si="0"/>
        <v>26427.589999999997</v>
      </c>
      <c r="M22" s="2"/>
      <c r="N22" s="19">
        <f t="shared" si="1"/>
        <v>2.783210957773059</v>
      </c>
      <c r="O22" s="11"/>
      <c r="P22" s="2">
        <f>--93093.19</f>
        <v>93093.19</v>
      </c>
      <c r="Q22" s="2"/>
      <c r="R22" s="19"/>
      <c r="S22" s="2"/>
      <c r="T22" s="2">
        <f>--14216.4</f>
        <v>14216.4</v>
      </c>
      <c r="U22" s="2"/>
      <c r="V22" s="19"/>
      <c r="W22" s="2"/>
      <c r="X22" s="2">
        <f t="shared" si="2"/>
        <v>78876.790000000008</v>
      </c>
      <c r="Y22" s="2"/>
      <c r="Z22" s="19">
        <f t="shared" si="3"/>
        <v>5.5482956303986954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--11267.16</f>
        <v>11267.16</v>
      </c>
      <c r="E23" s="2"/>
      <c r="F23" s="19"/>
      <c r="G23" s="2"/>
      <c r="H23" s="2">
        <f>--5438.42</f>
        <v>5438.42</v>
      </c>
      <c r="I23" s="2"/>
      <c r="J23" s="19"/>
      <c r="K23" s="2"/>
      <c r="L23" s="2">
        <f t="shared" si="0"/>
        <v>5828.74</v>
      </c>
      <c r="M23" s="2"/>
      <c r="N23" s="19">
        <f t="shared" si="1"/>
        <v>1.0717708452087187</v>
      </c>
      <c r="O23" s="11"/>
      <c r="P23" s="2">
        <f>--26273.67</f>
        <v>26273.67</v>
      </c>
      <c r="Q23" s="2"/>
      <c r="R23" s="19"/>
      <c r="S23" s="2"/>
      <c r="T23" s="2">
        <f>--46736.2</f>
        <v>46736.2</v>
      </c>
      <c r="U23" s="2"/>
      <c r="V23" s="19"/>
      <c r="W23" s="2"/>
      <c r="X23" s="2">
        <f t="shared" si="2"/>
        <v>-20462.53</v>
      </c>
      <c r="Y23" s="2"/>
      <c r="Z23" s="19">
        <f t="shared" si="3"/>
        <v>-0.43783041839088332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--13848.98</f>
        <v>13848.98</v>
      </c>
      <c r="E24" s="2"/>
      <c r="F24" s="19"/>
      <c r="G24" s="2"/>
      <c r="H24" s="2">
        <f>--6487.38</f>
        <v>6487.38</v>
      </c>
      <c r="I24" s="2"/>
      <c r="J24" s="19"/>
      <c r="K24" s="2"/>
      <c r="L24" s="2">
        <f t="shared" si="0"/>
        <v>7361.5999999999995</v>
      </c>
      <c r="M24" s="2"/>
      <c r="N24" s="19">
        <f t="shared" si="1"/>
        <v>1.134757020553752</v>
      </c>
      <c r="O24" s="11"/>
      <c r="P24" s="2">
        <f>--122061.15</f>
        <v>122061.15</v>
      </c>
      <c r="Q24" s="2"/>
      <c r="R24" s="19"/>
      <c r="S24" s="2"/>
      <c r="T24" s="2">
        <f>--61005.82</f>
        <v>61005.82</v>
      </c>
      <c r="U24" s="2"/>
      <c r="V24" s="19"/>
      <c r="W24" s="2"/>
      <c r="X24" s="2">
        <f t="shared" si="2"/>
        <v>61055.329999999994</v>
      </c>
      <c r="Y24" s="2"/>
      <c r="Z24" s="19">
        <f t="shared" si="3"/>
        <v>1.0008115619132731</v>
      </c>
    </row>
    <row r="25" spans="1:26" s="24" customFormat="1" hidden="1" outlineLevel="1" x14ac:dyDescent="0.25">
      <c r="A25" s="44"/>
      <c r="B25" s="11" t="str">
        <f>CONCATENATE("          ", "4092", " - ", "TAXABLE SALES-GRAD MERCH")</f>
        <v xml:space="preserve">          4092 - TAXABLE SALES-GRAD MERCH</v>
      </c>
      <c r="C25" s="11"/>
      <c r="D25" s="2">
        <f t="shared" ref="D25:D27" si="6"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ref="P25:P26" si="7">0</f>
        <v>0</v>
      </c>
      <c r="Q25" s="2"/>
      <c r="R25" s="19"/>
      <c r="S25" s="2"/>
      <c r="T25" s="2">
        <f>-39.95</f>
        <v>-39.950000000000003</v>
      </c>
      <c r="U25" s="2"/>
      <c r="V25" s="19"/>
      <c r="W25" s="2"/>
      <c r="X25" s="2">
        <f t="shared" si="2"/>
        <v>39.950000000000003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"4095", " - ", "TAXABLE SALES-CUSTOMER SERVICE")</f>
        <v xml:space="preserve">          4095 - TAXABLE SALES-CUSTOMER SERVICE</v>
      </c>
      <c r="C26" s="11"/>
      <c r="D26" s="2">
        <f t="shared" si="6"/>
        <v>0</v>
      </c>
      <c r="E26" s="2"/>
      <c r="F26" s="19"/>
      <c r="G26" s="2"/>
      <c r="H26" s="2">
        <f>--0.99</f>
        <v>0.99</v>
      </c>
      <c r="I26" s="2"/>
      <c r="J26" s="19"/>
      <c r="K26" s="2"/>
      <c r="L26" s="2">
        <f t="shared" si="0"/>
        <v>-0.99</v>
      </c>
      <c r="M26" s="2"/>
      <c r="N26" s="19">
        <f t="shared" si="1"/>
        <v>-1</v>
      </c>
      <c r="O26" s="11"/>
      <c r="P26" s="2">
        <f t="shared" si="7"/>
        <v>0</v>
      </c>
      <c r="Q26" s="2"/>
      <c r="R26" s="19"/>
      <c r="S26" s="2"/>
      <c r="T26" s="2">
        <f>--28.71</f>
        <v>28.71</v>
      </c>
      <c r="U26" s="2"/>
      <c r="V26" s="19"/>
      <c r="W26" s="2"/>
      <c r="X26" s="2">
        <f t="shared" si="2"/>
        <v>-28.71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"4126", " - ", "NON-TAXABLE SALES-WRITING INST")</f>
        <v xml:space="preserve">          4126 - NON-TAXABLE SALES-WRITING INST</v>
      </c>
      <c r="C27" s="11"/>
      <c r="D27" s="2">
        <f t="shared" si="6"/>
        <v>0</v>
      </c>
      <c r="E27" s="2"/>
      <c r="F27" s="19"/>
      <c r="G27" s="2"/>
      <c r="H27" s="2">
        <f t="shared" ref="H27:H33" si="8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--52.68</f>
        <v>52.68</v>
      </c>
      <c r="Q27" s="2"/>
      <c r="R27" s="19"/>
      <c r="S27" s="2"/>
      <c r="T27" s="2">
        <f t="shared" ref="T27:T33" si="9">0</f>
        <v>0</v>
      </c>
      <c r="U27" s="2"/>
      <c r="V27" s="19"/>
      <c r="W27" s="2"/>
      <c r="X27" s="2">
        <f t="shared" si="2"/>
        <v>52.68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"4127", " - ", "NON-TAXABLE SALES-SCHOOL SUPPL")</f>
        <v xml:space="preserve">          4127 - NON-TAXABLE SALES-SCHOOL SUPPL</v>
      </c>
      <c r="C28" s="11"/>
      <c r="D28" s="2">
        <f>--259.53</f>
        <v>259.52999999999997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259.52999999999997</v>
      </c>
      <c r="M28" s="2"/>
      <c r="N28" s="19">
        <f t="shared" si="1"/>
        <v>0</v>
      </c>
      <c r="O28" s="11"/>
      <c r="P28" s="2">
        <f>--3206.11</f>
        <v>3206.11</v>
      </c>
      <c r="Q28" s="2"/>
      <c r="R28" s="19"/>
      <c r="S28" s="2"/>
      <c r="T28" s="2">
        <f t="shared" si="9"/>
        <v>0</v>
      </c>
      <c r="U28" s="2"/>
      <c r="V28" s="19"/>
      <c r="W28" s="2"/>
      <c r="X28" s="2">
        <f t="shared" si="2"/>
        <v>3206.11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"4128", " - ", "NON-TAXABLE SALES-ART/TECH")</f>
        <v xml:space="preserve">          4128 - NON-TAXABLE SALES-ART/TECH</v>
      </c>
      <c r="C29" s="11"/>
      <c r="D29" s="2">
        <f>0</f>
        <v>0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--24.78</f>
        <v>24.78</v>
      </c>
      <c r="Q29" s="2"/>
      <c r="R29" s="19"/>
      <c r="S29" s="2"/>
      <c r="T29" s="2">
        <f t="shared" si="9"/>
        <v>0</v>
      </c>
      <c r="U29" s="2"/>
      <c r="V29" s="19"/>
      <c r="W29" s="2"/>
      <c r="X29" s="2">
        <f t="shared" si="2"/>
        <v>24.78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"4131", " - ", "NON-TAXABLE SALES-FOOD")</f>
        <v xml:space="preserve">          4131 - NON-TAXABLE SALES-FOOD</v>
      </c>
      <c r="C30" s="11"/>
      <c r="D30" s="2">
        <f>--1032.82</f>
        <v>1032.82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1032.82</v>
      </c>
      <c r="M30" s="2"/>
      <c r="N30" s="19">
        <f t="shared" si="1"/>
        <v>0</v>
      </c>
      <c r="O30" s="11"/>
      <c r="P30" s="2">
        <f>--5694.99</f>
        <v>5694.99</v>
      </c>
      <c r="Q30" s="2"/>
      <c r="R30" s="19"/>
      <c r="S30" s="2"/>
      <c r="T30" s="2">
        <f t="shared" si="9"/>
        <v>0</v>
      </c>
      <c r="U30" s="2"/>
      <c r="V30" s="19"/>
      <c r="W30" s="2"/>
      <c r="X30" s="2">
        <f t="shared" si="2"/>
        <v>5694.99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"4132", " - ", "NON-TAXABLE SALES-JUICE")</f>
        <v xml:space="preserve">          4132 - NON-TAXABLE SALES-JUICE</v>
      </c>
      <c r="C31" s="11"/>
      <c r="D31" s="2">
        <f t="shared" ref="D31:D34" si="10">0</f>
        <v>0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--22.49</f>
        <v>22.49</v>
      </c>
      <c r="Q31" s="2"/>
      <c r="R31" s="19"/>
      <c r="S31" s="2"/>
      <c r="T31" s="2">
        <f t="shared" si="9"/>
        <v>0</v>
      </c>
      <c r="U31" s="2"/>
      <c r="V31" s="19"/>
      <c r="W31" s="2"/>
      <c r="X31" s="2">
        <f t="shared" si="2"/>
        <v>22.49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"4133", " - ", "NON-TAXABLE SALES-CANDY")</f>
        <v xml:space="preserve">          4133 - NON-TAXABLE SALES-CANDY</v>
      </c>
      <c r="C32" s="11"/>
      <c r="D32" s="2">
        <f t="shared" si="10"/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--80.71</f>
        <v>80.709999999999994</v>
      </c>
      <c r="Q32" s="2"/>
      <c r="R32" s="19"/>
      <c r="S32" s="2"/>
      <c r="T32" s="2">
        <f t="shared" si="9"/>
        <v>0</v>
      </c>
      <c r="U32" s="2"/>
      <c r="V32" s="19"/>
      <c r="W32" s="2"/>
      <c r="X32" s="2">
        <f t="shared" si="2"/>
        <v>80.709999999999994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"4134", " - ", "NON-TAXABLE SALES-SODA")</f>
        <v xml:space="preserve">          4134 - NON-TAXABLE SALES-SODA</v>
      </c>
      <c r="C33" s="11"/>
      <c r="D33" s="2">
        <f t="shared" si="10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--45.53</f>
        <v>45.53</v>
      </c>
      <c r="Q33" s="2"/>
      <c r="R33" s="19"/>
      <c r="S33" s="2"/>
      <c r="T33" s="2">
        <f t="shared" si="9"/>
        <v>0</v>
      </c>
      <c r="U33" s="2"/>
      <c r="V33" s="19"/>
      <c r="W33" s="2"/>
      <c r="X33" s="2">
        <f t="shared" si="2"/>
        <v>45.53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"4137", " - ", "NON-TAXABLE SALES-WATER")</f>
        <v xml:space="preserve">          4137 - NON-TAXABLE SALES-WATER</v>
      </c>
      <c r="C34" s="11"/>
      <c r="D34" s="2">
        <f t="shared" si="10"/>
        <v>0</v>
      </c>
      <c r="E34" s="2"/>
      <c r="F34" s="19"/>
      <c r="G34" s="2"/>
      <c r="H34" s="2">
        <f>--6</f>
        <v>6</v>
      </c>
      <c r="I34" s="2"/>
      <c r="J34" s="19"/>
      <c r="K34" s="2"/>
      <c r="L34" s="2">
        <f t="shared" si="0"/>
        <v>-6</v>
      </c>
      <c r="M34" s="2"/>
      <c r="N34" s="19">
        <f t="shared" si="1"/>
        <v>-1</v>
      </c>
      <c r="O34" s="11"/>
      <c r="P34" s="2">
        <f>--68.25</f>
        <v>68.25</v>
      </c>
      <c r="Q34" s="2"/>
      <c r="R34" s="19"/>
      <c r="S34" s="2"/>
      <c r="T34" s="2">
        <f>--93</f>
        <v>93</v>
      </c>
      <c r="U34" s="2"/>
      <c r="V34" s="19"/>
      <c r="W34" s="2"/>
      <c r="X34" s="2">
        <f t="shared" si="2"/>
        <v>-24.75</v>
      </c>
      <c r="Y34" s="2"/>
      <c r="Z34" s="19">
        <f t="shared" si="3"/>
        <v>-0.2661290322580645</v>
      </c>
    </row>
    <row r="35" spans="1:26" s="24" customFormat="1" hidden="1" outlineLevel="1" x14ac:dyDescent="0.25">
      <c r="A35" s="44"/>
      <c r="B35" s="11" t="str">
        <f>CONCATENATE("          ", "4140", " - ", "NON-TAXABLE SALES-LOGO CLOTHIN")</f>
        <v xml:space="preserve">          4140 - NON-TAXABLE SALES-LOGO CLOTHIN</v>
      </c>
      <c r="C35" s="11"/>
      <c r="D35" s="2">
        <f>--53650.7</f>
        <v>53650.7</v>
      </c>
      <c r="E35" s="2"/>
      <c r="F35" s="19"/>
      <c r="G35" s="2"/>
      <c r="H35" s="2">
        <f>--18815.05</f>
        <v>18815.05</v>
      </c>
      <c r="I35" s="2"/>
      <c r="J35" s="19"/>
      <c r="K35" s="2"/>
      <c r="L35" s="2">
        <f t="shared" si="0"/>
        <v>34835.649999999994</v>
      </c>
      <c r="M35" s="2"/>
      <c r="N35" s="19">
        <f t="shared" si="1"/>
        <v>1.851477939202925</v>
      </c>
      <c r="O35" s="11"/>
      <c r="P35" s="2">
        <f>--103970.97</f>
        <v>103970.97</v>
      </c>
      <c r="Q35" s="2"/>
      <c r="R35" s="19"/>
      <c r="S35" s="2"/>
      <c r="T35" s="2">
        <f>--38823.84</f>
        <v>38823.839999999997</v>
      </c>
      <c r="U35" s="2"/>
      <c r="V35" s="19"/>
      <c r="W35" s="2"/>
      <c r="X35" s="2">
        <f t="shared" si="2"/>
        <v>65147.130000000005</v>
      </c>
      <c r="Y35" s="2"/>
      <c r="Z35" s="19">
        <f t="shared" si="3"/>
        <v>1.6780187122139389</v>
      </c>
    </row>
    <row r="36" spans="1:26" s="24" customFormat="1" hidden="1" outlineLevel="1" x14ac:dyDescent="0.25">
      <c r="A36" s="44"/>
      <c r="B36" s="11" t="str">
        <f>CONCATENATE("          ", "4141", " - ", "NON-TAXABLE SALES-LOGO GIFTS")</f>
        <v xml:space="preserve">          4141 - NON-TAXABLE SALES-LOGO GIFTS</v>
      </c>
      <c r="C36" s="11"/>
      <c r="D36" s="2">
        <f>--1772.08</f>
        <v>1772.08</v>
      </c>
      <c r="E36" s="2"/>
      <c r="F36" s="19"/>
      <c r="G36" s="2"/>
      <c r="H36" s="2">
        <f>--699.6</f>
        <v>699.6</v>
      </c>
      <c r="I36" s="2"/>
      <c r="J36" s="19"/>
      <c r="K36" s="2"/>
      <c r="L36" s="2">
        <f t="shared" si="0"/>
        <v>1072.48</v>
      </c>
      <c r="M36" s="2"/>
      <c r="N36" s="19">
        <f t="shared" si="1"/>
        <v>1.5329902801600914</v>
      </c>
      <c r="O36" s="11"/>
      <c r="P36" s="2">
        <f>--5449.6</f>
        <v>5449.6</v>
      </c>
      <c r="Q36" s="2"/>
      <c r="R36" s="19"/>
      <c r="S36" s="2"/>
      <c r="T36" s="2">
        <f>--2377.13</f>
        <v>2377.13</v>
      </c>
      <c r="U36" s="2"/>
      <c r="V36" s="19"/>
      <c r="W36" s="2"/>
      <c r="X36" s="2">
        <f t="shared" si="2"/>
        <v>3072.4700000000003</v>
      </c>
      <c r="Y36" s="2"/>
      <c r="Z36" s="19">
        <f t="shared" si="3"/>
        <v>1.2925123994060064</v>
      </c>
    </row>
    <row r="37" spans="1:26" s="24" customFormat="1" hidden="1" outlineLevel="1" x14ac:dyDescent="0.25">
      <c r="A37" s="44"/>
      <c r="B37" s="11" t="str">
        <f>CONCATENATE("          ", "4142", " - ", "NON-TAXABLE SALES-EVERYDAY GIF")</f>
        <v xml:space="preserve">          4142 - NON-TAXABLE SALES-EVERYDAY GIF</v>
      </c>
      <c r="C37" s="11"/>
      <c r="D37" s="2">
        <f>0</f>
        <v>0</v>
      </c>
      <c r="E37" s="2"/>
      <c r="F37" s="19"/>
      <c r="G37" s="2"/>
      <c r="H37" s="2">
        <f>--1314.66</f>
        <v>1314.66</v>
      </c>
      <c r="I37" s="2"/>
      <c r="J37" s="19"/>
      <c r="K37" s="2"/>
      <c r="L37" s="2">
        <f t="shared" si="0"/>
        <v>-1314.66</v>
      </c>
      <c r="M37" s="2"/>
      <c r="N37" s="19">
        <f t="shared" si="1"/>
        <v>-1</v>
      </c>
      <c r="O37" s="11"/>
      <c r="P37" s="2">
        <f>--1097.6</f>
        <v>1097.5999999999999</v>
      </c>
      <c r="Q37" s="2"/>
      <c r="R37" s="19"/>
      <c r="S37" s="2"/>
      <c r="T37" s="2">
        <f>--3730.49</f>
        <v>3730.49</v>
      </c>
      <c r="U37" s="2"/>
      <c r="V37" s="19"/>
      <c r="W37" s="2"/>
      <c r="X37" s="2">
        <f t="shared" si="2"/>
        <v>-2632.89</v>
      </c>
      <c r="Y37" s="2"/>
      <c r="Z37" s="19">
        <f t="shared" si="3"/>
        <v>-0.70577591683666219</v>
      </c>
    </row>
    <row r="38" spans="1:26" s="24" customFormat="1" hidden="1" outlineLevel="1" x14ac:dyDescent="0.25">
      <c r="A38" s="44"/>
      <c r="B38" s="11" t="str">
        <f>CONCATENATE("          ", "4143", " - ", "NON-TAXABLE SALES-CARDS")</f>
        <v xml:space="preserve">          4143 - NON-TAXABLE SALES-CARDS</v>
      </c>
      <c r="C38" s="11"/>
      <c r="D38" s="2">
        <f>--1697.07</f>
        <v>1697.07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1697.07</v>
      </c>
      <c r="M38" s="2"/>
      <c r="N38" s="19">
        <f t="shared" si="1"/>
        <v>0</v>
      </c>
      <c r="O38" s="11"/>
      <c r="P38" s="2">
        <f>--1737.03</f>
        <v>1737.03</v>
      </c>
      <c r="Q38" s="2"/>
      <c r="R38" s="19"/>
      <c r="S38" s="2"/>
      <c r="T38" s="2">
        <f>0</f>
        <v>0</v>
      </c>
      <c r="U38" s="2"/>
      <c r="V38" s="19"/>
      <c r="W38" s="2"/>
      <c r="X38" s="2">
        <f t="shared" si="2"/>
        <v>1737.03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"4144", " - ", "NON-TAXABLE SALES-ACCESSORIES")</f>
        <v xml:space="preserve">          4144 - NON-TAXABLE SALES-ACCESSORIES</v>
      </c>
      <c r="C39" s="11"/>
      <c r="D39" s="2">
        <f>--99.8</f>
        <v>99.8</v>
      </c>
      <c r="E39" s="2"/>
      <c r="F39" s="19"/>
      <c r="G39" s="2"/>
      <c r="H39" s="2">
        <f>--351.29</f>
        <v>351.29</v>
      </c>
      <c r="I39" s="2"/>
      <c r="J39" s="19"/>
      <c r="K39" s="2"/>
      <c r="L39" s="2">
        <f t="shared" si="0"/>
        <v>-251.49</v>
      </c>
      <c r="M39" s="2"/>
      <c r="N39" s="19">
        <f t="shared" si="1"/>
        <v>-0.71590423866321273</v>
      </c>
      <c r="O39" s="11"/>
      <c r="P39" s="2">
        <f>--489.5</f>
        <v>489.5</v>
      </c>
      <c r="Q39" s="2"/>
      <c r="R39" s="19"/>
      <c r="S39" s="2"/>
      <c r="T39" s="2">
        <f>--592.85</f>
        <v>592.85</v>
      </c>
      <c r="U39" s="2"/>
      <c r="V39" s="19"/>
      <c r="W39" s="2"/>
      <c r="X39" s="2">
        <f t="shared" si="2"/>
        <v>-103.35000000000002</v>
      </c>
      <c r="Y39" s="2"/>
      <c r="Z39" s="19">
        <f t="shared" si="3"/>
        <v>-0.17432740153495829</v>
      </c>
    </row>
    <row r="40" spans="1:26" s="24" customFormat="1" hidden="1" outlineLevel="1" x14ac:dyDescent="0.25">
      <c r="A40" s="44"/>
      <c r="B40" s="11" t="str">
        <f>CONCATENATE("          ", "4145", " - ", "NON-TAXABLE SALES-SPECIAL ORDE")</f>
        <v xml:space="preserve">          4145 - NON-TAXABLE SALES-SPECIAL ORDE</v>
      </c>
      <c r="C40" s="11"/>
      <c r="D40" s="2">
        <f>--16747.77</f>
        <v>16747.77</v>
      </c>
      <c r="E40" s="2"/>
      <c r="F40" s="19"/>
      <c r="G40" s="2"/>
      <c r="H40" s="2">
        <f t="shared" ref="H40:H43" si="11">0</f>
        <v>0</v>
      </c>
      <c r="I40" s="2"/>
      <c r="J40" s="19"/>
      <c r="K40" s="2"/>
      <c r="L40" s="2">
        <f t="shared" si="0"/>
        <v>16747.77</v>
      </c>
      <c r="M40" s="2"/>
      <c r="N40" s="19">
        <f t="shared" si="1"/>
        <v>0</v>
      </c>
      <c r="O40" s="11"/>
      <c r="P40" s="2">
        <f>--55393.77</f>
        <v>55393.77</v>
      </c>
      <c r="Q40" s="2"/>
      <c r="R40" s="19"/>
      <c r="S40" s="2"/>
      <c r="T40" s="2">
        <f>--140</f>
        <v>140</v>
      </c>
      <c r="U40" s="2"/>
      <c r="V40" s="19"/>
      <c r="W40" s="2"/>
      <c r="X40" s="2">
        <f t="shared" si="2"/>
        <v>55253.77</v>
      </c>
      <c r="Y40" s="2"/>
      <c r="Z40" s="19">
        <f t="shared" si="3"/>
        <v>394.66978571428569</v>
      </c>
    </row>
    <row r="41" spans="1:26" s="24" customFormat="1" hidden="1" outlineLevel="1" x14ac:dyDescent="0.25">
      <c r="A41" s="44"/>
      <c r="B41" s="11" t="str">
        <f>CONCATENATE("          ", "4226", " - ", "SALES RETURN TAXABLE-WRITING I")</f>
        <v xml:space="preserve">          4226 - SALES RETURN TAXABLE-WRITING I</v>
      </c>
      <c r="C41" s="11"/>
      <c r="D41" s="2">
        <f>0</f>
        <v>0</v>
      </c>
      <c r="E41" s="2"/>
      <c r="F41" s="19"/>
      <c r="G41" s="2"/>
      <c r="H41" s="2">
        <f t="shared" si="11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-34.23</f>
        <v>-34.229999999999997</v>
      </c>
      <c r="Q41" s="2"/>
      <c r="R41" s="19"/>
      <c r="S41" s="2"/>
      <c r="T41" s="2">
        <f>-134.8</f>
        <v>-134.80000000000001</v>
      </c>
      <c r="U41" s="2"/>
      <c r="V41" s="19"/>
      <c r="W41" s="2"/>
      <c r="X41" s="2">
        <f t="shared" si="2"/>
        <v>100.57000000000002</v>
      </c>
      <c r="Y41" s="2"/>
      <c r="Z41" s="19">
        <f t="shared" si="3"/>
        <v>-0.74606824925816029</v>
      </c>
    </row>
    <row r="42" spans="1:26" s="24" customFormat="1" hidden="1" outlineLevel="1" x14ac:dyDescent="0.25">
      <c r="A42" s="44"/>
      <c r="B42" s="11" t="str">
        <f>CONCATENATE("          ", "4227", " - ", "SALES RETURN TAXABLE-SCHOOL SU")</f>
        <v xml:space="preserve">          4227 - SALES RETURN TAXABLE-SCHOOL SU</v>
      </c>
      <c r="C42" s="11"/>
      <c r="D42" s="2">
        <f>-25.82</f>
        <v>-25.82</v>
      </c>
      <c r="E42" s="2"/>
      <c r="F42" s="19"/>
      <c r="G42" s="2"/>
      <c r="H42" s="2">
        <f t="shared" si="11"/>
        <v>0</v>
      </c>
      <c r="I42" s="2"/>
      <c r="J42" s="19"/>
      <c r="K42" s="2"/>
      <c r="L42" s="2">
        <f t="shared" si="0"/>
        <v>-25.82</v>
      </c>
      <c r="M42" s="2"/>
      <c r="N42" s="19">
        <f t="shared" si="1"/>
        <v>0</v>
      </c>
      <c r="O42" s="11"/>
      <c r="P42" s="2">
        <f>-476.49</f>
        <v>-476.49</v>
      </c>
      <c r="Q42" s="2"/>
      <c r="R42" s="19"/>
      <c r="S42" s="2"/>
      <c r="T42" s="2">
        <f t="shared" ref="T42:T43" si="12">0</f>
        <v>0</v>
      </c>
      <c r="U42" s="2"/>
      <c r="V42" s="19"/>
      <c r="W42" s="2"/>
      <c r="X42" s="2">
        <f t="shared" si="2"/>
        <v>-476.49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"4228", " - ", "SALES RETURN TAXABLE-ART/TECH")</f>
        <v xml:space="preserve">          4228 - SALES RETURN TAXABLE-ART/TECH</v>
      </c>
      <c r="C43" s="11"/>
      <c r="D43" s="2">
        <f>0</f>
        <v>0</v>
      </c>
      <c r="E43" s="2"/>
      <c r="F43" s="19"/>
      <c r="G43" s="2"/>
      <c r="H43" s="2">
        <f t="shared" si="11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-32.49</f>
        <v>-32.49</v>
      </c>
      <c r="Q43" s="2"/>
      <c r="R43" s="19"/>
      <c r="S43" s="2"/>
      <c r="T43" s="2">
        <f t="shared" si="12"/>
        <v>0</v>
      </c>
      <c r="U43" s="2"/>
      <c r="V43" s="19"/>
      <c r="W43" s="2"/>
      <c r="X43" s="2">
        <f t="shared" si="2"/>
        <v>-32.49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"4240", " - ", "SALES RETURN TAXABLE-LOGO CLOT")</f>
        <v xml:space="preserve">          4240 - SALES RETURN TAXABLE-LOGO CLOT</v>
      </c>
      <c r="C44" s="11"/>
      <c r="D44" s="2">
        <f>-4840.17</f>
        <v>-4840.17</v>
      </c>
      <c r="E44" s="2"/>
      <c r="F44" s="19"/>
      <c r="G44" s="2"/>
      <c r="H44" s="2">
        <f>-8212.91</f>
        <v>-8212.91</v>
      </c>
      <c r="I44" s="2"/>
      <c r="J44" s="19"/>
      <c r="K44" s="2"/>
      <c r="L44" s="2">
        <f t="shared" si="0"/>
        <v>3372.74</v>
      </c>
      <c r="M44" s="2"/>
      <c r="N44" s="19">
        <f t="shared" si="1"/>
        <v>-0.41066321194314803</v>
      </c>
      <c r="O44" s="11"/>
      <c r="P44" s="2">
        <f>-20418.84</f>
        <v>-20418.84</v>
      </c>
      <c r="Q44" s="2"/>
      <c r="R44" s="19"/>
      <c r="S44" s="2"/>
      <c r="T44" s="2">
        <f>-49321.94</f>
        <v>-49321.94</v>
      </c>
      <c r="U44" s="2"/>
      <c r="V44" s="19"/>
      <c r="W44" s="2"/>
      <c r="X44" s="2">
        <f t="shared" si="2"/>
        <v>28903.100000000002</v>
      </c>
      <c r="Y44" s="2"/>
      <c r="Z44" s="19">
        <f t="shared" si="3"/>
        <v>-0.58600898504803345</v>
      </c>
    </row>
    <row r="45" spans="1:26" s="24" customFormat="1" hidden="1" outlineLevel="1" x14ac:dyDescent="0.25">
      <c r="A45" s="44"/>
      <c r="B45" s="11" t="str">
        <f>CONCATENATE("          ", "4241", " - ", "SALES RETURN TAXABLE-LOGO GIFT")</f>
        <v xml:space="preserve">          4241 - SALES RETURN TAXABLE-LOGO GIFT</v>
      </c>
      <c r="C45" s="11"/>
      <c r="D45" s="2">
        <f>-747.01</f>
        <v>-747.01</v>
      </c>
      <c r="E45" s="2"/>
      <c r="F45" s="19"/>
      <c r="G45" s="2"/>
      <c r="H45" s="2">
        <f>-939.28</f>
        <v>-939.28</v>
      </c>
      <c r="I45" s="2"/>
      <c r="J45" s="19"/>
      <c r="K45" s="2"/>
      <c r="L45" s="2">
        <f t="shared" si="0"/>
        <v>192.26999999999998</v>
      </c>
      <c r="M45" s="2"/>
      <c r="N45" s="19">
        <f t="shared" si="1"/>
        <v>-0.2046993441785197</v>
      </c>
      <c r="O45" s="11"/>
      <c r="P45" s="2">
        <f>-2721.66</f>
        <v>-2721.66</v>
      </c>
      <c r="Q45" s="2"/>
      <c r="R45" s="19"/>
      <c r="S45" s="2"/>
      <c r="T45" s="2">
        <f>-3514.12</f>
        <v>-3514.12</v>
      </c>
      <c r="U45" s="2"/>
      <c r="V45" s="19"/>
      <c r="W45" s="2"/>
      <c r="X45" s="2">
        <f t="shared" si="2"/>
        <v>792.46</v>
      </c>
      <c r="Y45" s="2"/>
      <c r="Z45" s="19">
        <f t="shared" si="3"/>
        <v>-0.22550738164889078</v>
      </c>
    </row>
    <row r="46" spans="1:26" s="24" customFormat="1" hidden="1" outlineLevel="1" x14ac:dyDescent="0.25">
      <c r="A46" s="44"/>
      <c r="B46" s="11" t="str">
        <f>CONCATENATE("          ", "4242", " - ", "SALES RETURN TAXABLE-EVERYDAY")</f>
        <v xml:space="preserve">          4242 - SALES RETURN TAXABLE-EVERYDAY</v>
      </c>
      <c r="C46" s="11"/>
      <c r="D46" s="2">
        <f>-287.93</f>
        <v>-287.93</v>
      </c>
      <c r="E46" s="2"/>
      <c r="F46" s="19"/>
      <c r="G46" s="2"/>
      <c r="H46" s="2">
        <f>-1097.55</f>
        <v>-1097.55</v>
      </c>
      <c r="I46" s="2"/>
      <c r="J46" s="19"/>
      <c r="K46" s="2"/>
      <c r="L46" s="2">
        <f t="shared" si="0"/>
        <v>809.61999999999989</v>
      </c>
      <c r="M46" s="2"/>
      <c r="N46" s="19">
        <f t="shared" si="1"/>
        <v>-0.73766115438932156</v>
      </c>
      <c r="O46" s="11"/>
      <c r="P46" s="2">
        <f>-1616.92</f>
        <v>-1616.92</v>
      </c>
      <c r="Q46" s="2"/>
      <c r="R46" s="19"/>
      <c r="S46" s="2"/>
      <c r="T46" s="2">
        <f>-2773.22</f>
        <v>-2773.22</v>
      </c>
      <c r="U46" s="2"/>
      <c r="V46" s="19"/>
      <c r="W46" s="2"/>
      <c r="X46" s="2">
        <f t="shared" si="2"/>
        <v>1156.2999999999997</v>
      </c>
      <c r="Y46" s="2"/>
      <c r="Z46" s="19">
        <f t="shared" si="3"/>
        <v>-0.41695213506321166</v>
      </c>
    </row>
    <row r="47" spans="1:26" s="24" customFormat="1" hidden="1" outlineLevel="1" x14ac:dyDescent="0.25">
      <c r="A47" s="44"/>
      <c r="B47" s="11" t="str">
        <f>CONCATENATE("          ", "4243", " - ", "SALES RETURN TAXABLE-CARDS")</f>
        <v xml:space="preserve">          4243 - SALES RETURN TAXABLE-CARDS</v>
      </c>
      <c r="C47" s="11"/>
      <c r="D47" s="2">
        <f>-1765.08</f>
        <v>-1765.08</v>
      </c>
      <c r="E47" s="2"/>
      <c r="F47" s="19"/>
      <c r="G47" s="2"/>
      <c r="H47" s="2">
        <f>-558.63</f>
        <v>-558.63</v>
      </c>
      <c r="I47" s="2"/>
      <c r="J47" s="19"/>
      <c r="K47" s="2"/>
      <c r="L47" s="2">
        <f t="shared" si="0"/>
        <v>-1206.4499999999998</v>
      </c>
      <c r="M47" s="2"/>
      <c r="N47" s="19">
        <f t="shared" si="1"/>
        <v>2.1596584501369418</v>
      </c>
      <c r="O47" s="11"/>
      <c r="P47" s="2">
        <f>-3577.54</f>
        <v>-3577.54</v>
      </c>
      <c r="Q47" s="2"/>
      <c r="R47" s="19"/>
      <c r="S47" s="2"/>
      <c r="T47" s="2">
        <f>-879.47</f>
        <v>-879.47</v>
      </c>
      <c r="U47" s="2"/>
      <c r="V47" s="19"/>
      <c r="W47" s="2"/>
      <c r="X47" s="2">
        <f t="shared" si="2"/>
        <v>-2698.0699999999997</v>
      </c>
      <c r="Y47" s="2"/>
      <c r="Z47" s="19">
        <f t="shared" si="3"/>
        <v>3.0678363105051902</v>
      </c>
    </row>
    <row r="48" spans="1:26" s="24" customFormat="1" hidden="1" outlineLevel="1" x14ac:dyDescent="0.25">
      <c r="A48" s="44"/>
      <c r="B48" s="11" t="str">
        <f>CONCATENATE("          ", "4244", " - ", "SALES RETURN TAXABLE-ACCESSORI")</f>
        <v xml:space="preserve">          4244 - SALES RETURN TAXABLE-ACCESSORI</v>
      </c>
      <c r="C48" s="11"/>
      <c r="D48" s="2">
        <f>-299.93</f>
        <v>-299.93</v>
      </c>
      <c r="E48" s="2"/>
      <c r="F48" s="19"/>
      <c r="G48" s="2"/>
      <c r="H48" s="2">
        <f>-202.71</f>
        <v>-202.71</v>
      </c>
      <c r="I48" s="2"/>
      <c r="J48" s="19"/>
      <c r="K48" s="2"/>
      <c r="L48" s="2">
        <f t="shared" si="0"/>
        <v>-97.22</v>
      </c>
      <c r="M48" s="2"/>
      <c r="N48" s="19">
        <f t="shared" si="1"/>
        <v>0.47960140101623006</v>
      </c>
      <c r="O48" s="11"/>
      <c r="P48" s="2">
        <f>-890.87</f>
        <v>-890.87</v>
      </c>
      <c r="Q48" s="2"/>
      <c r="R48" s="19"/>
      <c r="S48" s="2"/>
      <c r="T48" s="2">
        <f>-1731.77</f>
        <v>-1731.77</v>
      </c>
      <c r="U48" s="2"/>
      <c r="V48" s="19"/>
      <c r="W48" s="2"/>
      <c r="X48" s="2">
        <f t="shared" si="2"/>
        <v>840.9</v>
      </c>
      <c r="Y48" s="2"/>
      <c r="Z48" s="19">
        <f t="shared" si="3"/>
        <v>-0.48557256448604608</v>
      </c>
    </row>
    <row r="49" spans="1:26" s="24" customFormat="1" hidden="1" outlineLevel="1" x14ac:dyDescent="0.25">
      <c r="A49" s="44"/>
      <c r="B49" s="11" t="str">
        <f>CONCATENATE("          ", "4245", " - ", "SALES RETURN TAXABLE-SPECIAL O")</f>
        <v xml:space="preserve">          4245 - SALES RETURN TAXABLE-SPECIAL O</v>
      </c>
      <c r="C49" s="11"/>
      <c r="D49" s="2">
        <f>-9752.79</f>
        <v>-9752.7900000000009</v>
      </c>
      <c r="E49" s="2"/>
      <c r="F49" s="19"/>
      <c r="G49" s="2"/>
      <c r="H49" s="2">
        <f t="shared" ref="H49:H50" si="13">0</f>
        <v>0</v>
      </c>
      <c r="I49" s="2"/>
      <c r="J49" s="19"/>
      <c r="K49" s="2"/>
      <c r="L49" s="2">
        <f t="shared" si="0"/>
        <v>-9752.7900000000009</v>
      </c>
      <c r="M49" s="2"/>
      <c r="N49" s="19">
        <f t="shared" si="1"/>
        <v>0</v>
      </c>
      <c r="O49" s="11"/>
      <c r="P49" s="2">
        <f>-11345.61</f>
        <v>-11345.61</v>
      </c>
      <c r="Q49" s="2"/>
      <c r="R49" s="19"/>
      <c r="S49" s="2"/>
      <c r="T49" s="2">
        <f>-91.96</f>
        <v>-91.96</v>
      </c>
      <c r="U49" s="2"/>
      <c r="V49" s="19"/>
      <c r="W49" s="2"/>
      <c r="X49" s="2">
        <f t="shared" si="2"/>
        <v>-11253.650000000001</v>
      </c>
      <c r="Y49" s="2"/>
      <c r="Z49" s="19">
        <f t="shared" si="3"/>
        <v>122.37548934319271</v>
      </c>
    </row>
    <row r="50" spans="1:26" s="24" customFormat="1" hidden="1" outlineLevel="1" x14ac:dyDescent="0.25">
      <c r="A50" s="44"/>
      <c r="B50" s="11" t="str">
        <f>CONCATENATE("          ", "4295", " - ", "SALES RETURN TAXABLE-CUSTOMER")</f>
        <v xml:space="preserve">          4295 - SALES RETURN TAXABLE-CUSTOMER</v>
      </c>
      <c r="C50" s="11"/>
      <c r="D50" s="2">
        <f>0</f>
        <v>0</v>
      </c>
      <c r="E50" s="2"/>
      <c r="F50" s="19"/>
      <c r="G50" s="2"/>
      <c r="H50" s="2">
        <f t="shared" si="13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0</f>
        <v>0</v>
      </c>
      <c r="Q50" s="2"/>
      <c r="R50" s="19"/>
      <c r="S50" s="2"/>
      <c r="T50" s="2">
        <f>--0.99</f>
        <v>0.99</v>
      </c>
      <c r="U50" s="2"/>
      <c r="V50" s="19"/>
      <c r="W50" s="2"/>
      <c r="X50" s="2">
        <f t="shared" si="2"/>
        <v>-0.99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"4340", " - ", "SALES RETURN NON TAXABLE-LOGO")</f>
        <v xml:space="preserve">          4340 - SALES RETURN NON TAXABLE-LOGO</v>
      </c>
      <c r="C51" s="11"/>
      <c r="D51" s="2">
        <f>-543.24</f>
        <v>-543.24</v>
      </c>
      <c r="E51" s="2"/>
      <c r="F51" s="19"/>
      <c r="G51" s="2"/>
      <c r="H51" s="2">
        <f>-391.5</f>
        <v>-391.5</v>
      </c>
      <c r="I51" s="2"/>
      <c r="J51" s="19"/>
      <c r="K51" s="2"/>
      <c r="L51" s="2">
        <f t="shared" si="0"/>
        <v>-151.74</v>
      </c>
      <c r="M51" s="2"/>
      <c r="N51" s="19">
        <f t="shared" si="1"/>
        <v>0.38758620689655177</v>
      </c>
      <c r="O51" s="11"/>
      <c r="P51" s="2">
        <f>-1483.72</f>
        <v>-1483.72</v>
      </c>
      <c r="Q51" s="2"/>
      <c r="R51" s="19"/>
      <c r="S51" s="2"/>
      <c r="T51" s="2">
        <f>-714.9</f>
        <v>-714.9</v>
      </c>
      <c r="U51" s="2"/>
      <c r="V51" s="19"/>
      <c r="W51" s="2"/>
      <c r="X51" s="2">
        <f t="shared" si="2"/>
        <v>-768.82</v>
      </c>
      <c r="Y51" s="2"/>
      <c r="Z51" s="19">
        <f t="shared" si="3"/>
        <v>1.0754231361029516</v>
      </c>
    </row>
    <row r="52" spans="1:26" s="24" customFormat="1" hidden="1" outlineLevel="1" x14ac:dyDescent="0.25">
      <c r="A52" s="44"/>
      <c r="B52" s="11" t="str">
        <f>CONCATENATE("          ", "4341", " - ", "SALES RETURN NON TAXABLE-LOGO")</f>
        <v xml:space="preserve">          4341 - SALES RETURN NON TAXABLE-LOGO</v>
      </c>
      <c r="C52" s="11"/>
      <c r="D52" s="2">
        <f>-33.85</f>
        <v>-33.85</v>
      </c>
      <c r="E52" s="2"/>
      <c r="F52" s="19"/>
      <c r="G52" s="2"/>
      <c r="H52" s="2">
        <f>-9.95</f>
        <v>-9.9499999999999993</v>
      </c>
      <c r="I52" s="2"/>
      <c r="J52" s="19"/>
      <c r="K52" s="2"/>
      <c r="L52" s="2">
        <f t="shared" si="0"/>
        <v>-23.900000000000002</v>
      </c>
      <c r="M52" s="2"/>
      <c r="N52" s="19">
        <f t="shared" si="1"/>
        <v>2.4020100502512567</v>
      </c>
      <c r="O52" s="11"/>
      <c r="P52" s="2">
        <f>-335.64</f>
        <v>-335.64</v>
      </c>
      <c r="Q52" s="2"/>
      <c r="R52" s="19"/>
      <c r="S52" s="2"/>
      <c r="T52" s="2">
        <f>-20.85</f>
        <v>-20.85</v>
      </c>
      <c r="U52" s="2"/>
      <c r="V52" s="19"/>
      <c r="W52" s="2"/>
      <c r="X52" s="2">
        <f t="shared" si="2"/>
        <v>-314.78999999999996</v>
      </c>
      <c r="Y52" s="2"/>
      <c r="Z52" s="19">
        <f t="shared" si="3"/>
        <v>15.097841726618702</v>
      </c>
    </row>
    <row r="53" spans="1:26" s="24" customFormat="1" hidden="1" outlineLevel="1" x14ac:dyDescent="0.25">
      <c r="A53" s="44"/>
      <c r="B53" s="11" t="str">
        <f>CONCATENATE("          ", "4342", " - ", "SALES RETURN NON TAXABLE-EVERY")</f>
        <v xml:space="preserve">          4342 - SALES RETURN NON TAXABLE-EVERY</v>
      </c>
      <c r="C53" s="11"/>
      <c r="D53" s="2">
        <f>0</f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-118.7</f>
        <v>-118.7</v>
      </c>
      <c r="Q53" s="2"/>
      <c r="R53" s="19"/>
      <c r="S53" s="2"/>
      <c r="T53" s="2">
        <f>-109.8</f>
        <v>-109.8</v>
      </c>
      <c r="U53" s="2"/>
      <c r="V53" s="19"/>
      <c r="W53" s="2"/>
      <c r="X53" s="2">
        <f t="shared" si="2"/>
        <v>-8.9000000000000057</v>
      </c>
      <c r="Y53" s="2"/>
      <c r="Z53" s="19">
        <f t="shared" si="3"/>
        <v>8.1056466302367999E-2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collapsed="1" x14ac:dyDescent="0.25">
      <c r="A55" s="10"/>
      <c r="B55" s="29" t="s">
        <v>8</v>
      </c>
      <c r="C55" s="10"/>
      <c r="D55" s="4">
        <f>SUM(OSRRefD16x_0)</f>
        <v>123873.99999999999</v>
      </c>
      <c r="E55" s="4"/>
      <c r="F55" s="12">
        <f t="shared" ref="F55:F82" si="14">IF(D$12=0,0,D55/D$12)</f>
        <v>0.57709050305647303</v>
      </c>
      <c r="G55" s="4"/>
      <c r="H55" s="4">
        <f>SUM(OSRRefH16x_0)</f>
        <v>139371.29999999996</v>
      </c>
      <c r="I55" s="4"/>
      <c r="J55" s="12">
        <f t="shared" ref="J55:J82" si="15">IF(H$12=0,0,H55/H$12)</f>
        <v>0.46531214919123187</v>
      </c>
      <c r="K55" s="4"/>
      <c r="L55" s="4">
        <f t="shared" ref="L55:L82" si="16">+D55-H55</f>
        <v>-15497.299999999974</v>
      </c>
      <c r="M55" s="4"/>
      <c r="N55" s="12">
        <f t="shared" ref="N55:N82" si="17">IF(H55=0,0,L55/H55)</f>
        <v>-0.11119434202020057</v>
      </c>
      <c r="O55" s="10"/>
      <c r="P55" s="4">
        <f>SUM(OSRRefP16x_0)</f>
        <v>598207.53999999992</v>
      </c>
      <c r="Q55" s="4"/>
      <c r="R55" s="12">
        <f t="shared" ref="R55:R82" si="18">IF(P$12=0,0,P55/P$12)</f>
        <v>0.58049064620787993</v>
      </c>
      <c r="S55" s="4"/>
      <c r="T55" s="4">
        <f>SUM(OSRRefT16x_0)</f>
        <v>805515.28</v>
      </c>
      <c r="U55" s="4"/>
      <c r="V55" s="12">
        <f t="shared" ref="V55:V82" si="19">IF(T$12=0,0,T55/T$12)</f>
        <v>0.4599505393818456</v>
      </c>
      <c r="W55" s="4"/>
      <c r="X55" s="4">
        <f t="shared" ref="X55:X82" si="20">+P55-T55</f>
        <v>-207307.74000000011</v>
      </c>
      <c r="Y55" s="4"/>
      <c r="Z55" s="12">
        <f t="shared" ref="Z55:Z82" si="21">IF(T55=0,0,X55/T55)</f>
        <v>-0.25736040662071624</v>
      </c>
    </row>
    <row r="56" spans="1:26" s="24" customFormat="1" hidden="1" outlineLevel="1" x14ac:dyDescent="0.25">
      <c r="A56" s="44"/>
      <c r="B56" s="11" t="str">
        <f>CONCATENATE("          ", "5025", " - ", "PURCHASES @ COST-TEST FORMS")</f>
        <v xml:space="preserve">          5025 - PURCHASES @ COST-TEST FORMS</v>
      </c>
      <c r="C56" s="11"/>
      <c r="D56" s="2"/>
      <c r="E56" s="2"/>
      <c r="F56" s="19">
        <f t="shared" si="14"/>
        <v>0</v>
      </c>
      <c r="G56" s="2"/>
      <c r="H56" s="2"/>
      <c r="I56" s="2"/>
      <c r="J56" s="19">
        <f t="shared" si="15"/>
        <v>0</v>
      </c>
      <c r="K56" s="2"/>
      <c r="L56" s="2">
        <f t="shared" si="16"/>
        <v>0</v>
      </c>
      <c r="M56" s="2"/>
      <c r="N56" s="19">
        <f t="shared" si="17"/>
        <v>0</v>
      </c>
      <c r="O56" s="11"/>
      <c r="P56" s="2">
        <v>599.29</v>
      </c>
      <c r="Q56" s="2"/>
      <c r="R56" s="19">
        <f t="shared" si="18"/>
        <v>5.8154104738619716E-4</v>
      </c>
      <c r="S56" s="2"/>
      <c r="T56" s="2"/>
      <c r="U56" s="2"/>
      <c r="V56" s="19">
        <f t="shared" si="19"/>
        <v>0</v>
      </c>
      <c r="W56" s="2"/>
      <c r="X56" s="2">
        <f t="shared" si="20"/>
        <v>599.29</v>
      </c>
      <c r="Y56" s="2"/>
      <c r="Z56" s="19">
        <f t="shared" si="21"/>
        <v>0</v>
      </c>
    </row>
    <row r="57" spans="1:26" s="24" customFormat="1" hidden="1" outlineLevel="1" x14ac:dyDescent="0.25">
      <c r="A57" s="44"/>
      <c r="B57" s="11" t="str">
        <f>CONCATENATE("          ", "5026", " - ", "PURCHASES @ COST-WRITING INSTR")</f>
        <v xml:space="preserve">          5026 - PURCHASES @ COST-WRITING INSTR</v>
      </c>
      <c r="C57" s="11"/>
      <c r="D57" s="2"/>
      <c r="E57" s="2"/>
      <c r="F57" s="19">
        <f t="shared" si="14"/>
        <v>0</v>
      </c>
      <c r="G57" s="2"/>
      <c r="H57" s="2">
        <v>16.03</v>
      </c>
      <c r="I57" s="2"/>
      <c r="J57" s="19">
        <f t="shared" si="15"/>
        <v>5.351857772393204E-5</v>
      </c>
      <c r="K57" s="2"/>
      <c r="L57" s="2">
        <f t="shared" si="16"/>
        <v>-16.03</v>
      </c>
      <c r="M57" s="2"/>
      <c r="N57" s="19">
        <f t="shared" si="17"/>
        <v>-1</v>
      </c>
      <c r="O57" s="11"/>
      <c r="P57" s="2">
        <v>10</v>
      </c>
      <c r="Q57" s="2"/>
      <c r="R57" s="19">
        <f t="shared" si="18"/>
        <v>9.7038336596004807E-6</v>
      </c>
      <c r="S57" s="2"/>
      <c r="T57" s="2">
        <v>-21.24</v>
      </c>
      <c r="U57" s="2"/>
      <c r="V57" s="19">
        <f t="shared" si="19"/>
        <v>-1.2128074661067137E-5</v>
      </c>
      <c r="W57" s="2"/>
      <c r="X57" s="2">
        <f t="shared" si="20"/>
        <v>31.24</v>
      </c>
      <c r="Y57" s="2"/>
      <c r="Z57" s="19">
        <f t="shared" si="21"/>
        <v>-1.4708097928436912</v>
      </c>
    </row>
    <row r="58" spans="1:26" s="24" customFormat="1" hidden="1" outlineLevel="1" x14ac:dyDescent="0.25">
      <c r="A58" s="44"/>
      <c r="B58" s="11" t="str">
        <f>CONCATENATE("          ", "5027", " - ", "PURCHASES @ COST-SCHOOL SUPPLI")</f>
        <v xml:space="preserve">          5027 - PURCHASES @ COST-SCHOOL SUPPLI</v>
      </c>
      <c r="C58" s="11"/>
      <c r="D58" s="2"/>
      <c r="E58" s="2"/>
      <c r="F58" s="19">
        <f t="shared" si="14"/>
        <v>0</v>
      </c>
      <c r="G58" s="2"/>
      <c r="H58" s="2"/>
      <c r="I58" s="2"/>
      <c r="J58" s="19">
        <f t="shared" si="15"/>
        <v>0</v>
      </c>
      <c r="K58" s="2"/>
      <c r="L58" s="2">
        <f t="shared" si="16"/>
        <v>0</v>
      </c>
      <c r="M58" s="2"/>
      <c r="N58" s="19">
        <f t="shared" si="17"/>
        <v>0</v>
      </c>
      <c r="O58" s="11"/>
      <c r="P58" s="2">
        <v>18175.88</v>
      </c>
      <c r="Q58" s="2"/>
      <c r="R58" s="19">
        <f t="shared" si="18"/>
        <v>1.7637571613685919E-2</v>
      </c>
      <c r="S58" s="2"/>
      <c r="T58" s="2">
        <v>51.29</v>
      </c>
      <c r="U58" s="2"/>
      <c r="V58" s="19">
        <f t="shared" si="19"/>
        <v>2.9286673698970502E-5</v>
      </c>
      <c r="W58" s="2"/>
      <c r="X58" s="2">
        <f t="shared" si="20"/>
        <v>18124.59</v>
      </c>
      <c r="Y58" s="2"/>
      <c r="Z58" s="19">
        <f t="shared" si="21"/>
        <v>353.37473191655295</v>
      </c>
    </row>
    <row r="59" spans="1:26" s="24" customFormat="1" hidden="1" outlineLevel="1" x14ac:dyDescent="0.25">
      <c r="A59" s="44"/>
      <c r="B59" s="11" t="str">
        <f>CONCATENATE("          ", "5028", " - ", "PURCHASES @ COST-ART/TECH")</f>
        <v xml:space="preserve">          5028 - PURCHASES @ COST-ART/TECH</v>
      </c>
      <c r="C59" s="11"/>
      <c r="D59" s="2"/>
      <c r="E59" s="2"/>
      <c r="F59" s="19">
        <f t="shared" si="14"/>
        <v>0</v>
      </c>
      <c r="G59" s="2"/>
      <c r="H59" s="2"/>
      <c r="I59" s="2"/>
      <c r="J59" s="19">
        <f t="shared" si="15"/>
        <v>0</v>
      </c>
      <c r="K59" s="2"/>
      <c r="L59" s="2">
        <f t="shared" si="16"/>
        <v>0</v>
      </c>
      <c r="M59" s="2"/>
      <c r="N59" s="19">
        <f t="shared" si="17"/>
        <v>0</v>
      </c>
      <c r="O59" s="11"/>
      <c r="P59" s="2">
        <v>-83.4</v>
      </c>
      <c r="Q59" s="2"/>
      <c r="R59" s="19">
        <f t="shared" si="18"/>
        <v>-8.0929972721068011E-5</v>
      </c>
      <c r="S59" s="2"/>
      <c r="T59" s="2"/>
      <c r="U59" s="2"/>
      <c r="V59" s="19">
        <f t="shared" si="19"/>
        <v>0</v>
      </c>
      <c r="W59" s="2"/>
      <c r="X59" s="2">
        <f t="shared" si="20"/>
        <v>-83.4</v>
      </c>
      <c r="Y59" s="2"/>
      <c r="Z59" s="19">
        <f t="shared" si="21"/>
        <v>0</v>
      </c>
    </row>
    <row r="60" spans="1:26" s="24" customFormat="1" hidden="1" outlineLevel="1" x14ac:dyDescent="0.25">
      <c r="A60" s="44"/>
      <c r="B60" s="11" t="str">
        <f>CONCATENATE("          ", "5031", " - ", "PURCHASES @ COST-FOOD")</f>
        <v xml:space="preserve">          5031 - PURCHASES @ COST-FOOD</v>
      </c>
      <c r="C60" s="11"/>
      <c r="D60" s="2">
        <v>-771.9</v>
      </c>
      <c r="E60" s="2"/>
      <c r="F60" s="19">
        <f t="shared" si="14"/>
        <v>-3.596042424635449E-3</v>
      </c>
      <c r="G60" s="2"/>
      <c r="H60" s="2"/>
      <c r="I60" s="2"/>
      <c r="J60" s="19">
        <f t="shared" si="15"/>
        <v>0</v>
      </c>
      <c r="K60" s="2"/>
      <c r="L60" s="2">
        <f t="shared" si="16"/>
        <v>-771.9</v>
      </c>
      <c r="M60" s="2"/>
      <c r="N60" s="19">
        <f t="shared" si="17"/>
        <v>0</v>
      </c>
      <c r="O60" s="11"/>
      <c r="P60" s="2">
        <v>4833.53</v>
      </c>
      <c r="Q60" s="2"/>
      <c r="R60" s="19">
        <f t="shared" si="18"/>
        <v>4.6903771108688704E-3</v>
      </c>
      <c r="S60" s="2"/>
      <c r="T60" s="2"/>
      <c r="U60" s="2"/>
      <c r="V60" s="19">
        <f t="shared" si="19"/>
        <v>0</v>
      </c>
      <c r="W60" s="2"/>
      <c r="X60" s="2">
        <f t="shared" si="20"/>
        <v>4833.53</v>
      </c>
      <c r="Y60" s="2"/>
      <c r="Z60" s="19">
        <f t="shared" si="21"/>
        <v>0</v>
      </c>
    </row>
    <row r="61" spans="1:26" s="24" customFormat="1" hidden="1" outlineLevel="1" x14ac:dyDescent="0.25">
      <c r="A61" s="44"/>
      <c r="B61" s="11" t="str">
        <f>CONCATENATE("          ", "5037", " - ", "PURCHASES @ COST-WATER")</f>
        <v xml:space="preserve">          5037 - PURCHASES @ COST-WATER</v>
      </c>
      <c r="C61" s="11"/>
      <c r="D61" s="2"/>
      <c r="E61" s="2"/>
      <c r="F61" s="19">
        <f t="shared" si="14"/>
        <v>0</v>
      </c>
      <c r="G61" s="2"/>
      <c r="H61" s="2"/>
      <c r="I61" s="2"/>
      <c r="J61" s="19">
        <f t="shared" si="15"/>
        <v>0</v>
      </c>
      <c r="K61" s="2"/>
      <c r="L61" s="2">
        <f t="shared" si="16"/>
        <v>0</v>
      </c>
      <c r="M61" s="2"/>
      <c r="N61" s="19">
        <f t="shared" si="17"/>
        <v>0</v>
      </c>
      <c r="O61" s="11"/>
      <c r="P61" s="2"/>
      <c r="Q61" s="2"/>
      <c r="R61" s="19">
        <f t="shared" si="18"/>
        <v>0</v>
      </c>
      <c r="S61" s="2"/>
      <c r="T61" s="2">
        <v>29.76</v>
      </c>
      <c r="U61" s="2"/>
      <c r="V61" s="19">
        <f t="shared" si="19"/>
        <v>1.6993008564659041E-5</v>
      </c>
      <c r="W61" s="2"/>
      <c r="X61" s="2">
        <f t="shared" si="20"/>
        <v>-29.76</v>
      </c>
      <c r="Y61" s="2"/>
      <c r="Z61" s="19">
        <f t="shared" si="21"/>
        <v>-1</v>
      </c>
    </row>
    <row r="62" spans="1:26" s="24" customFormat="1" hidden="1" outlineLevel="1" x14ac:dyDescent="0.25">
      <c r="A62" s="44"/>
      <c r="B62" s="11" t="str">
        <f>CONCATENATE("          ", "5040", " - ", "PURCHASES @ COST-LOGO CLOTHING")</f>
        <v xml:space="preserve">          5040 - PURCHASES @ COST-LOGO CLOTHING</v>
      </c>
      <c r="C62" s="11"/>
      <c r="D62" s="2">
        <v>38175.120000000003</v>
      </c>
      <c r="E62" s="2"/>
      <c r="F62" s="19">
        <f t="shared" si="14"/>
        <v>0.17784603068473795</v>
      </c>
      <c r="G62" s="2"/>
      <c r="H62" s="2">
        <v>97946.53</v>
      </c>
      <c r="I62" s="2"/>
      <c r="J62" s="19">
        <f t="shared" si="15"/>
        <v>0.32700929373639681</v>
      </c>
      <c r="K62" s="2"/>
      <c r="L62" s="2">
        <f t="shared" si="16"/>
        <v>-59771.409999999996</v>
      </c>
      <c r="M62" s="2"/>
      <c r="N62" s="19">
        <f t="shared" si="17"/>
        <v>-0.61024530424916534</v>
      </c>
      <c r="O62" s="11"/>
      <c r="P62" s="2">
        <v>132470.39999999999</v>
      </c>
      <c r="Q62" s="2"/>
      <c r="R62" s="19">
        <f t="shared" si="18"/>
        <v>0.12854707264207393</v>
      </c>
      <c r="S62" s="2"/>
      <c r="T62" s="2">
        <v>716238.84000000008</v>
      </c>
      <c r="U62" s="2"/>
      <c r="V62" s="19">
        <f t="shared" si="19"/>
        <v>0.40897354645367801</v>
      </c>
      <c r="W62" s="2"/>
      <c r="X62" s="2">
        <f t="shared" si="20"/>
        <v>-583768.44000000006</v>
      </c>
      <c r="Y62" s="2"/>
      <c r="Z62" s="19">
        <f t="shared" si="21"/>
        <v>-0.81504717057790388</v>
      </c>
    </row>
    <row r="63" spans="1:26" s="24" customFormat="1" hidden="1" outlineLevel="1" x14ac:dyDescent="0.25">
      <c r="A63" s="44"/>
      <c r="B63" s="11" t="str">
        <f>CONCATENATE("          ", "5041", " - ", "PURCHASES @ COST-LOGO GIFTS")</f>
        <v xml:space="preserve">          5041 - PURCHASES @ COST-LOGO GIFTS</v>
      </c>
      <c r="C63" s="11"/>
      <c r="D63" s="2">
        <v>5559.99</v>
      </c>
      <c r="E63" s="2"/>
      <c r="F63" s="19">
        <f t="shared" si="14"/>
        <v>2.590226703011899E-2</v>
      </c>
      <c r="G63" s="2"/>
      <c r="H63" s="2">
        <v>20607.12</v>
      </c>
      <c r="I63" s="2"/>
      <c r="J63" s="19">
        <f t="shared" si="15"/>
        <v>6.8799984615495594E-2</v>
      </c>
      <c r="K63" s="2"/>
      <c r="L63" s="2">
        <f t="shared" si="16"/>
        <v>-15047.13</v>
      </c>
      <c r="M63" s="2"/>
      <c r="N63" s="19">
        <f t="shared" si="17"/>
        <v>-0.73019082724805795</v>
      </c>
      <c r="O63" s="11"/>
      <c r="P63" s="2">
        <v>32201.759999999998</v>
      </c>
      <c r="Q63" s="2"/>
      <c r="R63" s="19">
        <f t="shared" si="18"/>
        <v>3.1248052258637634E-2</v>
      </c>
      <c r="S63" s="2"/>
      <c r="T63" s="2">
        <v>109403.67</v>
      </c>
      <c r="U63" s="2"/>
      <c r="V63" s="19">
        <f t="shared" si="19"/>
        <v>6.246967410333102E-2</v>
      </c>
      <c r="W63" s="2"/>
      <c r="X63" s="2">
        <f t="shared" si="20"/>
        <v>-77201.91</v>
      </c>
      <c r="Y63" s="2"/>
      <c r="Z63" s="19">
        <f t="shared" si="21"/>
        <v>-0.70566106237569548</v>
      </c>
    </row>
    <row r="64" spans="1:26" s="24" customFormat="1" hidden="1" outlineLevel="1" x14ac:dyDescent="0.25">
      <c r="A64" s="44"/>
      <c r="B64" s="11" t="str">
        <f>CONCATENATE("          ", "5042", " - ", "PURCHASES @ COST-EVERYDAY GIFT")</f>
        <v xml:space="preserve">          5042 - PURCHASES @ COST-EVERYDAY GIFT</v>
      </c>
      <c r="C64" s="11"/>
      <c r="D64" s="2">
        <v>148.6</v>
      </c>
      <c r="E64" s="2"/>
      <c r="F64" s="19">
        <f t="shared" si="14"/>
        <v>6.9228125962019394E-4</v>
      </c>
      <c r="G64" s="2"/>
      <c r="H64" s="2">
        <v>7822.79</v>
      </c>
      <c r="I64" s="2"/>
      <c r="J64" s="19">
        <f t="shared" si="15"/>
        <v>2.6117566726949364E-2</v>
      </c>
      <c r="K64" s="2"/>
      <c r="L64" s="2">
        <f t="shared" si="16"/>
        <v>-7674.19</v>
      </c>
      <c r="M64" s="2"/>
      <c r="N64" s="19">
        <f t="shared" si="17"/>
        <v>-0.9810042197221196</v>
      </c>
      <c r="O64" s="11"/>
      <c r="P64" s="2">
        <v>11061.28</v>
      </c>
      <c r="Q64" s="2"/>
      <c r="R64" s="19">
        <f t="shared" si="18"/>
        <v>1.073368211822656E-2</v>
      </c>
      <c r="S64" s="2"/>
      <c r="T64" s="2">
        <v>88388.11</v>
      </c>
      <c r="U64" s="2"/>
      <c r="V64" s="19">
        <f t="shared" si="19"/>
        <v>5.0469755048522358E-2</v>
      </c>
      <c r="W64" s="2"/>
      <c r="X64" s="2">
        <f t="shared" si="20"/>
        <v>-77326.83</v>
      </c>
      <c r="Y64" s="2"/>
      <c r="Z64" s="19">
        <f t="shared" si="21"/>
        <v>-0.87485556598053749</v>
      </c>
    </row>
    <row r="65" spans="1:26" s="24" customFormat="1" hidden="1" outlineLevel="1" x14ac:dyDescent="0.25">
      <c r="A65" s="44"/>
      <c r="B65" s="11" t="str">
        <f>CONCATENATE("          ", "5043", " - ", "PURCHASES @ COST-CARDS")</f>
        <v xml:space="preserve">          5043 - PURCHASES @ COST-CARDS</v>
      </c>
      <c r="C65" s="11"/>
      <c r="D65" s="2">
        <v>2448</v>
      </c>
      <c r="E65" s="2"/>
      <c r="F65" s="19">
        <f t="shared" si="14"/>
        <v>1.1404471894685296E-2</v>
      </c>
      <c r="G65" s="2"/>
      <c r="H65" s="2">
        <v>3256.15</v>
      </c>
      <c r="I65" s="2"/>
      <c r="J65" s="19">
        <f t="shared" si="15"/>
        <v>1.0871148899300144E-2</v>
      </c>
      <c r="K65" s="2"/>
      <c r="L65" s="2">
        <f t="shared" si="16"/>
        <v>-808.15000000000009</v>
      </c>
      <c r="M65" s="2"/>
      <c r="N65" s="19">
        <f t="shared" si="17"/>
        <v>-0.24819188305207071</v>
      </c>
      <c r="O65" s="11"/>
      <c r="P65" s="2">
        <v>46621.23</v>
      </c>
      <c r="Q65" s="2"/>
      <c r="R65" s="19">
        <f t="shared" si="18"/>
        <v>4.5240466092597575E-2</v>
      </c>
      <c r="S65" s="2"/>
      <c r="T65" s="2">
        <v>6784.89</v>
      </c>
      <c r="U65" s="2"/>
      <c r="V65" s="19">
        <f t="shared" si="19"/>
        <v>3.874183262105829E-3</v>
      </c>
      <c r="W65" s="2"/>
      <c r="X65" s="2">
        <f t="shared" si="20"/>
        <v>39836.340000000004</v>
      </c>
      <c r="Y65" s="2"/>
      <c r="Z65" s="19">
        <f t="shared" si="21"/>
        <v>5.8713317386133017</v>
      </c>
    </row>
    <row r="66" spans="1:26" s="24" customFormat="1" hidden="1" outlineLevel="1" x14ac:dyDescent="0.25">
      <c r="A66" s="44"/>
      <c r="B66" s="11" t="str">
        <f>CONCATENATE("          ", "5044", " - ", "PURCHASES @ COST-ACCESSORIES")</f>
        <v xml:space="preserve">          5044 - PURCHASES @ COST-ACCESSORIES</v>
      </c>
      <c r="C66" s="11"/>
      <c r="D66" s="2"/>
      <c r="E66" s="2"/>
      <c r="F66" s="19">
        <f t="shared" si="14"/>
        <v>0</v>
      </c>
      <c r="G66" s="2"/>
      <c r="H66" s="2">
        <v>432</v>
      </c>
      <c r="I66" s="2"/>
      <c r="J66" s="19">
        <f t="shared" si="15"/>
        <v>1.442297291125305E-3</v>
      </c>
      <c r="K66" s="2"/>
      <c r="L66" s="2">
        <f t="shared" si="16"/>
        <v>-432</v>
      </c>
      <c r="M66" s="2"/>
      <c r="N66" s="19">
        <f t="shared" si="17"/>
        <v>-1</v>
      </c>
      <c r="O66" s="11"/>
      <c r="P66" s="2">
        <v>282.33</v>
      </c>
      <c r="Q66" s="2"/>
      <c r="R66" s="19">
        <f t="shared" si="18"/>
        <v>2.7396833571150035E-4</v>
      </c>
      <c r="S66" s="2"/>
      <c r="T66" s="2">
        <v>17687.580000000002</v>
      </c>
      <c r="U66" s="2"/>
      <c r="V66" s="19">
        <f t="shared" si="19"/>
        <v>1.0099637043954703E-2</v>
      </c>
      <c r="W66" s="2"/>
      <c r="X66" s="2">
        <f t="shared" si="20"/>
        <v>-17405.25</v>
      </c>
      <c r="Y66" s="2"/>
      <c r="Z66" s="19">
        <f t="shared" si="21"/>
        <v>-0.9840379520544924</v>
      </c>
    </row>
    <row r="67" spans="1:26" s="24" customFormat="1" hidden="1" outlineLevel="1" x14ac:dyDescent="0.25">
      <c r="A67" s="44"/>
      <c r="B67" s="11" t="str">
        <f>CONCATENATE("          ", "5045", " - ", "PURCHASES @ COST-SPECIAL ORDER")</f>
        <v xml:space="preserve">          5045 - PURCHASES @ COST-SPECIAL ORDER</v>
      </c>
      <c r="C67" s="11"/>
      <c r="D67" s="2">
        <v>10676.48</v>
      </c>
      <c r="E67" s="2"/>
      <c r="F67" s="19">
        <f t="shared" si="14"/>
        <v>4.9738405267226164E-2</v>
      </c>
      <c r="G67" s="2"/>
      <c r="H67" s="2">
        <v>-1045.9100000000001</v>
      </c>
      <c r="I67" s="2"/>
      <c r="J67" s="19">
        <f t="shared" si="15"/>
        <v>-3.4919286105575646E-3</v>
      </c>
      <c r="K67" s="2"/>
      <c r="L67" s="2">
        <f t="shared" si="16"/>
        <v>11722.39</v>
      </c>
      <c r="M67" s="2"/>
      <c r="N67" s="19">
        <f t="shared" si="17"/>
        <v>-11.207838150510081</v>
      </c>
      <c r="O67" s="11"/>
      <c r="P67" s="2">
        <v>87609</v>
      </c>
      <c r="Q67" s="2"/>
      <c r="R67" s="19">
        <f t="shared" si="18"/>
        <v>8.5014316308393845E-2</v>
      </c>
      <c r="S67" s="2"/>
      <c r="T67" s="2">
        <v>41180.579999999994</v>
      </c>
      <c r="U67" s="2"/>
      <c r="V67" s="19">
        <f t="shared" si="19"/>
        <v>2.3514178381640681E-2</v>
      </c>
      <c r="W67" s="2"/>
      <c r="X67" s="2">
        <f t="shared" si="20"/>
        <v>46428.420000000006</v>
      </c>
      <c r="Y67" s="2"/>
      <c r="Z67" s="19">
        <f t="shared" si="21"/>
        <v>1.1274348248616219</v>
      </c>
    </row>
    <row r="68" spans="1:26" s="24" customFormat="1" hidden="1" outlineLevel="1" x14ac:dyDescent="0.25">
      <c r="A68" s="44"/>
      <c r="B68" s="11" t="str">
        <f>CONCATENATE("          ", "5083", " - ", "PURCHASES @ COST-COMPUTER EQUI")</f>
        <v xml:space="preserve">          5083 - PURCHASES @ COST-COMPUTER EQUI</v>
      </c>
      <c r="C68" s="11"/>
      <c r="D68" s="2"/>
      <c r="E68" s="2"/>
      <c r="F68" s="19">
        <f t="shared" si="14"/>
        <v>0</v>
      </c>
      <c r="G68" s="2"/>
      <c r="H68" s="2"/>
      <c r="I68" s="2"/>
      <c r="J68" s="19">
        <f t="shared" si="15"/>
        <v>0</v>
      </c>
      <c r="K68" s="2"/>
      <c r="L68" s="2">
        <f t="shared" si="16"/>
        <v>0</v>
      </c>
      <c r="M68" s="2"/>
      <c r="N68" s="19">
        <f t="shared" si="17"/>
        <v>0</v>
      </c>
      <c r="O68" s="11"/>
      <c r="P68" s="2"/>
      <c r="Q68" s="2"/>
      <c r="R68" s="19">
        <f t="shared" si="18"/>
        <v>0</v>
      </c>
      <c r="S68" s="2"/>
      <c r="T68" s="2">
        <v>39.950000000000003</v>
      </c>
      <c r="U68" s="2"/>
      <c r="V68" s="19">
        <f t="shared" si="19"/>
        <v>2.2811515193485508E-5</v>
      </c>
      <c r="W68" s="2"/>
      <c r="X68" s="2">
        <f t="shared" si="20"/>
        <v>-39.950000000000003</v>
      </c>
      <c r="Y68" s="2"/>
      <c r="Z68" s="19">
        <f t="shared" si="21"/>
        <v>-1</v>
      </c>
    </row>
    <row r="69" spans="1:26" s="24" customFormat="1" hidden="1" outlineLevel="1" x14ac:dyDescent="0.25">
      <c r="A69" s="44"/>
      <c r="B69" s="11" t="str">
        <f>CONCATENATE("          ", "5092", " - ", "PURCHASES @ COST-GRAD MERCH")</f>
        <v xml:space="preserve">          5092 - PURCHASES @ COST-GRAD MERCH</v>
      </c>
      <c r="C69" s="11"/>
      <c r="D69" s="2"/>
      <c r="E69" s="2"/>
      <c r="F69" s="19">
        <f t="shared" si="14"/>
        <v>0</v>
      </c>
      <c r="G69" s="2"/>
      <c r="H69" s="2"/>
      <c r="I69" s="2"/>
      <c r="J69" s="19">
        <f t="shared" si="15"/>
        <v>0</v>
      </c>
      <c r="K69" s="2"/>
      <c r="L69" s="2">
        <f t="shared" si="16"/>
        <v>0</v>
      </c>
      <c r="M69" s="2"/>
      <c r="N69" s="19">
        <f t="shared" si="17"/>
        <v>0</v>
      </c>
      <c r="O69" s="11"/>
      <c r="P69" s="2"/>
      <c r="Q69" s="2"/>
      <c r="R69" s="19">
        <f t="shared" si="18"/>
        <v>0</v>
      </c>
      <c r="S69" s="2"/>
      <c r="T69" s="2">
        <v>-60.35</v>
      </c>
      <c r="U69" s="2"/>
      <c r="V69" s="19">
        <f t="shared" si="19"/>
        <v>-3.445994848377598E-5</v>
      </c>
      <c r="W69" s="2"/>
      <c r="X69" s="2">
        <f t="shared" si="20"/>
        <v>60.35</v>
      </c>
      <c r="Y69" s="2"/>
      <c r="Z69" s="19">
        <f t="shared" si="21"/>
        <v>-1</v>
      </c>
    </row>
    <row r="70" spans="1:26" s="24" customFormat="1" hidden="1" outlineLevel="1" x14ac:dyDescent="0.25">
      <c r="A70" s="44"/>
      <c r="B70" s="11" t="str">
        <f>CONCATENATE("          ", "5095", " - ", "PURCHASES @ COST-CUSTOMER SERV")</f>
        <v xml:space="preserve">          5095 - PURCHASES @ COST-CUSTOMER SERV</v>
      </c>
      <c r="C70" s="11"/>
      <c r="D70" s="2"/>
      <c r="E70" s="2"/>
      <c r="F70" s="19">
        <f t="shared" si="14"/>
        <v>0</v>
      </c>
      <c r="G70" s="2"/>
      <c r="H70" s="2"/>
      <c r="I70" s="2"/>
      <c r="J70" s="19">
        <f t="shared" si="15"/>
        <v>0</v>
      </c>
      <c r="K70" s="2"/>
      <c r="L70" s="2">
        <f t="shared" si="16"/>
        <v>0</v>
      </c>
      <c r="M70" s="2"/>
      <c r="N70" s="19">
        <f t="shared" si="17"/>
        <v>0</v>
      </c>
      <c r="O70" s="11"/>
      <c r="P70" s="2"/>
      <c r="Q70" s="2"/>
      <c r="R70" s="19">
        <f t="shared" si="18"/>
        <v>0</v>
      </c>
      <c r="S70" s="2"/>
      <c r="T70" s="2">
        <v>-11.85</v>
      </c>
      <c r="U70" s="2"/>
      <c r="V70" s="19">
        <f t="shared" si="19"/>
        <v>-6.7663693377422585E-6</v>
      </c>
      <c r="W70" s="2"/>
      <c r="X70" s="2">
        <f t="shared" si="20"/>
        <v>11.85</v>
      </c>
      <c r="Y70" s="2"/>
      <c r="Z70" s="19">
        <f t="shared" si="21"/>
        <v>-1</v>
      </c>
    </row>
    <row r="71" spans="1:26" s="24" customFormat="1" hidden="1" outlineLevel="1" x14ac:dyDescent="0.25">
      <c r="A71" s="44"/>
      <c r="B71" s="11" t="str">
        <f>CONCATENATE("          ", "5200", " - ", "PURCHASES OFFSET")</f>
        <v xml:space="preserve">          5200 - PURCHASES OFFSET</v>
      </c>
      <c r="C71" s="11"/>
      <c r="D71" s="2">
        <v>-58180.68</v>
      </c>
      <c r="E71" s="2"/>
      <c r="F71" s="19">
        <f t="shared" si="14"/>
        <v>-0.27104572298761392</v>
      </c>
      <c r="G71" s="2"/>
      <c r="H71" s="2">
        <v>-96286</v>
      </c>
      <c r="I71" s="2"/>
      <c r="J71" s="19">
        <f t="shared" si="15"/>
        <v>-0.32146536336409981</v>
      </c>
      <c r="K71" s="2"/>
      <c r="L71" s="2">
        <f t="shared" si="16"/>
        <v>38105.32</v>
      </c>
      <c r="M71" s="2"/>
      <c r="N71" s="19">
        <f t="shared" si="17"/>
        <v>-0.39575140726585378</v>
      </c>
      <c r="O71" s="11"/>
      <c r="P71" s="2">
        <v>-348485.3</v>
      </c>
      <c r="Q71" s="2"/>
      <c r="R71" s="19">
        <f t="shared" si="18"/>
        <v>-0.3381643384015971</v>
      </c>
      <c r="S71" s="2"/>
      <c r="T71" s="2">
        <v>-972534.00000000012</v>
      </c>
      <c r="U71" s="2"/>
      <c r="V71" s="19">
        <f t="shared" si="19"/>
        <v>-0.55531850105585068</v>
      </c>
      <c r="W71" s="2"/>
      <c r="X71" s="2">
        <f t="shared" si="20"/>
        <v>624048.70000000019</v>
      </c>
      <c r="Y71" s="2"/>
      <c r="Z71" s="19">
        <f t="shared" si="21"/>
        <v>-0.64167288752886797</v>
      </c>
    </row>
    <row r="72" spans="1:26" s="24" customFormat="1" hidden="1" outlineLevel="1" x14ac:dyDescent="0.25">
      <c r="A72" s="44"/>
      <c r="B72" s="11" t="str">
        <f>CONCATENATE("          ", "5300", " - ", "COG$ OFFSET")</f>
        <v xml:space="preserve">          5300 - COG$ OFFSET</v>
      </c>
      <c r="C72" s="11"/>
      <c r="D72" s="2">
        <v>123873.99999999999</v>
      </c>
      <c r="E72" s="2"/>
      <c r="F72" s="19">
        <f t="shared" si="14"/>
        <v>0.57709050305647303</v>
      </c>
      <c r="G72" s="2"/>
      <c r="H72" s="2">
        <v>101253</v>
      </c>
      <c r="I72" s="2"/>
      <c r="J72" s="19">
        <f t="shared" si="15"/>
        <v>0.33804844356090397</v>
      </c>
      <c r="K72" s="2"/>
      <c r="L72" s="2">
        <f t="shared" si="16"/>
        <v>22620.999999999985</v>
      </c>
      <c r="M72" s="2"/>
      <c r="N72" s="19">
        <f t="shared" si="17"/>
        <v>0.22341066437537638</v>
      </c>
      <c r="O72" s="11"/>
      <c r="P72" s="2">
        <v>597291</v>
      </c>
      <c r="Q72" s="2"/>
      <c r="R72" s="19">
        <f t="shared" si="18"/>
        <v>0.57960125103764304</v>
      </c>
      <c r="S72" s="2"/>
      <c r="T72" s="2">
        <v>767369</v>
      </c>
      <c r="U72" s="2"/>
      <c r="V72" s="19">
        <f t="shared" si="19"/>
        <v>0.43816895125180921</v>
      </c>
      <c r="W72" s="2"/>
      <c r="X72" s="2">
        <f t="shared" si="20"/>
        <v>-170078</v>
      </c>
      <c r="Y72" s="2"/>
      <c r="Z72" s="19">
        <f t="shared" si="21"/>
        <v>-0.22163783004004592</v>
      </c>
    </row>
    <row r="73" spans="1:26" s="24" customFormat="1" hidden="1" outlineLevel="1" x14ac:dyDescent="0.25">
      <c r="A73" s="44"/>
      <c r="B73" s="11" t="str">
        <f>CONCATENATE("          ", "5500", " - ", "FREIGHT-IN")</f>
        <v xml:space="preserve">          5500 - FREIGHT-IN</v>
      </c>
      <c r="C73" s="11"/>
      <c r="D73" s="2"/>
      <c r="E73" s="2"/>
      <c r="F73" s="19">
        <f t="shared" si="14"/>
        <v>0</v>
      </c>
      <c r="G73" s="2"/>
      <c r="H73" s="2"/>
      <c r="I73" s="2"/>
      <c r="J73" s="19">
        <f t="shared" si="15"/>
        <v>0</v>
      </c>
      <c r="K73" s="2"/>
      <c r="L73" s="2">
        <f t="shared" si="16"/>
        <v>0</v>
      </c>
      <c r="M73" s="2"/>
      <c r="N73" s="19">
        <f t="shared" si="17"/>
        <v>0</v>
      </c>
      <c r="O73" s="11"/>
      <c r="P73" s="2"/>
      <c r="Q73" s="2"/>
      <c r="R73" s="19">
        <f t="shared" si="18"/>
        <v>0</v>
      </c>
      <c r="S73" s="2"/>
      <c r="T73" s="2">
        <v>29.23</v>
      </c>
      <c r="U73" s="2"/>
      <c r="V73" s="19">
        <f t="shared" si="19"/>
        <v>1.6690377699764237E-5</v>
      </c>
      <c r="W73" s="2"/>
      <c r="X73" s="2">
        <f t="shared" si="20"/>
        <v>-29.23</v>
      </c>
      <c r="Y73" s="2"/>
      <c r="Z73" s="19">
        <f t="shared" si="21"/>
        <v>-1</v>
      </c>
    </row>
    <row r="74" spans="1:26" s="24" customFormat="1" hidden="1" outlineLevel="1" x14ac:dyDescent="0.25">
      <c r="A74" s="44"/>
      <c r="B74" s="11" t="str">
        <f>CONCATENATE("          ", "5525", " - ", "FREIGHT-IN-TEST FORMS")</f>
        <v xml:space="preserve">          5525 - FREIGHT-IN-TEST FORMS</v>
      </c>
      <c r="C74" s="11"/>
      <c r="D74" s="2"/>
      <c r="E74" s="2"/>
      <c r="F74" s="19">
        <f t="shared" si="14"/>
        <v>0</v>
      </c>
      <c r="G74" s="2"/>
      <c r="H74" s="2"/>
      <c r="I74" s="2"/>
      <c r="J74" s="19">
        <f t="shared" si="15"/>
        <v>0</v>
      </c>
      <c r="K74" s="2"/>
      <c r="L74" s="2">
        <f t="shared" si="16"/>
        <v>0</v>
      </c>
      <c r="M74" s="2"/>
      <c r="N74" s="19">
        <f t="shared" si="17"/>
        <v>0</v>
      </c>
      <c r="O74" s="11"/>
      <c r="P74" s="2">
        <v>48.14</v>
      </c>
      <c r="Q74" s="2"/>
      <c r="R74" s="19">
        <f t="shared" si="18"/>
        <v>4.6714255237316715E-5</v>
      </c>
      <c r="S74" s="2"/>
      <c r="T74" s="2"/>
      <c r="U74" s="2"/>
      <c r="V74" s="19">
        <f t="shared" si="19"/>
        <v>0</v>
      </c>
      <c r="W74" s="2"/>
      <c r="X74" s="2">
        <f t="shared" si="20"/>
        <v>48.14</v>
      </c>
      <c r="Y74" s="2"/>
      <c r="Z74" s="19">
        <f t="shared" si="21"/>
        <v>0</v>
      </c>
    </row>
    <row r="75" spans="1:26" s="24" customFormat="1" hidden="1" outlineLevel="1" x14ac:dyDescent="0.25">
      <c r="A75" s="44"/>
      <c r="B75" s="11" t="str">
        <f>CONCATENATE("          ", "5527", " - ", "FREIGHT-IN-SCHOOL SUPPLIES")</f>
        <v xml:space="preserve">          5527 - FREIGHT-IN-SCHOOL SUPPLIES</v>
      </c>
      <c r="C75" s="11"/>
      <c r="D75" s="2">
        <v>121.5</v>
      </c>
      <c r="E75" s="2"/>
      <c r="F75" s="19">
        <f t="shared" si="14"/>
        <v>5.6603077418474813E-4</v>
      </c>
      <c r="G75" s="2"/>
      <c r="H75" s="2"/>
      <c r="I75" s="2"/>
      <c r="J75" s="19">
        <f t="shared" si="15"/>
        <v>0</v>
      </c>
      <c r="K75" s="2"/>
      <c r="L75" s="2">
        <f t="shared" si="16"/>
        <v>121.5</v>
      </c>
      <c r="M75" s="2"/>
      <c r="N75" s="19">
        <f t="shared" si="17"/>
        <v>0</v>
      </c>
      <c r="O75" s="11"/>
      <c r="P75" s="2">
        <v>177.5</v>
      </c>
      <c r="Q75" s="2"/>
      <c r="R75" s="19">
        <f t="shared" si="18"/>
        <v>1.7224304745790852E-4</v>
      </c>
      <c r="S75" s="2"/>
      <c r="T75" s="2"/>
      <c r="U75" s="2"/>
      <c r="V75" s="19">
        <f t="shared" si="19"/>
        <v>0</v>
      </c>
      <c r="W75" s="2"/>
      <c r="X75" s="2">
        <f t="shared" si="20"/>
        <v>177.5</v>
      </c>
      <c r="Y75" s="2"/>
      <c r="Z75" s="19">
        <f t="shared" si="21"/>
        <v>0</v>
      </c>
    </row>
    <row r="76" spans="1:26" s="24" customFormat="1" hidden="1" outlineLevel="1" x14ac:dyDescent="0.25">
      <c r="A76" s="44"/>
      <c r="B76" s="11" t="str">
        <f>CONCATENATE("          ", "5528", " - ", "FREIGHT-IN-ART/TECH")</f>
        <v xml:space="preserve">          5528 - FREIGHT-IN-ART/TECH</v>
      </c>
      <c r="C76" s="11"/>
      <c r="D76" s="2"/>
      <c r="E76" s="2"/>
      <c r="F76" s="19">
        <f t="shared" si="14"/>
        <v>0</v>
      </c>
      <c r="G76" s="2"/>
      <c r="H76" s="2"/>
      <c r="I76" s="2"/>
      <c r="J76" s="19">
        <f t="shared" si="15"/>
        <v>0</v>
      </c>
      <c r="K76" s="2"/>
      <c r="L76" s="2">
        <f t="shared" si="16"/>
        <v>0</v>
      </c>
      <c r="M76" s="2"/>
      <c r="N76" s="19">
        <f t="shared" si="17"/>
        <v>0</v>
      </c>
      <c r="O76" s="11"/>
      <c r="P76" s="2">
        <v>3.94</v>
      </c>
      <c r="Q76" s="2"/>
      <c r="R76" s="19">
        <f t="shared" si="18"/>
        <v>3.8233104618825889E-6</v>
      </c>
      <c r="S76" s="2"/>
      <c r="T76" s="2"/>
      <c r="U76" s="2"/>
      <c r="V76" s="19">
        <f t="shared" si="19"/>
        <v>0</v>
      </c>
      <c r="W76" s="2"/>
      <c r="X76" s="2">
        <f t="shared" si="20"/>
        <v>3.94</v>
      </c>
      <c r="Y76" s="2"/>
      <c r="Z76" s="19">
        <f t="shared" si="21"/>
        <v>0</v>
      </c>
    </row>
    <row r="77" spans="1:26" s="24" customFormat="1" hidden="1" outlineLevel="1" x14ac:dyDescent="0.25">
      <c r="A77" s="44"/>
      <c r="B77" s="11" t="str">
        <f>CONCATENATE("          ", "5540", " - ", "FREIGHT-IN-LOGO CLOTHING")</f>
        <v xml:space="preserve">          5540 - FREIGHT-IN-LOGO CLOTHING</v>
      </c>
      <c r="C77" s="11"/>
      <c r="D77" s="2">
        <v>907.48</v>
      </c>
      <c r="E77" s="2"/>
      <c r="F77" s="19">
        <f t="shared" si="14"/>
        <v>4.2276675469726356E-3</v>
      </c>
      <c r="G77" s="2"/>
      <c r="H77" s="2">
        <v>4036.06</v>
      </c>
      <c r="I77" s="2"/>
      <c r="J77" s="19">
        <f t="shared" si="15"/>
        <v>1.3474996307451848E-2</v>
      </c>
      <c r="K77" s="2"/>
      <c r="L77" s="2">
        <f t="shared" si="16"/>
        <v>-3128.58</v>
      </c>
      <c r="M77" s="2"/>
      <c r="N77" s="19">
        <f t="shared" si="17"/>
        <v>-0.77515696000555001</v>
      </c>
      <c r="O77" s="11"/>
      <c r="P77" s="2">
        <v>5442.96</v>
      </c>
      <c r="Q77" s="2"/>
      <c r="R77" s="19">
        <f t="shared" si="18"/>
        <v>5.2817578455859032E-3</v>
      </c>
      <c r="S77" s="2"/>
      <c r="T77" s="2">
        <v>24277.390000000003</v>
      </c>
      <c r="U77" s="2"/>
      <c r="V77" s="19">
        <f t="shared" si="19"/>
        <v>1.3862429307713971E-2</v>
      </c>
      <c r="W77" s="2"/>
      <c r="X77" s="2">
        <f t="shared" si="20"/>
        <v>-18834.430000000004</v>
      </c>
      <c r="Y77" s="2"/>
      <c r="Z77" s="19">
        <f t="shared" si="21"/>
        <v>-0.77580127023539192</v>
      </c>
    </row>
    <row r="78" spans="1:26" s="24" customFormat="1" hidden="1" outlineLevel="1" x14ac:dyDescent="0.25">
      <c r="A78" s="44"/>
      <c r="B78" s="11" t="str">
        <f>CONCATENATE("          ", "5541", " - ", "FREIGHT-IN-LOGO GIFTS")</f>
        <v xml:space="preserve">          5541 - FREIGHT-IN-LOGO GIFTS</v>
      </c>
      <c r="C78" s="11"/>
      <c r="D78" s="2">
        <v>84.07</v>
      </c>
      <c r="E78" s="2"/>
      <c r="F78" s="19">
        <f t="shared" si="14"/>
        <v>3.9165602621984996E-4</v>
      </c>
      <c r="G78" s="2"/>
      <c r="H78" s="2">
        <v>709.94</v>
      </c>
      <c r="I78" s="2"/>
      <c r="J78" s="19">
        <f t="shared" si="15"/>
        <v>2.3702419881053223E-3</v>
      </c>
      <c r="K78" s="2"/>
      <c r="L78" s="2">
        <f t="shared" si="16"/>
        <v>-625.87000000000012</v>
      </c>
      <c r="M78" s="2"/>
      <c r="N78" s="19">
        <f t="shared" si="17"/>
        <v>-0.88158154210214956</v>
      </c>
      <c r="O78" s="11"/>
      <c r="P78" s="2">
        <v>1519.94</v>
      </c>
      <c r="Q78" s="2"/>
      <c r="R78" s="19">
        <f t="shared" si="18"/>
        <v>1.4749244932573155E-3</v>
      </c>
      <c r="S78" s="2"/>
      <c r="T78" s="2">
        <v>3562.77</v>
      </c>
      <c r="U78" s="2"/>
      <c r="V78" s="19">
        <f t="shared" si="19"/>
        <v>2.0343474840023618E-3</v>
      </c>
      <c r="W78" s="2"/>
      <c r="X78" s="2">
        <f t="shared" si="20"/>
        <v>-2042.83</v>
      </c>
      <c r="Y78" s="2"/>
      <c r="Z78" s="19">
        <f t="shared" si="21"/>
        <v>-0.57338250855373762</v>
      </c>
    </row>
    <row r="79" spans="1:26" s="24" customFormat="1" hidden="1" outlineLevel="1" x14ac:dyDescent="0.25">
      <c r="A79" s="44"/>
      <c r="B79" s="11" t="str">
        <f>CONCATENATE("          ", "5542", " - ", "FREIGHT-IN-EVERYDAY GIFTS")</f>
        <v xml:space="preserve">          5542 - FREIGHT-IN-EVERYDAY GIFTS</v>
      </c>
      <c r="C79" s="11"/>
      <c r="D79" s="2"/>
      <c r="E79" s="2"/>
      <c r="F79" s="19">
        <f t="shared" si="14"/>
        <v>0</v>
      </c>
      <c r="G79" s="2"/>
      <c r="H79" s="2">
        <v>194.82</v>
      </c>
      <c r="I79" s="2"/>
      <c r="J79" s="19">
        <f t="shared" si="15"/>
        <v>6.5043601448387016E-4</v>
      </c>
      <c r="K79" s="2"/>
      <c r="L79" s="2">
        <f t="shared" si="16"/>
        <v>-194.82</v>
      </c>
      <c r="M79" s="2"/>
      <c r="N79" s="19">
        <f t="shared" si="17"/>
        <v>-1</v>
      </c>
      <c r="O79" s="11"/>
      <c r="P79" s="2">
        <v>196.55</v>
      </c>
      <c r="Q79" s="2"/>
      <c r="R79" s="19">
        <f t="shared" si="18"/>
        <v>1.9072885057944746E-4</v>
      </c>
      <c r="S79" s="2"/>
      <c r="T79" s="2">
        <v>1708.33</v>
      </c>
      <c r="U79" s="2"/>
      <c r="V79" s="19">
        <f t="shared" si="19"/>
        <v>9.7545921778440783E-4</v>
      </c>
      <c r="W79" s="2"/>
      <c r="X79" s="2">
        <f t="shared" si="20"/>
        <v>-1511.78</v>
      </c>
      <c r="Y79" s="2"/>
      <c r="Z79" s="19">
        <f t="shared" si="21"/>
        <v>-0.88494611696803316</v>
      </c>
    </row>
    <row r="80" spans="1:26" s="24" customFormat="1" hidden="1" outlineLevel="1" x14ac:dyDescent="0.25">
      <c r="A80" s="44"/>
      <c r="B80" s="11" t="str">
        <f>CONCATENATE("          ", "5543", " - ", "FREIGHT-IN-CARDS")</f>
        <v xml:space="preserve">          5543 - FREIGHT-IN-CARDS</v>
      </c>
      <c r="C80" s="11"/>
      <c r="D80" s="2">
        <v>605.41</v>
      </c>
      <c r="E80" s="2"/>
      <c r="F80" s="19">
        <f t="shared" si="14"/>
        <v>2.8204172098698628E-3</v>
      </c>
      <c r="G80" s="2"/>
      <c r="H80" s="2">
        <v>77.760000000000005</v>
      </c>
      <c r="I80" s="2"/>
      <c r="J80" s="19">
        <f t="shared" si="15"/>
        <v>2.5961351240255491E-4</v>
      </c>
      <c r="K80" s="2"/>
      <c r="L80" s="2">
        <f t="shared" si="16"/>
        <v>527.65</v>
      </c>
      <c r="M80" s="2"/>
      <c r="N80" s="19">
        <f t="shared" si="17"/>
        <v>6.7856224279835384</v>
      </c>
      <c r="O80" s="11"/>
      <c r="P80" s="2">
        <v>7117.72</v>
      </c>
      <c r="Q80" s="2"/>
      <c r="R80" s="19">
        <f t="shared" si="18"/>
        <v>6.906917091561153E-3</v>
      </c>
      <c r="S80" s="2"/>
      <c r="T80" s="2">
        <v>121.35</v>
      </c>
      <c r="U80" s="2"/>
      <c r="V80" s="19">
        <f t="shared" si="19"/>
        <v>6.929104802827199E-5</v>
      </c>
      <c r="W80" s="2"/>
      <c r="X80" s="2">
        <f t="shared" si="20"/>
        <v>6996.37</v>
      </c>
      <c r="Y80" s="2"/>
      <c r="Z80" s="19">
        <f t="shared" si="21"/>
        <v>57.654470539761022</v>
      </c>
    </row>
    <row r="81" spans="1:26" s="24" customFormat="1" hidden="1" outlineLevel="1" x14ac:dyDescent="0.25">
      <c r="A81" s="44"/>
      <c r="B81" s="11" t="str">
        <f>CONCATENATE("          ", "5544", " - ", "FREIGHT-IN-ACCESSORIES")</f>
        <v xml:space="preserve">          5544 - FREIGHT-IN-ACCESSORIES</v>
      </c>
      <c r="C81" s="11"/>
      <c r="D81" s="2"/>
      <c r="E81" s="2"/>
      <c r="F81" s="19">
        <f t="shared" si="14"/>
        <v>0</v>
      </c>
      <c r="G81" s="2"/>
      <c r="H81" s="2">
        <v>28.4</v>
      </c>
      <c r="I81" s="2"/>
      <c r="J81" s="19">
        <f t="shared" si="15"/>
        <v>9.4817692286941352E-5</v>
      </c>
      <c r="K81" s="2"/>
      <c r="L81" s="2">
        <f t="shared" si="16"/>
        <v>-28.4</v>
      </c>
      <c r="M81" s="2"/>
      <c r="N81" s="19">
        <f t="shared" si="17"/>
        <v>-1</v>
      </c>
      <c r="O81" s="11"/>
      <c r="P81" s="2"/>
      <c r="Q81" s="2"/>
      <c r="R81" s="19">
        <f t="shared" si="18"/>
        <v>0</v>
      </c>
      <c r="S81" s="2"/>
      <c r="T81" s="2">
        <v>442.31</v>
      </c>
      <c r="U81" s="2"/>
      <c r="V81" s="19">
        <f t="shared" si="19"/>
        <v>2.525597317955087E-4</v>
      </c>
      <c r="W81" s="2"/>
      <c r="X81" s="2">
        <f t="shared" si="20"/>
        <v>-442.31</v>
      </c>
      <c r="Y81" s="2"/>
      <c r="Z81" s="19">
        <f t="shared" si="21"/>
        <v>-1</v>
      </c>
    </row>
    <row r="82" spans="1:26" s="24" customFormat="1" hidden="1" outlineLevel="1" x14ac:dyDescent="0.25">
      <c r="A82" s="44"/>
      <c r="B82" s="11" t="str">
        <f>CONCATENATE("          ", "5545", " - ", "FREIGHT-IN-SPECIAL ORDERS")</f>
        <v xml:space="preserve">          5545 - FREIGHT-IN-SPECIAL ORDERS</v>
      </c>
      <c r="C82" s="11"/>
      <c r="D82" s="2">
        <v>225.93</v>
      </c>
      <c r="E82" s="2"/>
      <c r="F82" s="19">
        <f t="shared" si="14"/>
        <v>1.0525377186136637E-3</v>
      </c>
      <c r="G82" s="2"/>
      <c r="H82" s="2">
        <v>322.61</v>
      </c>
      <c r="I82" s="2"/>
      <c r="J82" s="19">
        <f t="shared" si="15"/>
        <v>1.0770822432637378E-3</v>
      </c>
      <c r="K82" s="2"/>
      <c r="L82" s="2">
        <f t="shared" si="16"/>
        <v>-96.68</v>
      </c>
      <c r="M82" s="2"/>
      <c r="N82" s="19">
        <f t="shared" si="17"/>
        <v>-0.29968072905365611</v>
      </c>
      <c r="O82" s="11"/>
      <c r="P82" s="2">
        <v>1113.79</v>
      </c>
      <c r="Q82" s="2"/>
      <c r="R82" s="19">
        <f t="shared" si="18"/>
        <v>1.0808032891726418E-3</v>
      </c>
      <c r="S82" s="2"/>
      <c r="T82" s="2">
        <v>827.67</v>
      </c>
      <c r="U82" s="2"/>
      <c r="V82" s="19">
        <f t="shared" si="19"/>
        <v>4.7260092065562318E-4</v>
      </c>
      <c r="W82" s="2"/>
      <c r="X82" s="2">
        <f t="shared" si="20"/>
        <v>286.12</v>
      </c>
      <c r="Y82" s="2"/>
      <c r="Z82" s="19">
        <f t="shared" si="21"/>
        <v>0.34569333188348017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8" t="s">
        <v>6</v>
      </c>
      <c r="C84" s="28"/>
      <c r="D84" s="20">
        <f>D12-D55</f>
        <v>90778.63999999997</v>
      </c>
      <c r="E84" s="14"/>
      <c r="F84" s="21">
        <f>IF(D$12=0,0,D84/D$12)</f>
        <v>0.42290949694352692</v>
      </c>
      <c r="G84" s="14"/>
      <c r="H84" s="20">
        <f>H12-H55</f>
        <v>160150.8599999999</v>
      </c>
      <c r="I84" s="14"/>
      <c r="J84" s="21">
        <f>IF(H$12=0,0,H84/H$12)</f>
        <v>0.53468785080876813</v>
      </c>
      <c r="K84" s="15"/>
      <c r="L84" s="20">
        <f>+D84-H84</f>
        <v>-69372.219999999928</v>
      </c>
      <c r="M84" s="15"/>
      <c r="N84" s="21">
        <f>IF(H84=0,0,L84/H84)</f>
        <v>-0.43316795176747708</v>
      </c>
      <c r="O84" s="29"/>
      <c r="P84" s="20">
        <f>P12-P55</f>
        <v>432313.01000000013</v>
      </c>
      <c r="Q84" s="14"/>
      <c r="R84" s="21">
        <f>IF(P$12=0,0,P84/P$12)</f>
        <v>0.41950935379212001</v>
      </c>
      <c r="S84" s="14"/>
      <c r="T84" s="20">
        <f>T12-T55</f>
        <v>945793.19999999972</v>
      </c>
      <c r="U84" s="14"/>
      <c r="V84" s="21">
        <f>IF(T$12=0,0,T84/T$12)</f>
        <v>0.5400494606181544</v>
      </c>
      <c r="W84" s="15"/>
      <c r="X84" s="20">
        <f>+P84-T84</f>
        <v>-513480.18999999959</v>
      </c>
      <c r="Y84" s="15"/>
      <c r="Z84" s="21">
        <f>IF(T84=0,0,X84/T84)</f>
        <v>-0.54290958107966913</v>
      </c>
    </row>
    <row r="85" spans="1:26" x14ac:dyDescent="0.25">
      <c r="A85" s="9"/>
      <c r="B85" s="10"/>
      <c r="C85" s="9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9" t="s">
        <v>9</v>
      </c>
      <c r="C86" s="10"/>
      <c r="D86" s="22">
        <f>SUM(OSRRefD22x_0)</f>
        <v>63544.32</v>
      </c>
      <c r="E86" s="22"/>
      <c r="F86" s="36">
        <f t="shared" ref="F86:F95" si="22">IF(D$12=0,0,D86/D$12)</f>
        <v>0.29603325633451333</v>
      </c>
      <c r="G86" s="22"/>
      <c r="H86" s="22">
        <f>SUM(OSRRefH22x_0)</f>
        <v>91315.209999999992</v>
      </c>
      <c r="I86" s="22"/>
      <c r="J86" s="36">
        <f t="shared" ref="J86:J95" si="23">IF(H$12=0,0,H86/H$12)</f>
        <v>0.30486962967948694</v>
      </c>
      <c r="K86" s="4"/>
      <c r="L86" s="22">
        <f t="shared" ref="L86:L95" si="24">+D86-H86</f>
        <v>-27770.889999999992</v>
      </c>
      <c r="M86" s="4"/>
      <c r="N86" s="36">
        <f t="shared" ref="N86:N95" si="25">IF(H86=0,0,L86/H86)</f>
        <v>-0.30412118638285995</v>
      </c>
      <c r="O86" s="10"/>
      <c r="P86" s="22">
        <f>SUM(OSRRefP22x_0)</f>
        <v>405679.94000000006</v>
      </c>
      <c r="Q86" s="22"/>
      <c r="R86" s="36">
        <f t="shared" ref="R86:R95" si="26">IF(P$12=0,0,P86/P$12)</f>
        <v>0.39366506567967036</v>
      </c>
      <c r="S86" s="22"/>
      <c r="T86" s="22">
        <f>SUM(OSRRefT22x_0)</f>
        <v>548633.89999999991</v>
      </c>
      <c r="U86" s="22"/>
      <c r="V86" s="36">
        <f t="shared" ref="V86:V95" si="27">IF(T$12=0,0,T86/T$12)</f>
        <v>0.31327085220303391</v>
      </c>
      <c r="W86" s="4"/>
      <c r="X86" s="22">
        <f t="shared" ref="X86:X95" si="28">+P86-T86</f>
        <v>-142953.95999999985</v>
      </c>
      <c r="Y86" s="4"/>
      <c r="Z86" s="36">
        <f t="shared" ref="Z86:Z95" si="29">IF(T86=0,0,X86/T86)</f>
        <v>-0.2605634832262459</v>
      </c>
    </row>
    <row r="87" spans="1:26" s="25" customFormat="1" outlineLevel="1" collapsed="1" x14ac:dyDescent="0.25">
      <c r="A87" s="26"/>
      <c r="B87" s="13" t="str">
        <f>CONCATENATE("     ","*Benefits                                         ")</f>
        <v xml:space="preserve">     *Benefits                                         </v>
      </c>
      <c r="C87" s="13"/>
      <c r="D87" s="1">
        <f>SUM(OSRRefD22_0x_0)</f>
        <v>14608.029999999999</v>
      </c>
      <c r="E87" s="1"/>
      <c r="F87" s="5">
        <f t="shared" si="22"/>
        <v>6.8054275968839714E-2</v>
      </c>
      <c r="G87" s="1"/>
      <c r="H87" s="1">
        <f>SUM(OSRRefH22_0x_0)</f>
        <v>6195.7400000000007</v>
      </c>
      <c r="I87" s="1"/>
      <c r="J87" s="5">
        <f t="shared" si="23"/>
        <v>2.068541439471458E-2</v>
      </c>
      <c r="K87" s="1"/>
      <c r="L87" s="1">
        <f t="shared" si="24"/>
        <v>8412.2899999999972</v>
      </c>
      <c r="M87" s="1"/>
      <c r="N87" s="5">
        <f t="shared" si="25"/>
        <v>1.3577538760503178</v>
      </c>
      <c r="O87" s="13"/>
      <c r="P87" s="1">
        <f>SUM(OSRRefP22_0x_0)</f>
        <v>92980.55</v>
      </c>
      <c r="Q87" s="1"/>
      <c r="R87" s="5">
        <f t="shared" si="26"/>
        <v>9.0226779077816552E-2</v>
      </c>
      <c r="S87" s="1"/>
      <c r="T87" s="1">
        <f>SUM(OSRRefT22_0x_0)</f>
        <v>52953.88</v>
      </c>
      <c r="U87" s="1"/>
      <c r="V87" s="5">
        <f t="shared" si="27"/>
        <v>3.0236751894217977E-2</v>
      </c>
      <c r="W87" s="1"/>
      <c r="X87" s="1">
        <f t="shared" si="28"/>
        <v>40026.670000000006</v>
      </c>
      <c r="Y87" s="1"/>
      <c r="Z87" s="5">
        <f t="shared" si="29"/>
        <v>0.75587794510997131</v>
      </c>
    </row>
    <row r="88" spans="1:26" s="24" customFormat="1" hidden="1" outlineLevel="2" x14ac:dyDescent="0.25">
      <c r="A88" s="27"/>
      <c r="B88" s="11" t="str">
        <f>CONCATENATE("          ", "6111", " - ", "F.I.C.A.")</f>
        <v xml:space="preserve">          6111 - F.I.C.A.</v>
      </c>
      <c r="C88" s="11"/>
      <c r="D88" s="7">
        <v>2339.63</v>
      </c>
      <c r="E88" s="2"/>
      <c r="F88" s="6">
        <f t="shared" si="22"/>
        <v>1.0899609713628496E-2</v>
      </c>
      <c r="G88" s="2"/>
      <c r="H88" s="7">
        <v>1031.1400000000001</v>
      </c>
      <c r="I88" s="2"/>
      <c r="J88" s="6">
        <f t="shared" si="23"/>
        <v>3.4426167332660814E-3</v>
      </c>
      <c r="K88" s="2"/>
      <c r="L88" s="7">
        <f t="shared" si="24"/>
        <v>1308.49</v>
      </c>
      <c r="M88" s="2"/>
      <c r="N88" s="6">
        <f t="shared" si="25"/>
        <v>1.268974145120934</v>
      </c>
      <c r="O88" s="11"/>
      <c r="P88" s="7">
        <v>18847.7</v>
      </c>
      <c r="Q88" s="2"/>
      <c r="R88" s="6">
        <f t="shared" si="26"/>
        <v>1.8289494566605197E-2</v>
      </c>
      <c r="S88" s="2"/>
      <c r="T88" s="7">
        <v>11401.19</v>
      </c>
      <c r="U88" s="2"/>
      <c r="V88" s="6">
        <f t="shared" si="27"/>
        <v>6.5100980953395502E-3</v>
      </c>
      <c r="W88" s="2"/>
      <c r="X88" s="7">
        <f t="shared" si="28"/>
        <v>7446.51</v>
      </c>
      <c r="Y88" s="2"/>
      <c r="Z88" s="6">
        <f t="shared" si="29"/>
        <v>0.65313445350880039</v>
      </c>
    </row>
    <row r="89" spans="1:26" s="24" customFormat="1" hidden="1" outlineLevel="2" x14ac:dyDescent="0.25">
      <c r="A89" s="27"/>
      <c r="B89" s="11" t="str">
        <f>CONCATENATE("          ", "6112", " - ", "COMPENSATION INSURANCE")</f>
        <v xml:space="preserve">          6112 - COMPENSATION INSURANCE</v>
      </c>
      <c r="C89" s="11"/>
      <c r="D89" s="7">
        <v>1236.27</v>
      </c>
      <c r="E89" s="2"/>
      <c r="F89" s="6">
        <f t="shared" si="22"/>
        <v>5.7593980675010575E-3</v>
      </c>
      <c r="G89" s="2"/>
      <c r="H89" s="7">
        <v>839.05</v>
      </c>
      <c r="I89" s="2"/>
      <c r="J89" s="6">
        <f t="shared" si="23"/>
        <v>2.8012952363858498E-3</v>
      </c>
      <c r="K89" s="2"/>
      <c r="L89" s="7">
        <f t="shared" si="24"/>
        <v>397.22</v>
      </c>
      <c r="M89" s="2"/>
      <c r="N89" s="6">
        <f t="shared" si="25"/>
        <v>0.47341636374471135</v>
      </c>
      <c r="O89" s="11"/>
      <c r="P89" s="7">
        <v>7474.78</v>
      </c>
      <c r="Q89" s="2"/>
      <c r="R89" s="6">
        <f t="shared" si="26"/>
        <v>7.2534021762108471E-3</v>
      </c>
      <c r="S89" s="2"/>
      <c r="T89" s="7">
        <v>3649.96</v>
      </c>
      <c r="U89" s="2"/>
      <c r="V89" s="6">
        <f t="shared" si="27"/>
        <v>2.084133116285716E-3</v>
      </c>
      <c r="W89" s="2"/>
      <c r="X89" s="7">
        <f t="shared" si="28"/>
        <v>3824.8199999999997</v>
      </c>
      <c r="Y89" s="2"/>
      <c r="Z89" s="6">
        <f t="shared" si="29"/>
        <v>1.0479073743273899</v>
      </c>
    </row>
    <row r="90" spans="1:26" s="24" customFormat="1" hidden="1" outlineLevel="2" x14ac:dyDescent="0.25">
      <c r="A90" s="27"/>
      <c r="B90" s="11" t="str">
        <f>CONCATENATE("          ", "6113", " - ", "GROUP INSURANCE")</f>
        <v xml:space="preserve">          6113 - GROUP INSURANCE</v>
      </c>
      <c r="C90" s="11"/>
      <c r="D90" s="7">
        <v>5577.16</v>
      </c>
      <c r="E90" s="2"/>
      <c r="F90" s="6">
        <f t="shared" si="22"/>
        <v>2.598225672882477E-2</v>
      </c>
      <c r="G90" s="2"/>
      <c r="H90" s="7">
        <v>2286.33</v>
      </c>
      <c r="I90" s="2"/>
      <c r="J90" s="6">
        <f t="shared" si="23"/>
        <v>7.633258253746571E-3</v>
      </c>
      <c r="K90" s="2"/>
      <c r="L90" s="7">
        <f t="shared" si="24"/>
        <v>3290.83</v>
      </c>
      <c r="M90" s="2"/>
      <c r="N90" s="6">
        <f t="shared" si="25"/>
        <v>1.4393503999860038</v>
      </c>
      <c r="O90" s="11"/>
      <c r="P90" s="7">
        <v>33416.42</v>
      </c>
      <c r="Q90" s="2"/>
      <c r="R90" s="6">
        <f t="shared" si="26"/>
        <v>3.2426738117934666E-2</v>
      </c>
      <c r="S90" s="2"/>
      <c r="T90" s="7">
        <v>19123.96</v>
      </c>
      <c r="U90" s="2"/>
      <c r="V90" s="6">
        <f t="shared" si="27"/>
        <v>1.0919812367950164E-2</v>
      </c>
      <c r="W90" s="2"/>
      <c r="X90" s="7">
        <f t="shared" si="28"/>
        <v>14292.46</v>
      </c>
      <c r="Y90" s="2"/>
      <c r="Z90" s="6">
        <f t="shared" si="29"/>
        <v>0.74735881062290443</v>
      </c>
    </row>
    <row r="91" spans="1:26" s="24" customFormat="1" hidden="1" outlineLevel="2" x14ac:dyDescent="0.25">
      <c r="A91" s="27"/>
      <c r="B91" s="11" t="str">
        <f>CONCATENATE("          ", "6114", " - ", "STATE UNEMPLOYMENT INSURANCE")</f>
        <v xml:space="preserve">          6114 - STATE UNEMPLOYMENT INSURANCE</v>
      </c>
      <c r="C91" s="11"/>
      <c r="D91" s="7"/>
      <c r="E91" s="2"/>
      <c r="F91" s="6">
        <f t="shared" si="22"/>
        <v>0</v>
      </c>
      <c r="G91" s="2"/>
      <c r="H91" s="7">
        <v>114.82</v>
      </c>
      <c r="I91" s="2"/>
      <c r="J91" s="6">
        <f t="shared" si="23"/>
        <v>3.8334392353473964E-4</v>
      </c>
      <c r="K91" s="2"/>
      <c r="L91" s="7">
        <f t="shared" si="24"/>
        <v>-114.82</v>
      </c>
      <c r="M91" s="2"/>
      <c r="N91" s="6">
        <f t="shared" si="25"/>
        <v>-1</v>
      </c>
      <c r="O91" s="11"/>
      <c r="P91" s="7">
        <v>676.65</v>
      </c>
      <c r="Q91" s="2"/>
      <c r="R91" s="6">
        <f t="shared" si="26"/>
        <v>6.5660990457686648E-4</v>
      </c>
      <c r="S91" s="2"/>
      <c r="T91" s="7">
        <v>584.77</v>
      </c>
      <c r="U91" s="2"/>
      <c r="V91" s="6">
        <f t="shared" si="27"/>
        <v>3.3390462427270384E-4</v>
      </c>
      <c r="W91" s="2"/>
      <c r="X91" s="7">
        <f t="shared" si="28"/>
        <v>91.88</v>
      </c>
      <c r="Y91" s="2"/>
      <c r="Z91" s="6">
        <f t="shared" si="29"/>
        <v>0.15712160336542572</v>
      </c>
    </row>
    <row r="92" spans="1:26" s="24" customFormat="1" hidden="1" outlineLevel="2" x14ac:dyDescent="0.25">
      <c r="A92" s="27"/>
      <c r="B92" s="11" t="str">
        <f>CONCATENATE("          ", "6115", " - ", "P.E.R.S.")</f>
        <v xml:space="preserve">          6115 - P.E.R.S.</v>
      </c>
      <c r="C92" s="11"/>
      <c r="D92" s="7">
        <v>1916.82</v>
      </c>
      <c r="E92" s="2"/>
      <c r="F92" s="6">
        <f t="shared" si="22"/>
        <v>8.9298692063605658E-3</v>
      </c>
      <c r="G92" s="2"/>
      <c r="H92" s="7">
        <v>777.67</v>
      </c>
      <c r="I92" s="2"/>
      <c r="J92" s="6">
        <f t="shared" si="23"/>
        <v>2.5963688296051293E-3</v>
      </c>
      <c r="K92" s="2"/>
      <c r="L92" s="7">
        <f t="shared" si="24"/>
        <v>1139.1500000000001</v>
      </c>
      <c r="M92" s="2"/>
      <c r="N92" s="6">
        <f t="shared" si="25"/>
        <v>1.4648244113827205</v>
      </c>
      <c r="O92" s="11"/>
      <c r="P92" s="7">
        <v>11560.12</v>
      </c>
      <c r="Q92" s="2"/>
      <c r="R92" s="6">
        <f t="shared" si="26"/>
        <v>1.1217748156502071E-2</v>
      </c>
      <c r="S92" s="2"/>
      <c r="T92" s="7">
        <v>6374.89</v>
      </c>
      <c r="U92" s="2"/>
      <c r="V92" s="6">
        <f t="shared" si="27"/>
        <v>3.6400725930362658E-3</v>
      </c>
      <c r="W92" s="2"/>
      <c r="X92" s="7">
        <f t="shared" si="28"/>
        <v>5185.2300000000005</v>
      </c>
      <c r="Y92" s="2"/>
      <c r="Z92" s="6">
        <f t="shared" si="29"/>
        <v>0.81338344661633377</v>
      </c>
    </row>
    <row r="93" spans="1:26" s="24" customFormat="1" hidden="1" outlineLevel="2" x14ac:dyDescent="0.25">
      <c r="A93" s="27"/>
      <c r="B93" s="11" t="str">
        <f>CONCATENATE("          ", "6118", " - ", "VACATION")</f>
        <v xml:space="preserve">          6118 - VACATION</v>
      </c>
      <c r="C93" s="11"/>
      <c r="D93" s="7">
        <v>1789.38</v>
      </c>
      <c r="E93" s="2"/>
      <c r="F93" s="6">
        <f t="shared" si="22"/>
        <v>8.3361658165490085E-3</v>
      </c>
      <c r="G93" s="2"/>
      <c r="H93" s="7">
        <v>637.12</v>
      </c>
      <c r="I93" s="2"/>
      <c r="J93" s="6">
        <f t="shared" si="23"/>
        <v>2.1271214123188757E-3</v>
      </c>
      <c r="K93" s="2"/>
      <c r="L93" s="7">
        <f t="shared" si="24"/>
        <v>1152.2600000000002</v>
      </c>
      <c r="M93" s="2"/>
      <c r="N93" s="6">
        <f t="shared" si="25"/>
        <v>1.8085447011551987</v>
      </c>
      <c r="O93" s="11"/>
      <c r="P93" s="7">
        <v>10266.799999999999</v>
      </c>
      <c r="Q93" s="2"/>
      <c r="R93" s="6">
        <f t="shared" si="26"/>
        <v>9.9627319416386202E-3</v>
      </c>
      <c r="S93" s="2"/>
      <c r="T93" s="7">
        <v>5821.89</v>
      </c>
      <c r="U93" s="2"/>
      <c r="V93" s="6">
        <f t="shared" si="27"/>
        <v>3.3243086906082939E-3</v>
      </c>
      <c r="W93" s="2"/>
      <c r="X93" s="7">
        <f t="shared" si="28"/>
        <v>4444.9099999999989</v>
      </c>
      <c r="Y93" s="2"/>
      <c r="Z93" s="6">
        <f t="shared" si="29"/>
        <v>0.76348230557430641</v>
      </c>
    </row>
    <row r="94" spans="1:26" s="24" customFormat="1" hidden="1" outlineLevel="2" x14ac:dyDescent="0.25">
      <c r="A94" s="27"/>
      <c r="B94" s="11" t="str">
        <f>CONCATENATE("          ", "6119", " - ", "SICK LEAVE")</f>
        <v xml:space="preserve">          6119 - SICK LEAVE</v>
      </c>
      <c r="C94" s="11"/>
      <c r="D94" s="7">
        <v>1336.24</v>
      </c>
      <c r="E94" s="2"/>
      <c r="F94" s="6">
        <f t="shared" si="22"/>
        <v>6.2251272567623687E-3</v>
      </c>
      <c r="G94" s="2"/>
      <c r="H94" s="7">
        <v>383.51</v>
      </c>
      <c r="I94" s="2"/>
      <c r="J94" s="6">
        <f t="shared" si="23"/>
        <v>1.2804060974987632E-3</v>
      </c>
      <c r="K94" s="2"/>
      <c r="L94" s="7">
        <f t="shared" si="24"/>
        <v>952.73</v>
      </c>
      <c r="M94" s="2"/>
      <c r="N94" s="6">
        <f t="shared" si="25"/>
        <v>2.4842376991473496</v>
      </c>
      <c r="O94" s="11"/>
      <c r="P94" s="7">
        <v>7804.47</v>
      </c>
      <c r="Q94" s="2"/>
      <c r="R94" s="6">
        <f t="shared" si="26"/>
        <v>7.5733278681342159E-3</v>
      </c>
      <c r="S94" s="2"/>
      <c r="T94" s="7">
        <v>4582.5600000000004</v>
      </c>
      <c r="U94" s="2"/>
      <c r="V94" s="6">
        <f t="shared" si="27"/>
        <v>2.6166492381741913E-3</v>
      </c>
      <c r="W94" s="2"/>
      <c r="X94" s="7">
        <f t="shared" si="28"/>
        <v>3221.91</v>
      </c>
      <c r="Y94" s="2"/>
      <c r="Z94" s="6">
        <f t="shared" si="29"/>
        <v>0.70308081072588235</v>
      </c>
    </row>
    <row r="95" spans="1:26" s="24" customFormat="1" hidden="1" outlineLevel="2" x14ac:dyDescent="0.25">
      <c r="A95" s="27"/>
      <c r="B95" s="11" t="str">
        <f>CONCATENATE("          ", "6156", " - ", "EMPLOYEE MEALS")</f>
        <v xml:space="preserve">          6156 - EMPLOYEE MEALS</v>
      </c>
      <c r="C95" s="11"/>
      <c r="D95" s="7">
        <v>412.53</v>
      </c>
      <c r="E95" s="2"/>
      <c r="F95" s="6">
        <f t="shared" si="22"/>
        <v>1.9218491792134494E-3</v>
      </c>
      <c r="G95" s="2"/>
      <c r="H95" s="7">
        <v>126.1</v>
      </c>
      <c r="I95" s="2"/>
      <c r="J95" s="6">
        <f t="shared" si="23"/>
        <v>4.2100390835856706E-4</v>
      </c>
      <c r="K95" s="2"/>
      <c r="L95" s="7">
        <f t="shared" si="24"/>
        <v>286.42999999999995</v>
      </c>
      <c r="M95" s="2"/>
      <c r="N95" s="6">
        <f t="shared" si="25"/>
        <v>2.2714512291831879</v>
      </c>
      <c r="O95" s="11"/>
      <c r="P95" s="7">
        <v>2933.61</v>
      </c>
      <c r="Q95" s="2"/>
      <c r="R95" s="6">
        <f t="shared" si="26"/>
        <v>2.8467263462140565E-3</v>
      </c>
      <c r="S95" s="2"/>
      <c r="T95" s="7">
        <v>1414.66</v>
      </c>
      <c r="U95" s="2"/>
      <c r="V95" s="6">
        <f t="shared" si="27"/>
        <v>8.07773168551094E-4</v>
      </c>
      <c r="W95" s="2"/>
      <c r="X95" s="7">
        <f t="shared" si="28"/>
        <v>1518.95</v>
      </c>
      <c r="Y95" s="2"/>
      <c r="Z95" s="6">
        <f t="shared" si="29"/>
        <v>1.0737208940664187</v>
      </c>
    </row>
    <row r="96" spans="1:26" s="25" customFormat="1" outlineLevel="1" collapsed="1" x14ac:dyDescent="0.25">
      <c r="A96" s="26"/>
      <c r="B96" s="13" t="str">
        <f>CONCATENATE("     ","*Payroll                                          ")</f>
        <v xml:space="preserve">     *Payroll                                          </v>
      </c>
      <c r="C96" s="13"/>
      <c r="D96" s="1">
        <f>SUM(OSRRefD22_1x_0)</f>
        <v>37554.350000000006</v>
      </c>
      <c r="E96" s="1"/>
      <c r="F96" s="5">
        <f t="shared" ref="F96:F102" si="30">IF(D$12=0,0,D96/D$12)</f>
        <v>0.17495405600415637</v>
      </c>
      <c r="G96" s="1"/>
      <c r="H96" s="1">
        <f>SUM(OSRRefH22_1x_0)</f>
        <v>29237.599999999999</v>
      </c>
      <c r="I96" s="1"/>
      <c r="J96" s="5">
        <f t="shared" ref="J96:J102" si="31">IF(H$12=0,0,H96/H$12)</f>
        <v>9.7614146479178737E-2</v>
      </c>
      <c r="K96" s="1"/>
      <c r="L96" s="1">
        <f t="shared" ref="L96:L102" si="32">+D96-H96</f>
        <v>8316.7500000000073</v>
      </c>
      <c r="M96" s="1"/>
      <c r="N96" s="5">
        <f t="shared" ref="N96:N102" si="33">IF(H96=0,0,L96/H96)</f>
        <v>0.28445392234656769</v>
      </c>
      <c r="O96" s="13"/>
      <c r="P96" s="1">
        <f>SUM(OSRRefP22_1x_0)</f>
        <v>221213.85</v>
      </c>
      <c r="Q96" s="1"/>
      <c r="R96" s="5">
        <f t="shared" ref="R96:R102" si="34">IF(P$12=0,0,P96/P$12)</f>
        <v>0.21466224035998116</v>
      </c>
      <c r="S96" s="1"/>
      <c r="T96" s="1">
        <f>SUM(OSRRefT22_1x_0)</f>
        <v>212975.61</v>
      </c>
      <c r="U96" s="1"/>
      <c r="V96" s="5">
        <f t="shared" ref="V96:V102" si="35">IF(T$12=0,0,T96/T$12)</f>
        <v>0.12160942085999607</v>
      </c>
      <c r="W96" s="1"/>
      <c r="X96" s="1">
        <f t="shared" ref="X96:X102" si="36">+P96-T96</f>
        <v>8238.2400000000198</v>
      </c>
      <c r="Y96" s="1"/>
      <c r="Z96" s="5">
        <f t="shared" ref="Z96:Z102" si="37">IF(T96=0,0,X96/T96)</f>
        <v>3.8681612415618953E-2</v>
      </c>
    </row>
    <row r="97" spans="1:26" s="24" customFormat="1" hidden="1" outlineLevel="2" x14ac:dyDescent="0.25">
      <c r="A97" s="27"/>
      <c r="B97" s="11" t="str">
        <f>CONCATENATE("          ", "6002", " - ", "STAFF SALARIES")</f>
        <v xml:space="preserve">          6002 - STAFF SALARIES</v>
      </c>
      <c r="C97" s="11"/>
      <c r="D97" s="7">
        <v>18940.030000000002</v>
      </c>
      <c r="E97" s="2"/>
      <c r="F97" s="6">
        <f t="shared" si="30"/>
        <v>8.8235718880513223E-2</v>
      </c>
      <c r="G97" s="2"/>
      <c r="H97" s="7">
        <v>7174.08</v>
      </c>
      <c r="I97" s="2"/>
      <c r="J97" s="6">
        <f t="shared" si="31"/>
        <v>2.3951750347954232E-2</v>
      </c>
      <c r="K97" s="2"/>
      <c r="L97" s="7">
        <f t="shared" si="32"/>
        <v>11765.950000000003</v>
      </c>
      <c r="M97" s="2"/>
      <c r="N97" s="6">
        <f t="shared" si="33"/>
        <v>1.6400639524510463</v>
      </c>
      <c r="O97" s="11"/>
      <c r="P97" s="7">
        <v>103693.19</v>
      </c>
      <c r="Q97" s="2"/>
      <c r="R97" s="6">
        <f t="shared" si="34"/>
        <v>0.1006221467393348</v>
      </c>
      <c r="S97" s="2"/>
      <c r="T97" s="7">
        <v>61804.140000000007</v>
      </c>
      <c r="U97" s="2"/>
      <c r="V97" s="6">
        <f t="shared" si="35"/>
        <v>3.5290264796753575E-2</v>
      </c>
      <c r="W97" s="2"/>
      <c r="X97" s="7">
        <f t="shared" si="36"/>
        <v>41889.049999999996</v>
      </c>
      <c r="Y97" s="2"/>
      <c r="Z97" s="6">
        <f t="shared" si="37"/>
        <v>0.6777709389694605</v>
      </c>
    </row>
    <row r="98" spans="1:26" s="24" customFormat="1" hidden="1" outlineLevel="2" x14ac:dyDescent="0.25">
      <c r="A98" s="27"/>
      <c r="B98" s="11" t="str">
        <f>CONCATENATE("          ", "6004", " - ", "STAFF HOURLY")</f>
        <v xml:space="preserve">          6004 - STAFF HOURLY</v>
      </c>
      <c r="C98" s="11"/>
      <c r="D98" s="7">
        <v>3854.25</v>
      </c>
      <c r="E98" s="2"/>
      <c r="F98" s="6">
        <f t="shared" si="30"/>
        <v>1.7955754003305065E-2</v>
      </c>
      <c r="G98" s="2"/>
      <c r="H98" s="7"/>
      <c r="I98" s="2"/>
      <c r="J98" s="6">
        <f t="shared" si="31"/>
        <v>0</v>
      </c>
      <c r="K98" s="2"/>
      <c r="L98" s="7">
        <f t="shared" si="32"/>
        <v>3854.25</v>
      </c>
      <c r="M98" s="2"/>
      <c r="N98" s="6">
        <f t="shared" si="33"/>
        <v>0</v>
      </c>
      <c r="O98" s="11"/>
      <c r="P98" s="7">
        <v>41891.75</v>
      </c>
      <c r="Q98" s="2"/>
      <c r="R98" s="6">
        <f t="shared" si="34"/>
        <v>4.0651057370956839E-2</v>
      </c>
      <c r="S98" s="2"/>
      <c r="T98" s="7">
        <v>-912.61</v>
      </c>
      <c r="U98" s="2"/>
      <c r="V98" s="6">
        <f t="shared" si="35"/>
        <v>-5.2110179926725421E-4</v>
      </c>
      <c r="W98" s="2"/>
      <c r="X98" s="7">
        <f t="shared" si="36"/>
        <v>42804.36</v>
      </c>
      <c r="Y98" s="2"/>
      <c r="Z98" s="6">
        <f t="shared" si="37"/>
        <v>-46.903233582800979</v>
      </c>
    </row>
    <row r="99" spans="1:26" s="24" customFormat="1" hidden="1" outlineLevel="2" x14ac:dyDescent="0.25">
      <c r="A99" s="27"/>
      <c r="B99" s="11" t="str">
        <f>CONCATENATE("          ", "6005", " - ", "TEMPORARY WAGES-HOURLY")</f>
        <v xml:space="preserve">          6005 - TEMPORARY WAGES-HOURLY</v>
      </c>
      <c r="C99" s="11"/>
      <c r="D99" s="7">
        <v>5638.39</v>
      </c>
      <c r="E99" s="2"/>
      <c r="F99" s="6">
        <f t="shared" si="30"/>
        <v>2.6267508286876889E-2</v>
      </c>
      <c r="G99" s="2"/>
      <c r="H99" s="7">
        <v>5084.6000000000004</v>
      </c>
      <c r="I99" s="2"/>
      <c r="J99" s="6">
        <f t="shared" si="31"/>
        <v>1.6975705570499367E-2</v>
      </c>
      <c r="K99" s="2"/>
      <c r="L99" s="7">
        <f t="shared" si="32"/>
        <v>553.79</v>
      </c>
      <c r="M99" s="2"/>
      <c r="N99" s="6">
        <f t="shared" si="33"/>
        <v>0.10891515556779292</v>
      </c>
      <c r="O99" s="11"/>
      <c r="P99" s="7">
        <v>31525.329999999998</v>
      </c>
      <c r="Q99" s="2"/>
      <c r="R99" s="6">
        <f t="shared" si="34"/>
        <v>3.0591655838401278E-2</v>
      </c>
      <c r="S99" s="2"/>
      <c r="T99" s="7">
        <v>26190.2</v>
      </c>
      <c r="U99" s="2"/>
      <c r="V99" s="6">
        <f t="shared" si="35"/>
        <v>1.4954646939184583E-2</v>
      </c>
      <c r="W99" s="2"/>
      <c r="X99" s="7">
        <f t="shared" si="36"/>
        <v>5335.1299999999974</v>
      </c>
      <c r="Y99" s="2"/>
      <c r="Z99" s="6">
        <f t="shared" si="37"/>
        <v>0.20370711182045181</v>
      </c>
    </row>
    <row r="100" spans="1:26" s="24" customFormat="1" hidden="1" outlineLevel="2" x14ac:dyDescent="0.25">
      <c r="A100" s="27"/>
      <c r="B100" s="11" t="str">
        <f>CONCATENATE("          ", "6006", " - ", "TEMPORARY PART TIME")</f>
        <v xml:space="preserve">          6006 - TEMPORARY PART TIME</v>
      </c>
      <c r="C100" s="11"/>
      <c r="D100" s="7"/>
      <c r="E100" s="2"/>
      <c r="F100" s="6">
        <f t="shared" si="30"/>
        <v>0</v>
      </c>
      <c r="G100" s="2"/>
      <c r="H100" s="7"/>
      <c r="I100" s="2"/>
      <c r="J100" s="6">
        <f t="shared" si="31"/>
        <v>0</v>
      </c>
      <c r="K100" s="2"/>
      <c r="L100" s="7">
        <f t="shared" si="32"/>
        <v>0</v>
      </c>
      <c r="M100" s="2"/>
      <c r="N100" s="6">
        <f t="shared" si="33"/>
        <v>0</v>
      </c>
      <c r="O100" s="11"/>
      <c r="P100" s="7"/>
      <c r="Q100" s="2"/>
      <c r="R100" s="6">
        <f t="shared" si="34"/>
        <v>0</v>
      </c>
      <c r="S100" s="2"/>
      <c r="T100" s="7">
        <v>66.5</v>
      </c>
      <c r="U100" s="2"/>
      <c r="V100" s="6">
        <f t="shared" si="35"/>
        <v>3.7971608519819426E-5</v>
      </c>
      <c r="W100" s="2"/>
      <c r="X100" s="7">
        <f t="shared" si="36"/>
        <v>-66.5</v>
      </c>
      <c r="Y100" s="2"/>
      <c r="Z100" s="6">
        <f t="shared" si="37"/>
        <v>-1</v>
      </c>
    </row>
    <row r="101" spans="1:26" s="24" customFormat="1" hidden="1" outlineLevel="2" x14ac:dyDescent="0.25">
      <c r="A101" s="27"/>
      <c r="B101" s="11" t="str">
        <f>CONCATENATE("          ", "6007", " - ", "STUDENT HOURLY")</f>
        <v xml:space="preserve">          6007 - STUDENT HOURLY</v>
      </c>
      <c r="C101" s="11"/>
      <c r="D101" s="7">
        <v>8038.52</v>
      </c>
      <c r="E101" s="2"/>
      <c r="F101" s="6">
        <f t="shared" si="30"/>
        <v>3.7448968715222894E-2</v>
      </c>
      <c r="G101" s="2"/>
      <c r="H101" s="7">
        <v>16978.919999999998</v>
      </c>
      <c r="I101" s="2"/>
      <c r="J101" s="6">
        <f t="shared" si="31"/>
        <v>5.6686690560725145E-2</v>
      </c>
      <c r="K101" s="2"/>
      <c r="L101" s="7">
        <f t="shared" si="32"/>
        <v>-8940.3999999999978</v>
      </c>
      <c r="M101" s="2"/>
      <c r="N101" s="6">
        <f t="shared" si="33"/>
        <v>-0.52655881528389314</v>
      </c>
      <c r="O101" s="11"/>
      <c r="P101" s="7">
        <v>39173.129999999997</v>
      </c>
      <c r="Q101" s="2"/>
      <c r="R101" s="6">
        <f t="shared" si="34"/>
        <v>3.801295374459053E-2</v>
      </c>
      <c r="S101" s="2"/>
      <c r="T101" s="7">
        <v>125632.37999999999</v>
      </c>
      <c r="U101" s="2"/>
      <c r="V101" s="6">
        <f t="shared" si="35"/>
        <v>7.1736293996589345E-2</v>
      </c>
      <c r="W101" s="2"/>
      <c r="X101" s="7">
        <f t="shared" si="36"/>
        <v>-86459.25</v>
      </c>
      <c r="Y101" s="2"/>
      <c r="Z101" s="6">
        <f t="shared" si="37"/>
        <v>-0.6881924070848614</v>
      </c>
    </row>
    <row r="102" spans="1:26" s="24" customFormat="1" hidden="1" outlineLevel="2" x14ac:dyDescent="0.25">
      <c r="A102" s="27"/>
      <c r="B102" s="11" t="str">
        <f>CONCATENATE("          ", "6008", " - ", "STUDENT HOURLY-FICA EXEMPT")</f>
        <v xml:space="preserve">          6008 - STUDENT HOURLY-FICA EXEMPT</v>
      </c>
      <c r="C102" s="11"/>
      <c r="D102" s="7">
        <v>1083.1600000000001</v>
      </c>
      <c r="E102" s="2"/>
      <c r="F102" s="6">
        <f t="shared" si="30"/>
        <v>5.0461061182382862E-3</v>
      </c>
      <c r="G102" s="2"/>
      <c r="H102" s="7"/>
      <c r="I102" s="2"/>
      <c r="J102" s="6">
        <f t="shared" si="31"/>
        <v>0</v>
      </c>
      <c r="K102" s="2"/>
      <c r="L102" s="7">
        <f t="shared" si="32"/>
        <v>1083.1600000000001</v>
      </c>
      <c r="M102" s="2"/>
      <c r="N102" s="6">
        <f t="shared" si="33"/>
        <v>0</v>
      </c>
      <c r="O102" s="11"/>
      <c r="P102" s="7">
        <v>4930.45</v>
      </c>
      <c r="Q102" s="2"/>
      <c r="R102" s="6">
        <f t="shared" si="34"/>
        <v>4.7844266666977183E-3</v>
      </c>
      <c r="S102" s="2"/>
      <c r="T102" s="7">
        <v>195</v>
      </c>
      <c r="U102" s="2"/>
      <c r="V102" s="6">
        <f t="shared" si="35"/>
        <v>1.1134531821601185E-4</v>
      </c>
      <c r="W102" s="2"/>
      <c r="X102" s="7">
        <f t="shared" si="36"/>
        <v>4735.45</v>
      </c>
      <c r="Y102" s="2"/>
      <c r="Z102" s="6">
        <f t="shared" si="37"/>
        <v>24.284358974358973</v>
      </c>
    </row>
    <row r="103" spans="1:26" s="25" customFormat="1" outlineLevel="1" collapsed="1" x14ac:dyDescent="0.25">
      <c r="A103" s="26"/>
      <c r="B103" s="13" t="str">
        <f>CONCATENATE("     ","Advertising/Promo                                 ")</f>
        <v xml:space="preserve">     Advertising/Promo                                 </v>
      </c>
      <c r="C103" s="13"/>
      <c r="D103" s="1">
        <f>SUM(OSRRefD22_2x_0)</f>
        <v>273.42</v>
      </c>
      <c r="E103" s="1"/>
      <c r="F103" s="5">
        <f t="shared" ref="F103:F111" si="38">IF(D$12=0,0,D103/D$12)</f>
        <v>1.2737788829431591E-3</v>
      </c>
      <c r="G103" s="1"/>
      <c r="H103" s="1">
        <f>SUM(OSRRefH22_2x_0)</f>
        <v>2766.48</v>
      </c>
      <c r="I103" s="1"/>
      <c r="J103" s="5">
        <f t="shared" ref="J103:J111" si="39">IF(H$12=0,0,H103/H$12)</f>
        <v>9.2363115971118848E-3</v>
      </c>
      <c r="K103" s="1"/>
      <c r="L103" s="1">
        <f t="shared" ref="L103:L111" si="40">+D103-H103</f>
        <v>-2493.06</v>
      </c>
      <c r="M103" s="1"/>
      <c r="N103" s="5">
        <f t="shared" ref="N103:N111" si="41">IF(H103=0,0,L103/H103)</f>
        <v>-0.90116682571354212</v>
      </c>
      <c r="O103" s="13"/>
      <c r="P103" s="1">
        <f>SUM(OSRRefP22_2x_0)</f>
        <v>13047.35</v>
      </c>
      <c r="Q103" s="1"/>
      <c r="R103" s="5">
        <f t="shared" ref="R103:R111" si="42">IF(P$12=0,0,P103/P$12)</f>
        <v>1.2660931409858833E-2</v>
      </c>
      <c r="S103" s="1"/>
      <c r="T103" s="1">
        <f>SUM(OSRRefT22_2x_0)</f>
        <v>13840.02</v>
      </c>
      <c r="U103" s="1"/>
      <c r="V103" s="5">
        <f t="shared" ref="V103:V111" si="43">IF(T$12=0,0,T103/T$12)</f>
        <v>7.9026740052100947E-3</v>
      </c>
      <c r="W103" s="1"/>
      <c r="X103" s="1">
        <f t="shared" ref="X103:X111" si="44">+P103-T103</f>
        <v>-792.67000000000007</v>
      </c>
      <c r="Y103" s="1"/>
      <c r="Z103" s="5">
        <f t="shared" ref="Z103:Z111" si="45">IF(T103=0,0,X103/T103)</f>
        <v>-5.7273761165085028E-2</v>
      </c>
    </row>
    <row r="104" spans="1:26" s="24" customFormat="1" hidden="1" outlineLevel="2" x14ac:dyDescent="0.25">
      <c r="A104" s="27"/>
      <c r="B104" s="11" t="str">
        <f>CONCATENATE("          ", "6362", " - ", "ADVERTISING EXPENSE")</f>
        <v xml:space="preserve">          6362 - ADVERTISING EXPENSE</v>
      </c>
      <c r="C104" s="11"/>
      <c r="D104" s="7">
        <v>273.42</v>
      </c>
      <c r="E104" s="2"/>
      <c r="F104" s="6">
        <f t="shared" si="38"/>
        <v>1.2737788829431591E-3</v>
      </c>
      <c r="G104" s="2"/>
      <c r="H104" s="7">
        <v>2766.48</v>
      </c>
      <c r="I104" s="2"/>
      <c r="J104" s="6">
        <f t="shared" si="39"/>
        <v>9.2363115971118848E-3</v>
      </c>
      <c r="K104" s="2"/>
      <c r="L104" s="7">
        <f t="shared" si="40"/>
        <v>-2493.06</v>
      </c>
      <c r="M104" s="2"/>
      <c r="N104" s="6">
        <f t="shared" si="41"/>
        <v>-0.90116682571354212</v>
      </c>
      <c r="O104" s="11"/>
      <c r="P104" s="7">
        <v>13047.35</v>
      </c>
      <c r="Q104" s="2"/>
      <c r="R104" s="6">
        <f t="shared" si="42"/>
        <v>1.2660931409858833E-2</v>
      </c>
      <c r="S104" s="2"/>
      <c r="T104" s="7">
        <v>13840.02</v>
      </c>
      <c r="U104" s="2"/>
      <c r="V104" s="6">
        <f t="shared" si="43"/>
        <v>7.9026740052100947E-3</v>
      </c>
      <c r="W104" s="2"/>
      <c r="X104" s="7">
        <f t="shared" si="44"/>
        <v>-792.67000000000007</v>
      </c>
      <c r="Y104" s="2"/>
      <c r="Z104" s="6">
        <f t="shared" si="45"/>
        <v>-5.7273761165085028E-2</v>
      </c>
    </row>
    <row r="105" spans="1:26" s="25" customFormat="1" outlineLevel="1" collapsed="1" x14ac:dyDescent="0.25">
      <c r="A105" s="26"/>
      <c r="B105" s="13" t="str">
        <f>CONCATENATE("     ","Bad Debts/Over/Short                              ")</f>
        <v xml:space="preserve">     Bad Debts/Over/Short                              </v>
      </c>
      <c r="C105" s="13"/>
      <c r="D105" s="1">
        <f>SUM(OSRRefD22_3x_0)</f>
        <v>-0.38</v>
      </c>
      <c r="E105" s="1"/>
      <c r="F105" s="5">
        <f t="shared" si="38"/>
        <v>-1.77030200979592E-6</v>
      </c>
      <c r="G105" s="1"/>
      <c r="H105" s="1">
        <f>SUM(OSRRefH22_3x_0)</f>
        <v>18.809999999999999</v>
      </c>
      <c r="I105" s="1"/>
      <c r="J105" s="5">
        <f t="shared" si="39"/>
        <v>6.2800027884414323E-5</v>
      </c>
      <c r="K105" s="1"/>
      <c r="L105" s="1">
        <f t="shared" si="40"/>
        <v>-19.189999999999998</v>
      </c>
      <c r="M105" s="1"/>
      <c r="N105" s="5">
        <f t="shared" si="41"/>
        <v>-1.0202020202020201</v>
      </c>
      <c r="O105" s="13"/>
      <c r="P105" s="1">
        <f>SUM(OSRRefP22_3x_0)</f>
        <v>-1.39</v>
      </c>
      <c r="Q105" s="1"/>
      <c r="R105" s="5">
        <f t="shared" si="42"/>
        <v>-1.3488328786844667E-6</v>
      </c>
      <c r="S105" s="1"/>
      <c r="T105" s="1">
        <f>SUM(OSRRefT22_3x_0)</f>
        <v>45.94</v>
      </c>
      <c r="U105" s="1"/>
      <c r="V105" s="5">
        <f t="shared" si="43"/>
        <v>2.6231814968428639E-5</v>
      </c>
      <c r="W105" s="1"/>
      <c r="X105" s="1">
        <f t="shared" si="44"/>
        <v>-47.33</v>
      </c>
      <c r="Y105" s="1"/>
      <c r="Z105" s="5">
        <f t="shared" si="45"/>
        <v>-1.0302568567696997</v>
      </c>
    </row>
    <row r="106" spans="1:26" s="24" customFormat="1" hidden="1" outlineLevel="2" x14ac:dyDescent="0.25">
      <c r="A106" s="27"/>
      <c r="B106" s="11" t="str">
        <f>CONCATENATE("          ", "6272", " - ", "CASH (OVER/SHORT)")</f>
        <v xml:space="preserve">          6272 - CASH (OVER/SHORT)</v>
      </c>
      <c r="C106" s="11"/>
      <c r="D106" s="7">
        <v>-0.38</v>
      </c>
      <c r="E106" s="2"/>
      <c r="F106" s="6">
        <f t="shared" si="38"/>
        <v>-1.77030200979592E-6</v>
      </c>
      <c r="G106" s="2"/>
      <c r="H106" s="7">
        <v>18.809999999999999</v>
      </c>
      <c r="I106" s="2"/>
      <c r="J106" s="6">
        <f t="shared" si="39"/>
        <v>6.2800027884414323E-5</v>
      </c>
      <c r="K106" s="2"/>
      <c r="L106" s="7">
        <f t="shared" si="40"/>
        <v>-19.189999999999998</v>
      </c>
      <c r="M106" s="2"/>
      <c r="N106" s="6">
        <f t="shared" si="41"/>
        <v>-1.0202020202020201</v>
      </c>
      <c r="O106" s="11"/>
      <c r="P106" s="7">
        <v>-1.39</v>
      </c>
      <c r="Q106" s="2"/>
      <c r="R106" s="6">
        <f t="shared" si="42"/>
        <v>-1.3488328786844667E-6</v>
      </c>
      <c r="S106" s="2"/>
      <c r="T106" s="7">
        <v>45.94</v>
      </c>
      <c r="U106" s="2"/>
      <c r="V106" s="6">
        <f t="shared" si="43"/>
        <v>2.6231814968428639E-5</v>
      </c>
      <c r="W106" s="2"/>
      <c r="X106" s="7">
        <f t="shared" si="44"/>
        <v>-47.33</v>
      </c>
      <c r="Y106" s="2"/>
      <c r="Z106" s="6">
        <f t="shared" si="45"/>
        <v>-1.0302568567696997</v>
      </c>
    </row>
    <row r="107" spans="1:26" s="25" customFormat="1" outlineLevel="1" collapsed="1" x14ac:dyDescent="0.25">
      <c r="A107" s="26"/>
      <c r="B107" s="13" t="str">
        <f>CONCATENATE("     ","Bank/card Fees                                    ")</f>
        <v xml:space="preserve">     Bank/card Fees                                    </v>
      </c>
      <c r="C107" s="13"/>
      <c r="D107" s="1">
        <f>SUM(OSRRefD22_4x_0)</f>
        <v>641.35</v>
      </c>
      <c r="E107" s="1"/>
      <c r="F107" s="5">
        <f t="shared" si="38"/>
        <v>2.9878505104805613E-3</v>
      </c>
      <c r="G107" s="1"/>
      <c r="H107" s="1">
        <f>SUM(OSRRefH22_4x_0)</f>
        <v>1503.49</v>
      </c>
      <c r="I107" s="1"/>
      <c r="J107" s="5">
        <f t="shared" si="39"/>
        <v>5.019628597763854E-3</v>
      </c>
      <c r="K107" s="1"/>
      <c r="L107" s="1">
        <f t="shared" si="40"/>
        <v>-862.14</v>
      </c>
      <c r="M107" s="1"/>
      <c r="N107" s="5">
        <f t="shared" si="41"/>
        <v>-0.57342582923730789</v>
      </c>
      <c r="O107" s="13"/>
      <c r="P107" s="1">
        <f>SUM(OSRRefP22_4x_0)</f>
        <v>2314.27</v>
      </c>
      <c r="Q107" s="1"/>
      <c r="R107" s="5">
        <f t="shared" si="42"/>
        <v>2.2457291123403602E-3</v>
      </c>
      <c r="S107" s="1"/>
      <c r="T107" s="1">
        <f>SUM(OSRRefT22_4x_0)</f>
        <v>4684.47</v>
      </c>
      <c r="U107" s="1"/>
      <c r="V107" s="5">
        <f t="shared" si="43"/>
        <v>2.6748400144787749E-3</v>
      </c>
      <c r="W107" s="1"/>
      <c r="X107" s="1">
        <f t="shared" si="44"/>
        <v>-2370.2000000000003</v>
      </c>
      <c r="Y107" s="1"/>
      <c r="Z107" s="5">
        <f t="shared" si="45"/>
        <v>-0.50596972549722807</v>
      </c>
    </row>
    <row r="108" spans="1:26" s="24" customFormat="1" hidden="1" outlineLevel="2" x14ac:dyDescent="0.25">
      <c r="A108" s="27"/>
      <c r="B108" s="11" t="str">
        <f>CONCATENATE("          ", "6381", " - ", "BANK/CREDIT CARD FEES")</f>
        <v xml:space="preserve">          6381 - BANK/CREDIT CARD FEES</v>
      </c>
      <c r="C108" s="11"/>
      <c r="D108" s="7">
        <v>641.35</v>
      </c>
      <c r="E108" s="2"/>
      <c r="F108" s="6">
        <f t="shared" si="38"/>
        <v>2.9878505104805613E-3</v>
      </c>
      <c r="G108" s="2"/>
      <c r="H108" s="7">
        <v>1503.49</v>
      </c>
      <c r="I108" s="2"/>
      <c r="J108" s="6">
        <f t="shared" si="39"/>
        <v>5.019628597763854E-3</v>
      </c>
      <c r="K108" s="2"/>
      <c r="L108" s="7">
        <f t="shared" si="40"/>
        <v>-862.14</v>
      </c>
      <c r="M108" s="2"/>
      <c r="N108" s="6">
        <f t="shared" si="41"/>
        <v>-0.57342582923730789</v>
      </c>
      <c r="O108" s="11"/>
      <c r="P108" s="7">
        <v>2314.27</v>
      </c>
      <c r="Q108" s="2"/>
      <c r="R108" s="6">
        <f t="shared" si="42"/>
        <v>2.2457291123403602E-3</v>
      </c>
      <c r="S108" s="2"/>
      <c r="T108" s="7">
        <v>4684.47</v>
      </c>
      <c r="U108" s="2"/>
      <c r="V108" s="6">
        <f t="shared" si="43"/>
        <v>2.6748400144787749E-3</v>
      </c>
      <c r="W108" s="2"/>
      <c r="X108" s="7">
        <f t="shared" si="44"/>
        <v>-2370.2000000000003</v>
      </c>
      <c r="Y108" s="2"/>
      <c r="Z108" s="6">
        <f t="shared" si="45"/>
        <v>-0.50596972549722807</v>
      </c>
    </row>
    <row r="109" spans="1:26" s="25" customFormat="1" outlineLevel="1" collapsed="1" x14ac:dyDescent="0.25">
      <c r="A109" s="26"/>
      <c r="B109" s="13" t="str">
        <f>CONCATENATE("     ","Discounts and Markdowns                           ")</f>
        <v xml:space="preserve">     Discounts and Markdowns                           </v>
      </c>
      <c r="C109" s="13"/>
      <c r="D109" s="1">
        <f>SUM(OSRRefD22_5x_0)</f>
        <v>0</v>
      </c>
      <c r="E109" s="1"/>
      <c r="F109" s="5">
        <f t="shared" si="38"/>
        <v>0</v>
      </c>
      <c r="G109" s="1"/>
      <c r="H109" s="1">
        <f>SUM(OSRRefH22_5x_0)</f>
        <v>39053.350000000006</v>
      </c>
      <c r="I109" s="1"/>
      <c r="J109" s="5">
        <f t="shared" si="39"/>
        <v>0.13038551137585289</v>
      </c>
      <c r="K109" s="1"/>
      <c r="L109" s="1">
        <f t="shared" si="40"/>
        <v>-39053.350000000006</v>
      </c>
      <c r="M109" s="1"/>
      <c r="N109" s="5">
        <f t="shared" si="41"/>
        <v>-1</v>
      </c>
      <c r="O109" s="13"/>
      <c r="P109" s="1">
        <f>SUM(OSRRefP22_5x_0)</f>
        <v>0</v>
      </c>
      <c r="Q109" s="1"/>
      <c r="R109" s="5">
        <f t="shared" si="42"/>
        <v>0</v>
      </c>
      <c r="S109" s="1"/>
      <c r="T109" s="1">
        <f>SUM(OSRRefT22_5x_0)</f>
        <v>179108.32</v>
      </c>
      <c r="U109" s="1"/>
      <c r="V109" s="5">
        <f t="shared" si="43"/>
        <v>0.10227114300274504</v>
      </c>
      <c r="W109" s="1"/>
      <c r="X109" s="1">
        <f t="shared" si="44"/>
        <v>-179108.32</v>
      </c>
      <c r="Y109" s="1"/>
      <c r="Z109" s="5">
        <f t="shared" si="45"/>
        <v>-1</v>
      </c>
    </row>
    <row r="110" spans="1:26" s="24" customFormat="1" hidden="1" outlineLevel="2" x14ac:dyDescent="0.25">
      <c r="A110" s="27"/>
      <c r="B110" s="11" t="str">
        <f>CONCATENATE("          ", "6382", " - ", "DISCOUNTS/MARK DOWNS")</f>
        <v xml:space="preserve">          6382 - DISCOUNTS/MARK DOWNS</v>
      </c>
      <c r="C110" s="11"/>
      <c r="D110" s="7"/>
      <c r="E110" s="2"/>
      <c r="F110" s="6">
        <f t="shared" si="38"/>
        <v>0</v>
      </c>
      <c r="G110" s="2"/>
      <c r="H110" s="7">
        <v>39065.270000000004</v>
      </c>
      <c r="I110" s="2"/>
      <c r="J110" s="6">
        <f t="shared" si="39"/>
        <v>0.1304253080974043</v>
      </c>
      <c r="K110" s="2"/>
      <c r="L110" s="7">
        <f t="shared" si="40"/>
        <v>-39065.270000000004</v>
      </c>
      <c r="M110" s="2"/>
      <c r="N110" s="6">
        <f t="shared" si="41"/>
        <v>-1</v>
      </c>
      <c r="O110" s="11"/>
      <c r="P110" s="7">
        <v>0</v>
      </c>
      <c r="Q110" s="2"/>
      <c r="R110" s="6">
        <f t="shared" si="42"/>
        <v>0</v>
      </c>
      <c r="S110" s="2"/>
      <c r="T110" s="7">
        <v>179127.71000000002</v>
      </c>
      <c r="U110" s="2"/>
      <c r="V110" s="6">
        <f t="shared" si="43"/>
        <v>0.10228221472438713</v>
      </c>
      <c r="W110" s="2"/>
      <c r="X110" s="7">
        <f t="shared" si="44"/>
        <v>-179127.71000000002</v>
      </c>
      <c r="Y110" s="2"/>
      <c r="Z110" s="6">
        <f t="shared" si="45"/>
        <v>-1</v>
      </c>
    </row>
    <row r="111" spans="1:26" s="24" customFormat="1" hidden="1" outlineLevel="2" x14ac:dyDescent="0.25">
      <c r="A111" s="27"/>
      <c r="B111" s="11" t="str">
        <f>CONCATENATE("          ", "9175", " - ", "EARNED DISCOUNTS")</f>
        <v xml:space="preserve">          9175 - EARNED DISCOUNTS</v>
      </c>
      <c r="C111" s="11"/>
      <c r="D111" s="7"/>
      <c r="E111" s="2"/>
      <c r="F111" s="6">
        <f t="shared" si="38"/>
        <v>0</v>
      </c>
      <c r="G111" s="2"/>
      <c r="H111" s="7">
        <v>-11.92</v>
      </c>
      <c r="I111" s="2"/>
      <c r="J111" s="6">
        <f t="shared" si="39"/>
        <v>-3.9796721551420457E-5</v>
      </c>
      <c r="K111" s="2"/>
      <c r="L111" s="7">
        <f t="shared" si="40"/>
        <v>11.92</v>
      </c>
      <c r="M111" s="2"/>
      <c r="N111" s="6">
        <f t="shared" si="41"/>
        <v>-1</v>
      </c>
      <c r="O111" s="11"/>
      <c r="P111" s="7"/>
      <c r="Q111" s="2"/>
      <c r="R111" s="6">
        <f t="shared" si="42"/>
        <v>0</v>
      </c>
      <c r="S111" s="2"/>
      <c r="T111" s="7">
        <v>-19.39</v>
      </c>
      <c r="U111" s="2"/>
      <c r="V111" s="6">
        <f t="shared" si="43"/>
        <v>-1.1071721642094717E-5</v>
      </c>
      <c r="W111" s="2"/>
      <c r="X111" s="7">
        <f t="shared" si="44"/>
        <v>19.39</v>
      </c>
      <c r="Y111" s="2"/>
      <c r="Z111" s="6">
        <f t="shared" si="45"/>
        <v>-1</v>
      </c>
    </row>
    <row r="112" spans="1:26" s="25" customFormat="1" outlineLevel="1" collapsed="1" x14ac:dyDescent="0.25">
      <c r="A112" s="26"/>
      <c r="B112" s="13" t="str">
        <f>CONCATENATE("     ","Employees' Appreciation                           ")</f>
        <v xml:space="preserve">     Employees' Appreciation                           </v>
      </c>
      <c r="C112" s="13"/>
      <c r="D112" s="1">
        <f>SUM(OSRRefD22_6x_0)</f>
        <v>0</v>
      </c>
      <c r="E112" s="1"/>
      <c r="F112" s="5">
        <f t="shared" ref="F112:F116" si="46">IF(D$12=0,0,D112/D$12)</f>
        <v>0</v>
      </c>
      <c r="G112" s="1"/>
      <c r="H112" s="1">
        <f>SUM(OSRRefH22_6x_0)</f>
        <v>0</v>
      </c>
      <c r="I112" s="1"/>
      <c r="J112" s="5">
        <f t="shared" ref="J112:J116" si="47">IF(H$12=0,0,H112/H$12)</f>
        <v>0</v>
      </c>
      <c r="K112" s="1"/>
      <c r="L112" s="1">
        <f t="shared" ref="L112:L116" si="48">+D112-H112</f>
        <v>0</v>
      </c>
      <c r="M112" s="1"/>
      <c r="N112" s="5">
        <f t="shared" ref="N112:N116" si="49">IF(H112=0,0,L112/H112)</f>
        <v>0</v>
      </c>
      <c r="O112" s="13"/>
      <c r="P112" s="1">
        <f>SUM(OSRRefP22_6x_0)</f>
        <v>0</v>
      </c>
      <c r="Q112" s="1"/>
      <c r="R112" s="5">
        <f t="shared" ref="R112:R116" si="50">IF(P$12=0,0,P112/P$12)</f>
        <v>0</v>
      </c>
      <c r="S112" s="1"/>
      <c r="T112" s="1">
        <f>SUM(OSRRefT22_6x_0)</f>
        <v>330.41</v>
      </c>
      <c r="U112" s="1"/>
      <c r="V112" s="5">
        <f t="shared" ref="V112:V116" si="51">IF(T$12=0,0,T112/T$12)</f>
        <v>1.8866464918847425E-4</v>
      </c>
      <c r="W112" s="1"/>
      <c r="X112" s="1">
        <f t="shared" ref="X112:X116" si="52">+P112-T112</f>
        <v>-330.41</v>
      </c>
      <c r="Y112" s="1"/>
      <c r="Z112" s="5">
        <f t="shared" ref="Z112:Z116" si="53">IF(T112=0,0,X112/T112)</f>
        <v>-1</v>
      </c>
    </row>
    <row r="113" spans="1:26" s="24" customFormat="1" hidden="1" outlineLevel="2" x14ac:dyDescent="0.25">
      <c r="A113" s="27"/>
      <c r="B113" s="11" t="str">
        <f>CONCATENATE("          ", "6277", " - ", "EMPLOYEE APPRECIATION")</f>
        <v xml:space="preserve">          6277 - EMPLOYEE APPRECIATION</v>
      </c>
      <c r="C113" s="11"/>
      <c r="D113" s="7"/>
      <c r="E113" s="2"/>
      <c r="F113" s="6">
        <f t="shared" si="46"/>
        <v>0</v>
      </c>
      <c r="G113" s="2"/>
      <c r="H113" s="7"/>
      <c r="I113" s="2"/>
      <c r="J113" s="6">
        <f t="shared" si="47"/>
        <v>0</v>
      </c>
      <c r="K113" s="2"/>
      <c r="L113" s="7">
        <f t="shared" si="48"/>
        <v>0</v>
      </c>
      <c r="M113" s="2"/>
      <c r="N113" s="6">
        <f t="shared" si="49"/>
        <v>0</v>
      </c>
      <c r="O113" s="11"/>
      <c r="P113" s="7"/>
      <c r="Q113" s="2"/>
      <c r="R113" s="6">
        <f t="shared" si="50"/>
        <v>0</v>
      </c>
      <c r="S113" s="2"/>
      <c r="T113" s="7">
        <v>330.41</v>
      </c>
      <c r="U113" s="2"/>
      <c r="V113" s="6">
        <f t="shared" si="51"/>
        <v>1.8866464918847425E-4</v>
      </c>
      <c r="W113" s="2"/>
      <c r="X113" s="7">
        <f t="shared" si="52"/>
        <v>-330.41</v>
      </c>
      <c r="Y113" s="2"/>
      <c r="Z113" s="6">
        <f t="shared" si="53"/>
        <v>-1</v>
      </c>
    </row>
    <row r="114" spans="1:26" s="25" customFormat="1" outlineLevel="1" collapsed="1" x14ac:dyDescent="0.25">
      <c r="A114" s="26"/>
      <c r="B114" s="13" t="str">
        <f>CONCATENATE("     ","Freight out/Postage                               ")</f>
        <v xml:space="preserve">     Freight out/Postage                               </v>
      </c>
      <c r="C114" s="13"/>
      <c r="D114" s="1">
        <f>SUM(OSRRefD22_7x_0)</f>
        <v>15.280000000000001</v>
      </c>
      <c r="E114" s="1"/>
      <c r="F114" s="5">
        <f t="shared" si="46"/>
        <v>7.1184775551793835E-5</v>
      </c>
      <c r="G114" s="1"/>
      <c r="H114" s="1">
        <f>SUM(OSRRefH22_7x_0)</f>
        <v>0</v>
      </c>
      <c r="I114" s="1"/>
      <c r="J114" s="5">
        <f t="shared" si="47"/>
        <v>0</v>
      </c>
      <c r="K114" s="1"/>
      <c r="L114" s="1">
        <f t="shared" si="48"/>
        <v>15.280000000000001</v>
      </c>
      <c r="M114" s="1"/>
      <c r="N114" s="5">
        <f t="shared" si="49"/>
        <v>0</v>
      </c>
      <c r="O114" s="13"/>
      <c r="P114" s="1">
        <f>SUM(OSRRefP22_7x_0)</f>
        <v>107.24</v>
      </c>
      <c r="Q114" s="1"/>
      <c r="R114" s="5">
        <f t="shared" si="50"/>
        <v>1.0406391216555554E-4</v>
      </c>
      <c r="S114" s="1"/>
      <c r="T114" s="1">
        <f>SUM(OSRRefT22_7x_0)</f>
        <v>70.5</v>
      </c>
      <c r="U114" s="1"/>
      <c r="V114" s="5">
        <f t="shared" si="51"/>
        <v>4.0255615047327365E-5</v>
      </c>
      <c r="W114" s="1"/>
      <c r="X114" s="1">
        <f t="shared" si="52"/>
        <v>36.739999999999995</v>
      </c>
      <c r="Y114" s="1"/>
      <c r="Z114" s="5">
        <f t="shared" si="53"/>
        <v>0.52113475177304958</v>
      </c>
    </row>
    <row r="115" spans="1:26" s="24" customFormat="1" hidden="1" outlineLevel="2" x14ac:dyDescent="0.25">
      <c r="A115" s="27"/>
      <c r="B115" s="11" t="str">
        <f>CONCATENATE("          ", "6305", " - ", "FREIGHT OUT")</f>
        <v xml:space="preserve">          6305 - FREIGHT OUT</v>
      </c>
      <c r="C115" s="11"/>
      <c r="D115" s="7">
        <v>21.28</v>
      </c>
      <c r="E115" s="2"/>
      <c r="F115" s="6">
        <f t="shared" si="46"/>
        <v>9.9136912548571519E-5</v>
      </c>
      <c r="G115" s="2"/>
      <c r="H115" s="7"/>
      <c r="I115" s="2"/>
      <c r="J115" s="6">
        <f t="shared" si="47"/>
        <v>0</v>
      </c>
      <c r="K115" s="2"/>
      <c r="L115" s="7">
        <f t="shared" si="48"/>
        <v>21.28</v>
      </c>
      <c r="M115" s="2"/>
      <c r="N115" s="6">
        <f t="shared" si="49"/>
        <v>0</v>
      </c>
      <c r="O115" s="11"/>
      <c r="P115" s="7">
        <v>113.24</v>
      </c>
      <c r="Q115" s="2"/>
      <c r="R115" s="6">
        <f t="shared" si="50"/>
        <v>1.0988621236131583E-4</v>
      </c>
      <c r="S115" s="2"/>
      <c r="T115" s="7">
        <v>70</v>
      </c>
      <c r="U115" s="2"/>
      <c r="V115" s="6">
        <f t="shared" si="51"/>
        <v>3.9970114231388873E-5</v>
      </c>
      <c r="W115" s="2"/>
      <c r="X115" s="7">
        <f t="shared" si="52"/>
        <v>43.239999999999995</v>
      </c>
      <c r="Y115" s="2"/>
      <c r="Z115" s="6">
        <f t="shared" si="53"/>
        <v>0.61771428571428566</v>
      </c>
    </row>
    <row r="116" spans="1:26" s="24" customFormat="1" hidden="1" outlineLevel="2" x14ac:dyDescent="0.25">
      <c r="A116" s="27"/>
      <c r="B116" s="11" t="str">
        <f>CONCATENATE("          ", "6307", " - ", "POSTAGE")</f>
        <v xml:space="preserve">          6307 - POSTAGE</v>
      </c>
      <c r="C116" s="11"/>
      <c r="D116" s="7">
        <v>-6</v>
      </c>
      <c r="E116" s="2"/>
      <c r="F116" s="6">
        <f t="shared" si="46"/>
        <v>-2.7952136996777684E-5</v>
      </c>
      <c r="G116" s="2"/>
      <c r="H116" s="7"/>
      <c r="I116" s="2"/>
      <c r="J116" s="6">
        <f t="shared" si="47"/>
        <v>0</v>
      </c>
      <c r="K116" s="2"/>
      <c r="L116" s="7">
        <f t="shared" si="48"/>
        <v>-6</v>
      </c>
      <c r="M116" s="2"/>
      <c r="N116" s="6">
        <f t="shared" si="49"/>
        <v>0</v>
      </c>
      <c r="O116" s="11"/>
      <c r="P116" s="7">
        <v>-6</v>
      </c>
      <c r="Q116" s="2"/>
      <c r="R116" s="6">
        <f t="shared" si="50"/>
        <v>-5.8223001957602884E-6</v>
      </c>
      <c r="S116" s="2"/>
      <c r="T116" s="7">
        <v>0.5</v>
      </c>
      <c r="U116" s="2"/>
      <c r="V116" s="6">
        <f t="shared" si="51"/>
        <v>2.8550081593849191E-7</v>
      </c>
      <c r="W116" s="2"/>
      <c r="X116" s="7">
        <f t="shared" si="52"/>
        <v>-6.5</v>
      </c>
      <c r="Y116" s="2"/>
      <c r="Z116" s="6">
        <f t="shared" si="53"/>
        <v>-13</v>
      </c>
    </row>
    <row r="117" spans="1:26" s="25" customFormat="1" outlineLevel="1" collapsed="1" x14ac:dyDescent="0.25">
      <c r="A117" s="26"/>
      <c r="B117" s="13" t="str">
        <f>CONCATENATE("     ","General                                           ")</f>
        <v xml:space="preserve">     General                                           </v>
      </c>
      <c r="C117" s="13"/>
      <c r="D117" s="1">
        <f>SUM(OSRRefD22_8x_0)</f>
        <v>1285.46</v>
      </c>
      <c r="E117" s="1"/>
      <c r="F117" s="5">
        <f t="shared" ref="F117:F129" si="54">IF(D$12=0,0,D117/D$12)</f>
        <v>5.9885590039796405E-3</v>
      </c>
      <c r="G117" s="1"/>
      <c r="H117" s="1">
        <f>SUM(OSRRefH22_8x_0)</f>
        <v>160</v>
      </c>
      <c r="I117" s="1"/>
      <c r="J117" s="5">
        <f t="shared" ref="J117:J129" si="55">IF(H$12=0,0,H117/H$12)</f>
        <v>5.3418418189826115E-4</v>
      </c>
      <c r="K117" s="1"/>
      <c r="L117" s="1">
        <f t="shared" ref="L117:L129" si="56">+D117-H117</f>
        <v>1125.46</v>
      </c>
      <c r="M117" s="1"/>
      <c r="N117" s="5">
        <f t="shared" ref="N117:N129" si="57">IF(H117=0,0,L117/H117)</f>
        <v>7.0341250000000004</v>
      </c>
      <c r="O117" s="13"/>
      <c r="P117" s="1">
        <f>SUM(OSRRefP22_8x_0)</f>
        <v>1285.46</v>
      </c>
      <c r="Q117" s="1"/>
      <c r="R117" s="5">
        <f t="shared" ref="R117:R129" si="58">IF(P$12=0,0,P117/P$12)</f>
        <v>1.2473890016070034E-3</v>
      </c>
      <c r="S117" s="1"/>
      <c r="T117" s="1">
        <f>SUM(OSRRefT22_8x_0)</f>
        <v>1271.44</v>
      </c>
      <c r="U117" s="1"/>
      <c r="V117" s="5">
        <f t="shared" ref="V117:V129" si="59">IF(T$12=0,0,T117/T$12)</f>
        <v>7.2599431483367236E-4</v>
      </c>
      <c r="W117" s="1"/>
      <c r="X117" s="1">
        <f t="shared" ref="X117:X129" si="60">+P117-T117</f>
        <v>14.019999999999982</v>
      </c>
      <c r="Y117" s="1"/>
      <c r="Z117" s="5">
        <f t="shared" ref="Z117:Z129" si="61">IF(T117=0,0,X117/T117)</f>
        <v>1.1026867174227633E-2</v>
      </c>
    </row>
    <row r="118" spans="1:26" s="24" customFormat="1" hidden="1" outlineLevel="2" x14ac:dyDescent="0.25">
      <c r="A118" s="27"/>
      <c r="B118" s="11" t="str">
        <f>CONCATENATE("          ", "6279", " - ", "GENERAL EXPENSE")</f>
        <v xml:space="preserve">          6279 - GENERAL EXPENSE</v>
      </c>
      <c r="C118" s="11"/>
      <c r="D118" s="7">
        <v>1285.46</v>
      </c>
      <c r="E118" s="2"/>
      <c r="F118" s="6">
        <f t="shared" si="54"/>
        <v>5.9885590039796405E-3</v>
      </c>
      <c r="G118" s="2"/>
      <c r="H118" s="7">
        <v>160</v>
      </c>
      <c r="I118" s="2"/>
      <c r="J118" s="6">
        <f t="shared" si="55"/>
        <v>5.3418418189826115E-4</v>
      </c>
      <c r="K118" s="2"/>
      <c r="L118" s="7">
        <f t="shared" si="56"/>
        <v>1125.46</v>
      </c>
      <c r="M118" s="2"/>
      <c r="N118" s="6">
        <f t="shared" si="57"/>
        <v>7.0341250000000004</v>
      </c>
      <c r="O118" s="11"/>
      <c r="P118" s="7">
        <v>1285.46</v>
      </c>
      <c r="Q118" s="2"/>
      <c r="R118" s="6">
        <f t="shared" si="58"/>
        <v>1.2473890016070034E-3</v>
      </c>
      <c r="S118" s="2"/>
      <c r="T118" s="7">
        <v>1271.44</v>
      </c>
      <c r="U118" s="2"/>
      <c r="V118" s="6">
        <f t="shared" si="59"/>
        <v>7.2599431483367236E-4</v>
      </c>
      <c r="W118" s="2"/>
      <c r="X118" s="7">
        <f t="shared" si="60"/>
        <v>14.019999999999982</v>
      </c>
      <c r="Y118" s="2"/>
      <c r="Z118" s="6">
        <f t="shared" si="61"/>
        <v>1.1026867174227633E-2</v>
      </c>
    </row>
    <row r="119" spans="1:26" s="25" customFormat="1" outlineLevel="1" collapsed="1" x14ac:dyDescent="0.25">
      <c r="A119" s="26"/>
      <c r="B119" s="13" t="str">
        <f>CONCATENATE("     ","Insurance                                         ")</f>
        <v xml:space="preserve">     Insurance                                         </v>
      </c>
      <c r="C119" s="13"/>
      <c r="D119" s="1">
        <f>SUM(OSRRefD22_9x_0)</f>
        <v>161.18</v>
      </c>
      <c r="E119" s="1"/>
      <c r="F119" s="5">
        <f t="shared" si="54"/>
        <v>7.5088757352343783E-4</v>
      </c>
      <c r="G119" s="1"/>
      <c r="H119" s="1">
        <f>SUM(OSRRefH22_9x_0)</f>
        <v>161.18</v>
      </c>
      <c r="I119" s="1"/>
      <c r="J119" s="5">
        <f t="shared" si="55"/>
        <v>5.3812379023976083E-4</v>
      </c>
      <c r="K119" s="1"/>
      <c r="L119" s="1">
        <f t="shared" si="56"/>
        <v>0</v>
      </c>
      <c r="M119" s="1"/>
      <c r="N119" s="5">
        <f t="shared" si="57"/>
        <v>0</v>
      </c>
      <c r="O119" s="13"/>
      <c r="P119" s="1">
        <f>SUM(OSRRefP22_9x_0)</f>
        <v>967.08</v>
      </c>
      <c r="Q119" s="1"/>
      <c r="R119" s="5">
        <f t="shared" si="58"/>
        <v>9.3843834555264324E-4</v>
      </c>
      <c r="S119" s="1"/>
      <c r="T119" s="1">
        <f>SUM(OSRRefT22_9x_0)</f>
        <v>967.08</v>
      </c>
      <c r="U119" s="1"/>
      <c r="V119" s="5">
        <f t="shared" si="59"/>
        <v>5.5220425815559362E-4</v>
      </c>
      <c r="W119" s="1"/>
      <c r="X119" s="1">
        <f t="shared" si="60"/>
        <v>0</v>
      </c>
      <c r="Y119" s="1"/>
      <c r="Z119" s="5">
        <f t="shared" si="61"/>
        <v>0</v>
      </c>
    </row>
    <row r="120" spans="1:26" s="24" customFormat="1" hidden="1" outlineLevel="2" x14ac:dyDescent="0.25">
      <c r="A120" s="27"/>
      <c r="B120" s="11" t="str">
        <f>CONCATENATE("          ", "6314", " - ", "LIABILITY INSURANCE")</f>
        <v xml:space="preserve">          6314 - LIABILITY INSURANCE</v>
      </c>
      <c r="C120" s="11"/>
      <c r="D120" s="7">
        <v>161.18</v>
      </c>
      <c r="E120" s="2"/>
      <c r="F120" s="6">
        <f t="shared" si="54"/>
        <v>7.5088757352343783E-4</v>
      </c>
      <c r="G120" s="2"/>
      <c r="H120" s="7">
        <v>161.18</v>
      </c>
      <c r="I120" s="2"/>
      <c r="J120" s="6">
        <f t="shared" si="55"/>
        <v>5.3812379023976083E-4</v>
      </c>
      <c r="K120" s="2"/>
      <c r="L120" s="7">
        <f t="shared" si="56"/>
        <v>0</v>
      </c>
      <c r="M120" s="2"/>
      <c r="N120" s="6">
        <f t="shared" si="57"/>
        <v>0</v>
      </c>
      <c r="O120" s="11"/>
      <c r="P120" s="7">
        <v>967.08</v>
      </c>
      <c r="Q120" s="2"/>
      <c r="R120" s="6">
        <f t="shared" si="58"/>
        <v>9.3843834555264324E-4</v>
      </c>
      <c r="S120" s="2"/>
      <c r="T120" s="7">
        <v>967.08</v>
      </c>
      <c r="U120" s="2"/>
      <c r="V120" s="6">
        <f t="shared" si="59"/>
        <v>5.5220425815559362E-4</v>
      </c>
      <c r="W120" s="2"/>
      <c r="X120" s="7">
        <f t="shared" si="60"/>
        <v>0</v>
      </c>
      <c r="Y120" s="2"/>
      <c r="Z120" s="6">
        <f t="shared" si="61"/>
        <v>0</v>
      </c>
    </row>
    <row r="121" spans="1:26" s="25" customFormat="1" outlineLevel="1" collapsed="1" x14ac:dyDescent="0.25">
      <c r="A121" s="26"/>
      <c r="B121" s="13" t="str">
        <f>CONCATENATE("     ","Inventory Adjustment                              ")</f>
        <v xml:space="preserve">     Inventory Adjustment                              </v>
      </c>
      <c r="C121" s="13"/>
      <c r="D121" s="1">
        <f>SUM(OSRRefD22_10x_0)</f>
        <v>1100</v>
      </c>
      <c r="E121" s="1"/>
      <c r="F121" s="5">
        <f t="shared" si="54"/>
        <v>5.124558449409242E-3</v>
      </c>
      <c r="G121" s="1"/>
      <c r="H121" s="1">
        <f>SUM(OSRRefH22_10x_0)</f>
        <v>3150</v>
      </c>
      <c r="I121" s="1"/>
      <c r="J121" s="5">
        <f t="shared" si="55"/>
        <v>1.0516751081122017E-2</v>
      </c>
      <c r="K121" s="1"/>
      <c r="L121" s="1">
        <f t="shared" si="56"/>
        <v>-2050</v>
      </c>
      <c r="M121" s="1"/>
      <c r="N121" s="5">
        <f t="shared" si="57"/>
        <v>-0.65079365079365081</v>
      </c>
      <c r="O121" s="13"/>
      <c r="P121" s="1">
        <f>SUM(OSRRefP22_10x_0)</f>
        <v>6600</v>
      </c>
      <c r="Q121" s="1"/>
      <c r="R121" s="5">
        <f t="shared" si="58"/>
        <v>6.4045302153363168E-3</v>
      </c>
      <c r="S121" s="1"/>
      <c r="T121" s="1">
        <f>SUM(OSRRefT22_10x_0)</f>
        <v>18900</v>
      </c>
      <c r="U121" s="1"/>
      <c r="V121" s="5">
        <f t="shared" si="59"/>
        <v>1.0791930842474994E-2</v>
      </c>
      <c r="W121" s="1"/>
      <c r="X121" s="1">
        <f t="shared" si="60"/>
        <v>-12300</v>
      </c>
      <c r="Y121" s="1"/>
      <c r="Z121" s="5">
        <f t="shared" si="61"/>
        <v>-0.65079365079365081</v>
      </c>
    </row>
    <row r="122" spans="1:26" s="24" customFormat="1" hidden="1" outlineLevel="2" x14ac:dyDescent="0.25">
      <c r="A122" s="27"/>
      <c r="B122" s="11" t="str">
        <f>CONCATENATE("          ", "6408", " - ", "INVENTORY ADJUSTMENT")</f>
        <v xml:space="preserve">          6408 - INVENTORY ADJUSTMENT</v>
      </c>
      <c r="C122" s="11"/>
      <c r="D122" s="7">
        <v>1100</v>
      </c>
      <c r="E122" s="2"/>
      <c r="F122" s="6">
        <f t="shared" si="54"/>
        <v>5.124558449409242E-3</v>
      </c>
      <c r="G122" s="2"/>
      <c r="H122" s="7">
        <v>3150</v>
      </c>
      <c r="I122" s="2"/>
      <c r="J122" s="6">
        <f t="shared" si="55"/>
        <v>1.0516751081122017E-2</v>
      </c>
      <c r="K122" s="2"/>
      <c r="L122" s="7">
        <f t="shared" si="56"/>
        <v>-2050</v>
      </c>
      <c r="M122" s="2"/>
      <c r="N122" s="6">
        <f t="shared" si="57"/>
        <v>-0.65079365079365081</v>
      </c>
      <c r="O122" s="11"/>
      <c r="P122" s="7">
        <v>6600</v>
      </c>
      <c r="Q122" s="2"/>
      <c r="R122" s="6">
        <f t="shared" si="58"/>
        <v>6.4045302153363168E-3</v>
      </c>
      <c r="S122" s="2"/>
      <c r="T122" s="7">
        <v>18900</v>
      </c>
      <c r="U122" s="2"/>
      <c r="V122" s="6">
        <f t="shared" si="59"/>
        <v>1.0791930842474994E-2</v>
      </c>
      <c r="W122" s="2"/>
      <c r="X122" s="7">
        <f t="shared" si="60"/>
        <v>-12300</v>
      </c>
      <c r="Y122" s="2"/>
      <c r="Z122" s="6">
        <f t="shared" si="61"/>
        <v>-0.65079365079365081</v>
      </c>
    </row>
    <row r="123" spans="1:26" s="25" customFormat="1" outlineLevel="1" collapsed="1" x14ac:dyDescent="0.25">
      <c r="A123" s="26"/>
      <c r="B123" s="13" t="str">
        <f>CONCATENATE("     ","Professional Services                             ")</f>
        <v xml:space="preserve">     Professional Services                             </v>
      </c>
      <c r="C123" s="13"/>
      <c r="D123" s="1">
        <f>SUM(OSRRefD22_11x_0)</f>
        <v>0</v>
      </c>
      <c r="E123" s="1"/>
      <c r="F123" s="5">
        <f t="shared" si="54"/>
        <v>0</v>
      </c>
      <c r="G123" s="1"/>
      <c r="H123" s="1">
        <f>SUM(OSRRefH22_11x_0)</f>
        <v>0</v>
      </c>
      <c r="I123" s="1"/>
      <c r="J123" s="5">
        <f t="shared" si="55"/>
        <v>0</v>
      </c>
      <c r="K123" s="1"/>
      <c r="L123" s="1">
        <f t="shared" si="56"/>
        <v>0</v>
      </c>
      <c r="M123" s="1"/>
      <c r="N123" s="5">
        <f t="shared" si="57"/>
        <v>0</v>
      </c>
      <c r="O123" s="13"/>
      <c r="P123" s="1">
        <f>SUM(OSRRefP22_11x_0)</f>
        <v>0</v>
      </c>
      <c r="Q123" s="1"/>
      <c r="R123" s="5">
        <f t="shared" si="58"/>
        <v>0</v>
      </c>
      <c r="S123" s="1"/>
      <c r="T123" s="1">
        <f>SUM(OSRRefT22_11x_0)</f>
        <v>750</v>
      </c>
      <c r="U123" s="1"/>
      <c r="V123" s="5">
        <f t="shared" si="59"/>
        <v>4.2825122390773788E-4</v>
      </c>
      <c r="W123" s="1"/>
      <c r="X123" s="1">
        <f t="shared" si="60"/>
        <v>-750</v>
      </c>
      <c r="Y123" s="1"/>
      <c r="Z123" s="5">
        <f t="shared" si="61"/>
        <v>-1</v>
      </c>
    </row>
    <row r="124" spans="1:26" s="24" customFormat="1" hidden="1" outlineLevel="2" x14ac:dyDescent="0.25">
      <c r="A124" s="27"/>
      <c r="B124" s="11" t="str">
        <f>CONCATENATE("          ", "6336", " - ", "PROFESSIONAL SERVICES")</f>
        <v xml:space="preserve">          6336 - PROFESSIONAL SERVICES</v>
      </c>
      <c r="C124" s="11"/>
      <c r="D124" s="7"/>
      <c r="E124" s="2"/>
      <c r="F124" s="6">
        <f t="shared" si="54"/>
        <v>0</v>
      </c>
      <c r="G124" s="2"/>
      <c r="H124" s="7"/>
      <c r="I124" s="2"/>
      <c r="J124" s="6">
        <f t="shared" si="55"/>
        <v>0</v>
      </c>
      <c r="K124" s="2"/>
      <c r="L124" s="7">
        <f t="shared" si="56"/>
        <v>0</v>
      </c>
      <c r="M124" s="2"/>
      <c r="N124" s="6">
        <f t="shared" si="57"/>
        <v>0</v>
      </c>
      <c r="O124" s="11"/>
      <c r="P124" s="7"/>
      <c r="Q124" s="2"/>
      <c r="R124" s="6">
        <f t="shared" si="58"/>
        <v>0</v>
      </c>
      <c r="S124" s="2"/>
      <c r="T124" s="7">
        <v>750</v>
      </c>
      <c r="U124" s="2"/>
      <c r="V124" s="6">
        <f t="shared" si="59"/>
        <v>4.2825122390773788E-4</v>
      </c>
      <c r="W124" s="2"/>
      <c r="X124" s="7">
        <f t="shared" si="60"/>
        <v>-750</v>
      </c>
      <c r="Y124" s="2"/>
      <c r="Z124" s="6">
        <f t="shared" si="61"/>
        <v>-1</v>
      </c>
    </row>
    <row r="125" spans="1:26" s="25" customFormat="1" outlineLevel="1" collapsed="1" x14ac:dyDescent="0.25">
      <c r="A125" s="26"/>
      <c r="B125" s="13" t="str">
        <f>CONCATENATE("     ","Rent                                              ")</f>
        <v xml:space="preserve">     Rent                                              </v>
      </c>
      <c r="C125" s="13"/>
      <c r="D125" s="1">
        <f>SUM(OSRRefD22_12x_0)</f>
        <v>6900</v>
      </c>
      <c r="E125" s="1"/>
      <c r="F125" s="5">
        <f t="shared" si="54"/>
        <v>3.2144957546294338E-2</v>
      </c>
      <c r="G125" s="1"/>
      <c r="H125" s="1">
        <f>SUM(OSRRefH22_12x_0)</f>
        <v>6900</v>
      </c>
      <c r="I125" s="1"/>
      <c r="J125" s="5">
        <f t="shared" si="55"/>
        <v>2.3036692844362511E-2</v>
      </c>
      <c r="K125" s="1"/>
      <c r="L125" s="1">
        <f t="shared" si="56"/>
        <v>0</v>
      </c>
      <c r="M125" s="1"/>
      <c r="N125" s="5">
        <f t="shared" si="57"/>
        <v>0</v>
      </c>
      <c r="O125" s="13"/>
      <c r="P125" s="1">
        <f>SUM(OSRRefP22_12x_0)</f>
        <v>41400</v>
      </c>
      <c r="Q125" s="1"/>
      <c r="R125" s="5">
        <f t="shared" si="58"/>
        <v>4.0173871350745988E-2</v>
      </c>
      <c r="S125" s="1"/>
      <c r="T125" s="1">
        <f>SUM(OSRRefT22_12x_0)</f>
        <v>41400</v>
      </c>
      <c r="U125" s="1"/>
      <c r="V125" s="5">
        <f t="shared" si="59"/>
        <v>2.3639467559707132E-2</v>
      </c>
      <c r="W125" s="1"/>
      <c r="X125" s="1">
        <f t="shared" si="60"/>
        <v>0</v>
      </c>
      <c r="Y125" s="1"/>
      <c r="Z125" s="5">
        <f t="shared" si="61"/>
        <v>0</v>
      </c>
    </row>
    <row r="126" spans="1:26" s="24" customFormat="1" hidden="1" outlineLevel="2" x14ac:dyDescent="0.25">
      <c r="A126" s="27"/>
      <c r="B126" s="11" t="str">
        <f>CONCATENATE("          ", "6273", " - ", "RENT")</f>
        <v xml:space="preserve">          6273 - RENT</v>
      </c>
      <c r="C126" s="11"/>
      <c r="D126" s="7">
        <v>6900</v>
      </c>
      <c r="E126" s="2"/>
      <c r="F126" s="6">
        <f t="shared" si="54"/>
        <v>3.2144957546294338E-2</v>
      </c>
      <c r="G126" s="2"/>
      <c r="H126" s="7">
        <v>6900</v>
      </c>
      <c r="I126" s="2"/>
      <c r="J126" s="6">
        <f t="shared" si="55"/>
        <v>2.3036692844362511E-2</v>
      </c>
      <c r="K126" s="2"/>
      <c r="L126" s="7">
        <f t="shared" si="56"/>
        <v>0</v>
      </c>
      <c r="M126" s="2"/>
      <c r="N126" s="6">
        <f t="shared" si="57"/>
        <v>0</v>
      </c>
      <c r="O126" s="11"/>
      <c r="P126" s="7">
        <v>41400</v>
      </c>
      <c r="Q126" s="2"/>
      <c r="R126" s="6">
        <f t="shared" si="58"/>
        <v>4.0173871350745988E-2</v>
      </c>
      <c r="S126" s="2"/>
      <c r="T126" s="7">
        <v>41400</v>
      </c>
      <c r="U126" s="2"/>
      <c r="V126" s="6">
        <f t="shared" si="59"/>
        <v>2.3639467559707132E-2</v>
      </c>
      <c r="W126" s="2"/>
      <c r="X126" s="7">
        <f t="shared" si="60"/>
        <v>0</v>
      </c>
      <c r="Y126" s="2"/>
      <c r="Z126" s="6">
        <f t="shared" si="61"/>
        <v>0</v>
      </c>
    </row>
    <row r="127" spans="1:26" s="25" customFormat="1" outlineLevel="1" collapsed="1" x14ac:dyDescent="0.25">
      <c r="A127" s="26"/>
      <c r="B127" s="13" t="str">
        <f>CONCATENATE("     ","Repair and Maintenance                            ")</f>
        <v xml:space="preserve">     Repair and Maintenance                            </v>
      </c>
      <c r="C127" s="13"/>
      <c r="D127" s="1">
        <f>SUM(OSRRefD22_13x_0)</f>
        <v>48.23</v>
      </c>
      <c r="E127" s="1"/>
      <c r="F127" s="5">
        <f t="shared" si="54"/>
        <v>2.2468859455909793E-4</v>
      </c>
      <c r="G127" s="1"/>
      <c r="H127" s="1">
        <f>SUM(OSRRefH22_13x_0)</f>
        <v>171.46</v>
      </c>
      <c r="I127" s="1"/>
      <c r="J127" s="5">
        <f t="shared" si="55"/>
        <v>5.7244512392672412E-4</v>
      </c>
      <c r="K127" s="1"/>
      <c r="L127" s="1">
        <f t="shared" si="56"/>
        <v>-123.23000000000002</v>
      </c>
      <c r="M127" s="1"/>
      <c r="N127" s="5">
        <f t="shared" si="57"/>
        <v>-0.7187099031844163</v>
      </c>
      <c r="O127" s="13"/>
      <c r="P127" s="1">
        <f>SUM(OSRRefP22_13x_0)</f>
        <v>96.44</v>
      </c>
      <c r="Q127" s="1"/>
      <c r="R127" s="5">
        <f t="shared" si="58"/>
        <v>9.3583771813187026E-5</v>
      </c>
      <c r="S127" s="1"/>
      <c r="T127" s="1">
        <f>SUM(OSRRefT22_13x_0)</f>
        <v>275.75</v>
      </c>
      <c r="U127" s="1"/>
      <c r="V127" s="5">
        <f t="shared" si="59"/>
        <v>1.574536999900783E-4</v>
      </c>
      <c r="W127" s="1"/>
      <c r="X127" s="1">
        <f t="shared" si="60"/>
        <v>-179.31</v>
      </c>
      <c r="Y127" s="1"/>
      <c r="Z127" s="5">
        <f t="shared" si="61"/>
        <v>-0.65026291931097013</v>
      </c>
    </row>
    <row r="128" spans="1:26" s="24" customFormat="1" hidden="1" outlineLevel="2" x14ac:dyDescent="0.25">
      <c r="A128" s="27"/>
      <c r="B128" s="11" t="str">
        <f>CONCATENATE("          ", "6373", " - ", "MAINTENANCE CONTRACTS")</f>
        <v xml:space="preserve">          6373 - MAINTENANCE CONTRACTS</v>
      </c>
      <c r="C128" s="11"/>
      <c r="D128" s="7">
        <v>48.23</v>
      </c>
      <c r="E128" s="2"/>
      <c r="F128" s="6">
        <f t="shared" si="54"/>
        <v>2.2468859455909793E-4</v>
      </c>
      <c r="G128" s="2"/>
      <c r="H128" s="7">
        <v>47.57</v>
      </c>
      <c r="I128" s="2"/>
      <c r="J128" s="6">
        <f t="shared" si="55"/>
        <v>1.5881963458062677E-4</v>
      </c>
      <c r="K128" s="2"/>
      <c r="L128" s="7">
        <f t="shared" si="56"/>
        <v>0.65999999999999659</v>
      </c>
      <c r="M128" s="2"/>
      <c r="N128" s="6">
        <f t="shared" si="57"/>
        <v>1.3874290519234739E-2</v>
      </c>
      <c r="O128" s="11"/>
      <c r="P128" s="7">
        <v>96.44</v>
      </c>
      <c r="Q128" s="2"/>
      <c r="R128" s="6">
        <f t="shared" si="58"/>
        <v>9.3583771813187026E-5</v>
      </c>
      <c r="S128" s="2"/>
      <c r="T128" s="7">
        <v>93.22</v>
      </c>
      <c r="U128" s="2"/>
      <c r="V128" s="6">
        <f t="shared" si="59"/>
        <v>5.3228772123572435E-5</v>
      </c>
      <c r="W128" s="2"/>
      <c r="X128" s="7">
        <f t="shared" si="60"/>
        <v>3.2199999999999989</v>
      </c>
      <c r="Y128" s="2"/>
      <c r="Z128" s="6">
        <f t="shared" si="61"/>
        <v>3.4541943788886496E-2</v>
      </c>
    </row>
    <row r="129" spans="1:26" s="24" customFormat="1" hidden="1" outlineLevel="2" x14ac:dyDescent="0.25">
      <c r="A129" s="27"/>
      <c r="B129" s="11" t="str">
        <f>CONCATENATE("          ", "6375", " - ", "OUTSIDE REPAIRS &amp; MAINTENANCE")</f>
        <v xml:space="preserve">          6375 - OUTSIDE REPAIRS &amp; MAINTENANCE</v>
      </c>
      <c r="C129" s="11"/>
      <c r="D129" s="7"/>
      <c r="E129" s="2"/>
      <c r="F129" s="6">
        <f t="shared" si="54"/>
        <v>0</v>
      </c>
      <c r="G129" s="2"/>
      <c r="H129" s="7">
        <v>123.89</v>
      </c>
      <c r="I129" s="2"/>
      <c r="J129" s="6">
        <f t="shared" si="55"/>
        <v>4.1362548934609732E-4</v>
      </c>
      <c r="K129" s="2"/>
      <c r="L129" s="7">
        <f t="shared" si="56"/>
        <v>-123.89</v>
      </c>
      <c r="M129" s="2"/>
      <c r="N129" s="6">
        <f t="shared" si="57"/>
        <v>-1</v>
      </c>
      <c r="O129" s="11"/>
      <c r="P129" s="7"/>
      <c r="Q129" s="2"/>
      <c r="R129" s="6">
        <f t="shared" si="58"/>
        <v>0</v>
      </c>
      <c r="S129" s="2"/>
      <c r="T129" s="7">
        <v>182.53</v>
      </c>
      <c r="U129" s="2"/>
      <c r="V129" s="6">
        <f t="shared" si="59"/>
        <v>1.0422492786650586E-4</v>
      </c>
      <c r="W129" s="2"/>
      <c r="X129" s="7">
        <f t="shared" si="60"/>
        <v>-182.53</v>
      </c>
      <c r="Y129" s="2"/>
      <c r="Z129" s="6">
        <f t="shared" si="61"/>
        <v>-1</v>
      </c>
    </row>
    <row r="130" spans="1:26" s="25" customFormat="1" outlineLevel="1" collapsed="1" x14ac:dyDescent="0.25">
      <c r="A130" s="26"/>
      <c r="B130" s="13" t="str">
        <f>CONCATENATE("     ","Royalty &amp; Commissions                             ")</f>
        <v xml:space="preserve">     Royalty &amp; Commissions                             </v>
      </c>
      <c r="C130" s="13"/>
      <c r="D130" s="1">
        <f>SUM(OSRRefD22_14x_0)</f>
        <v>0</v>
      </c>
      <c r="E130" s="1"/>
      <c r="F130" s="5">
        <f t="shared" ref="F130:F132" si="62">IF(D$12=0,0,D130/D$12)</f>
        <v>0</v>
      </c>
      <c r="G130" s="1"/>
      <c r="H130" s="1">
        <f>SUM(OSRRefH22_14x_0)</f>
        <v>262.72000000000003</v>
      </c>
      <c r="I130" s="1"/>
      <c r="J130" s="5">
        <f t="shared" ref="J130:J132" si="63">IF(H$12=0,0,H130/H$12)</f>
        <v>8.7713042667694491E-4</v>
      </c>
      <c r="K130" s="1"/>
      <c r="L130" s="1">
        <f t="shared" ref="L130:L132" si="64">+D130-H130</f>
        <v>-262.72000000000003</v>
      </c>
      <c r="M130" s="1"/>
      <c r="N130" s="5">
        <f t="shared" ref="N130:N132" si="65">IF(H130=0,0,L130/H130)</f>
        <v>-1</v>
      </c>
      <c r="O130" s="13"/>
      <c r="P130" s="1">
        <f>SUM(OSRRefP22_14x_0)</f>
        <v>18411.8</v>
      </c>
      <c r="Q130" s="1"/>
      <c r="R130" s="5">
        <f t="shared" ref="R130:R132" si="66">IF(P$12=0,0,P130/P$12)</f>
        <v>1.7866504457383213E-2</v>
      </c>
      <c r="S130" s="1"/>
      <c r="T130" s="1">
        <f>SUM(OSRRefT22_14x_0)</f>
        <v>6930.79</v>
      </c>
      <c r="U130" s="1"/>
      <c r="V130" s="5">
        <f t="shared" ref="V130:V132" si="67">IF(T$12=0,0,T130/T$12)</f>
        <v>3.9574924001966813E-3</v>
      </c>
      <c r="W130" s="1"/>
      <c r="X130" s="1">
        <f t="shared" ref="X130:X132" si="68">+P130-T130</f>
        <v>11481.009999999998</v>
      </c>
      <c r="Y130" s="1"/>
      <c r="Z130" s="5">
        <f t="shared" ref="Z130:Z132" si="69">IF(T130=0,0,X130/T130)</f>
        <v>1.6565225609201835</v>
      </c>
    </row>
    <row r="131" spans="1:26" s="24" customFormat="1" hidden="1" outlineLevel="2" x14ac:dyDescent="0.25">
      <c r="A131" s="27"/>
      <c r="B131" s="11" t="str">
        <f>CONCATENATE("          ", "6253", " - ", "ROYALTY DUE ATHLETICS-LRG")</f>
        <v xml:space="preserve">          6253 - ROYALTY DUE ATHLETICS-LRG</v>
      </c>
      <c r="C131" s="11"/>
      <c r="D131" s="7"/>
      <c r="E131" s="2"/>
      <c r="F131" s="6">
        <f t="shared" si="62"/>
        <v>0</v>
      </c>
      <c r="G131" s="2"/>
      <c r="H131" s="7"/>
      <c r="I131" s="2"/>
      <c r="J131" s="6">
        <f t="shared" si="63"/>
        <v>0</v>
      </c>
      <c r="K131" s="2"/>
      <c r="L131" s="7">
        <f t="shared" si="64"/>
        <v>0</v>
      </c>
      <c r="M131" s="2"/>
      <c r="N131" s="6">
        <f t="shared" si="65"/>
        <v>0</v>
      </c>
      <c r="O131" s="11"/>
      <c r="P131" s="7">
        <v>18411.8</v>
      </c>
      <c r="Q131" s="2"/>
      <c r="R131" s="6">
        <f t="shared" si="66"/>
        <v>1.7866504457383213E-2</v>
      </c>
      <c r="S131" s="2"/>
      <c r="T131" s="7">
        <v>4366.95</v>
      </c>
      <c r="U131" s="2"/>
      <c r="V131" s="6">
        <f t="shared" si="67"/>
        <v>2.4935355763251944E-3</v>
      </c>
      <c r="W131" s="2"/>
      <c r="X131" s="7">
        <f t="shared" si="68"/>
        <v>14044.849999999999</v>
      </c>
      <c r="Y131" s="2"/>
      <c r="Z131" s="6">
        <f t="shared" si="69"/>
        <v>3.216169179862375</v>
      </c>
    </row>
    <row r="132" spans="1:26" s="24" customFormat="1" hidden="1" outlineLevel="2" x14ac:dyDescent="0.25">
      <c r="A132" s="27"/>
      <c r="B132" s="11" t="str">
        <f>CONCATENATE("          ", "6254", " - ", "ROYALTY &amp; COMMISSIONS")</f>
        <v xml:space="preserve">          6254 - ROYALTY &amp; COMMISSIONS</v>
      </c>
      <c r="C132" s="11"/>
      <c r="D132" s="7"/>
      <c r="E132" s="2"/>
      <c r="F132" s="6">
        <f t="shared" si="62"/>
        <v>0</v>
      </c>
      <c r="G132" s="2"/>
      <c r="H132" s="7">
        <v>262.72000000000003</v>
      </c>
      <c r="I132" s="2"/>
      <c r="J132" s="6">
        <f t="shared" si="63"/>
        <v>8.7713042667694491E-4</v>
      </c>
      <c r="K132" s="2"/>
      <c r="L132" s="7">
        <f t="shared" si="64"/>
        <v>-262.72000000000003</v>
      </c>
      <c r="M132" s="2"/>
      <c r="N132" s="6">
        <f t="shared" si="65"/>
        <v>-1</v>
      </c>
      <c r="O132" s="11"/>
      <c r="P132" s="7"/>
      <c r="Q132" s="2"/>
      <c r="R132" s="6">
        <f t="shared" si="66"/>
        <v>0</v>
      </c>
      <c r="S132" s="2"/>
      <c r="T132" s="7">
        <v>2563.84</v>
      </c>
      <c r="U132" s="2"/>
      <c r="V132" s="6">
        <f t="shared" si="67"/>
        <v>1.4639568238714864E-3</v>
      </c>
      <c r="W132" s="2"/>
      <c r="X132" s="7">
        <f t="shared" si="68"/>
        <v>-2563.84</v>
      </c>
      <c r="Y132" s="2"/>
      <c r="Z132" s="6">
        <f t="shared" si="69"/>
        <v>-1</v>
      </c>
    </row>
    <row r="133" spans="1:26" s="25" customFormat="1" outlineLevel="1" collapsed="1" x14ac:dyDescent="0.25">
      <c r="A133" s="26"/>
      <c r="B133" s="13" t="str">
        <f>CONCATENATE("     ","Services                                          ")</f>
        <v xml:space="preserve">     Services                                          </v>
      </c>
      <c r="C133" s="13"/>
      <c r="D133" s="1">
        <f>SUM(OSRRefD22_15x_0)</f>
        <v>224.41</v>
      </c>
      <c r="E133" s="1"/>
      <c r="F133" s="5">
        <f t="shared" ref="F133:F136" si="70">IF(D$12=0,0,D133/D$12)</f>
        <v>1.04545651057448E-3</v>
      </c>
      <c r="G133" s="1"/>
      <c r="H133" s="1">
        <f>SUM(OSRRefH22_15x_0)</f>
        <v>181.82</v>
      </c>
      <c r="I133" s="1"/>
      <c r="J133" s="5">
        <f t="shared" ref="J133:J136" si="71">IF(H$12=0,0,H133/H$12)</f>
        <v>6.0703354970463651E-4</v>
      </c>
      <c r="K133" s="1"/>
      <c r="L133" s="1">
        <f t="shared" ref="L133:L136" si="72">+D133-H133</f>
        <v>42.59</v>
      </c>
      <c r="M133" s="1"/>
      <c r="N133" s="5">
        <f t="shared" ref="N133:N136" si="73">IF(H133=0,0,L133/H133)</f>
        <v>0.2342426575734243</v>
      </c>
      <c r="O133" s="13"/>
      <c r="P133" s="1">
        <f>SUM(OSRRefP22_15x_0)</f>
        <v>192.82000000000005</v>
      </c>
      <c r="Q133" s="1"/>
      <c r="R133" s="5">
        <f t="shared" ref="R133:R136" si="74">IF(P$12=0,0,P133/P$12)</f>
        <v>1.871093206244165E-4</v>
      </c>
      <c r="S133" s="1"/>
      <c r="T133" s="1">
        <f>SUM(OSRRefT22_15x_0)</f>
        <v>2002.28</v>
      </c>
      <c r="U133" s="1"/>
      <c r="V133" s="5">
        <f t="shared" ref="V133:V136" si="75">IF(T$12=0,0,T133/T$12)</f>
        <v>1.1433051474746471E-3</v>
      </c>
      <c r="W133" s="1"/>
      <c r="X133" s="1">
        <f t="shared" ref="X133:X136" si="76">+P133-T133</f>
        <v>-1809.46</v>
      </c>
      <c r="Y133" s="1"/>
      <c r="Z133" s="5">
        <f t="shared" ref="Z133:Z136" si="77">IF(T133=0,0,X133/T133)</f>
        <v>-0.90369978224823699</v>
      </c>
    </row>
    <row r="134" spans="1:26" s="24" customFormat="1" hidden="1" outlineLevel="2" x14ac:dyDescent="0.25">
      <c r="A134" s="27"/>
      <c r="B134" s="11" t="str">
        <f>CONCATENATE("          ", "6283", " - ", "PLANT SERVICE")</f>
        <v xml:space="preserve">          6283 - PLANT SERVICE</v>
      </c>
      <c r="C134" s="11"/>
      <c r="D134" s="7"/>
      <c r="E134" s="2"/>
      <c r="F134" s="6">
        <f t="shared" si="70"/>
        <v>0</v>
      </c>
      <c r="G134" s="2"/>
      <c r="H134" s="7"/>
      <c r="I134" s="2"/>
      <c r="J134" s="6">
        <f t="shared" si="71"/>
        <v>0</v>
      </c>
      <c r="K134" s="2"/>
      <c r="L134" s="7">
        <f t="shared" si="72"/>
        <v>0</v>
      </c>
      <c r="M134" s="2"/>
      <c r="N134" s="6">
        <f t="shared" si="73"/>
        <v>0</v>
      </c>
      <c r="O134" s="11"/>
      <c r="P134" s="7">
        <v>41.31</v>
      </c>
      <c r="Q134" s="2"/>
      <c r="R134" s="6">
        <f t="shared" si="74"/>
        <v>4.0086536847809583E-5</v>
      </c>
      <c r="S134" s="2"/>
      <c r="T134" s="7">
        <v>178.65</v>
      </c>
      <c r="U134" s="2"/>
      <c r="V134" s="6">
        <f t="shared" si="75"/>
        <v>1.0200944153482317E-4</v>
      </c>
      <c r="W134" s="2"/>
      <c r="X134" s="7">
        <f t="shared" si="76"/>
        <v>-137.34</v>
      </c>
      <c r="Y134" s="2"/>
      <c r="Z134" s="6">
        <f t="shared" si="77"/>
        <v>-0.7687657430730479</v>
      </c>
    </row>
    <row r="135" spans="1:26" s="24" customFormat="1" hidden="1" outlineLevel="2" x14ac:dyDescent="0.25">
      <c r="A135" s="27"/>
      <c r="B135" s="11" t="str">
        <f>CONCATENATE("          ", "6284", " - ", "TRASH REMOVAL EXPENSE")</f>
        <v xml:space="preserve">          6284 - TRASH REMOVAL EXPENSE</v>
      </c>
      <c r="C135" s="11"/>
      <c r="D135" s="7">
        <v>285.14</v>
      </c>
      <c r="E135" s="2"/>
      <c r="F135" s="6">
        <f t="shared" si="70"/>
        <v>1.3283787238768648E-3</v>
      </c>
      <c r="G135" s="2"/>
      <c r="H135" s="7">
        <v>134.82</v>
      </c>
      <c r="I135" s="2"/>
      <c r="J135" s="6">
        <f t="shared" si="71"/>
        <v>4.5011694627202224E-4</v>
      </c>
      <c r="K135" s="2"/>
      <c r="L135" s="7">
        <f t="shared" si="72"/>
        <v>150.32</v>
      </c>
      <c r="M135" s="2"/>
      <c r="N135" s="6">
        <f t="shared" si="73"/>
        <v>1.1149681056223113</v>
      </c>
      <c r="O135" s="11"/>
      <c r="P135" s="7">
        <v>870.44</v>
      </c>
      <c r="Q135" s="2"/>
      <c r="R135" s="6">
        <f t="shared" si="74"/>
        <v>8.4466049706626424E-4</v>
      </c>
      <c r="S135" s="2"/>
      <c r="T135" s="7">
        <v>808.92</v>
      </c>
      <c r="U135" s="2"/>
      <c r="V135" s="6">
        <f t="shared" si="75"/>
        <v>4.6189464005792975E-4</v>
      </c>
      <c r="W135" s="2"/>
      <c r="X135" s="7">
        <f t="shared" si="76"/>
        <v>61.520000000000095</v>
      </c>
      <c r="Y135" s="2"/>
      <c r="Z135" s="6">
        <f t="shared" si="77"/>
        <v>7.6052019977253749E-2</v>
      </c>
    </row>
    <row r="136" spans="1:26" s="24" customFormat="1" hidden="1" outlineLevel="2" x14ac:dyDescent="0.25">
      <c r="A136" s="27"/>
      <c r="B136" s="11" t="str">
        <f>CONCATENATE("          ", "6285", " - ", "JANITORIAL SERVICES")</f>
        <v xml:space="preserve">          6285 - JANITORIAL SERVICES</v>
      </c>
      <c r="C136" s="11"/>
      <c r="D136" s="7">
        <v>-60.73</v>
      </c>
      <c r="E136" s="2"/>
      <c r="F136" s="6">
        <f t="shared" si="70"/>
        <v>-2.8292221330238477E-4</v>
      </c>
      <c r="G136" s="2"/>
      <c r="H136" s="7">
        <v>47</v>
      </c>
      <c r="I136" s="2"/>
      <c r="J136" s="6">
        <f t="shared" si="71"/>
        <v>1.5691660343261421E-4</v>
      </c>
      <c r="K136" s="2"/>
      <c r="L136" s="7">
        <f t="shared" si="72"/>
        <v>-107.72999999999999</v>
      </c>
      <c r="M136" s="2"/>
      <c r="N136" s="6">
        <f t="shared" si="73"/>
        <v>-2.2921276595744677</v>
      </c>
      <c r="O136" s="11"/>
      <c r="P136" s="7">
        <v>-718.93</v>
      </c>
      <c r="Q136" s="2"/>
      <c r="R136" s="6">
        <f t="shared" si="74"/>
        <v>-6.9763771328965724E-4</v>
      </c>
      <c r="S136" s="2"/>
      <c r="T136" s="7">
        <v>1014.71</v>
      </c>
      <c r="U136" s="2"/>
      <c r="V136" s="6">
        <f t="shared" si="75"/>
        <v>5.7940106588189435E-4</v>
      </c>
      <c r="W136" s="2"/>
      <c r="X136" s="7">
        <f t="shared" si="76"/>
        <v>-1733.6399999999999</v>
      </c>
      <c r="Y136" s="2"/>
      <c r="Z136" s="6">
        <f t="shared" si="77"/>
        <v>-1.7085078495333641</v>
      </c>
    </row>
    <row r="137" spans="1:26" s="25" customFormat="1" outlineLevel="1" collapsed="1" x14ac:dyDescent="0.25">
      <c r="A137" s="26"/>
      <c r="B137" s="13" t="str">
        <f>CONCATENATE("     ","Subscriptions &amp; Dues                              ")</f>
        <v xml:space="preserve">     Subscriptions &amp; Dues                              </v>
      </c>
      <c r="C137" s="13"/>
      <c r="D137" s="1">
        <f>SUM(OSRRefD22_16x_0)</f>
        <v>-60.73</v>
      </c>
      <c r="E137" s="1"/>
      <c r="F137" s="5">
        <f t="shared" ref="F137:F139" si="78">IF(D$12=0,0,D137/D$12)</f>
        <v>-2.8292221330238477E-4</v>
      </c>
      <c r="G137" s="1"/>
      <c r="H137" s="1">
        <f>SUM(OSRRefH22_16x_0)</f>
        <v>0</v>
      </c>
      <c r="I137" s="1"/>
      <c r="J137" s="5">
        <f t="shared" ref="J137:J139" si="79">IF(H$12=0,0,H137/H$12)</f>
        <v>0</v>
      </c>
      <c r="K137" s="1"/>
      <c r="L137" s="1">
        <f t="shared" ref="L137:L139" si="80">+D137-H137</f>
        <v>-60.73</v>
      </c>
      <c r="M137" s="1"/>
      <c r="N137" s="5">
        <f t="shared" ref="N137:N139" si="81">IF(H137=0,0,L137/H137)</f>
        <v>0</v>
      </c>
      <c r="O137" s="13"/>
      <c r="P137" s="1">
        <f>SUM(OSRRefP22_16x_0)</f>
        <v>-276</v>
      </c>
      <c r="Q137" s="1"/>
      <c r="R137" s="5">
        <f t="shared" ref="R137:R139" si="82">IF(P$12=0,0,P137/P$12)</f>
        <v>-2.6782580900497327E-4</v>
      </c>
      <c r="S137" s="1"/>
      <c r="T137" s="1">
        <f>SUM(OSRRefT22_16x_0)</f>
        <v>385.06</v>
      </c>
      <c r="U137" s="1"/>
      <c r="V137" s="5">
        <f t="shared" ref="V137:V139" si="83">IF(T$12=0,0,T137/T$12)</f>
        <v>2.1986988837055142E-4</v>
      </c>
      <c r="W137" s="1"/>
      <c r="X137" s="1">
        <f t="shared" ref="X137:X139" si="84">+P137-T137</f>
        <v>-661.06</v>
      </c>
      <c r="Y137" s="1"/>
      <c r="Z137" s="5">
        <f t="shared" ref="Z137:Z139" si="85">IF(T137=0,0,X137/T137)</f>
        <v>-1.7167714122474418</v>
      </c>
    </row>
    <row r="138" spans="1:26" s="24" customFormat="1" hidden="1" outlineLevel="2" x14ac:dyDescent="0.25">
      <c r="A138" s="27"/>
      <c r="B138" s="11" t="str">
        <f>CONCATENATE("          ", "6258", " - ", "MEMBERSHIP DUES")</f>
        <v xml:space="preserve">          6258 - MEMBERSHIP DUES</v>
      </c>
      <c r="C138" s="11"/>
      <c r="D138" s="7">
        <v>-60.73</v>
      </c>
      <c r="E138" s="2"/>
      <c r="F138" s="6">
        <f t="shared" si="78"/>
        <v>-2.8292221330238477E-4</v>
      </c>
      <c r="G138" s="2"/>
      <c r="H138" s="7"/>
      <c r="I138" s="2"/>
      <c r="J138" s="6">
        <f t="shared" si="79"/>
        <v>0</v>
      </c>
      <c r="K138" s="2"/>
      <c r="L138" s="7">
        <f t="shared" si="80"/>
        <v>-60.73</v>
      </c>
      <c r="M138" s="2"/>
      <c r="N138" s="6">
        <f t="shared" si="81"/>
        <v>0</v>
      </c>
      <c r="O138" s="11"/>
      <c r="P138" s="7">
        <v>-501.73</v>
      </c>
      <c r="Q138" s="2"/>
      <c r="R138" s="6">
        <f t="shared" si="82"/>
        <v>-4.8687044620313491E-4</v>
      </c>
      <c r="S138" s="2"/>
      <c r="T138" s="7"/>
      <c r="U138" s="2"/>
      <c r="V138" s="6">
        <f t="shared" si="83"/>
        <v>0</v>
      </c>
      <c r="W138" s="2"/>
      <c r="X138" s="7">
        <f t="shared" si="84"/>
        <v>-501.73</v>
      </c>
      <c r="Y138" s="2"/>
      <c r="Z138" s="6">
        <f t="shared" si="85"/>
        <v>0</v>
      </c>
    </row>
    <row r="139" spans="1:26" s="24" customFormat="1" hidden="1" outlineLevel="2" x14ac:dyDescent="0.25">
      <c r="A139" s="27"/>
      <c r="B139" s="11" t="str">
        <f>CONCATENATE("          ", "6275", " - ", "SUBSCRIPTIONS")</f>
        <v xml:space="preserve">          6275 - SUBSCRIPTIONS</v>
      </c>
      <c r="C139" s="11"/>
      <c r="D139" s="7"/>
      <c r="E139" s="2"/>
      <c r="F139" s="6">
        <f t="shared" si="78"/>
        <v>0</v>
      </c>
      <c r="G139" s="2"/>
      <c r="H139" s="7"/>
      <c r="I139" s="2"/>
      <c r="J139" s="6">
        <f t="shared" si="79"/>
        <v>0</v>
      </c>
      <c r="K139" s="2"/>
      <c r="L139" s="7">
        <f t="shared" si="80"/>
        <v>0</v>
      </c>
      <c r="M139" s="2"/>
      <c r="N139" s="6">
        <f t="shared" si="81"/>
        <v>0</v>
      </c>
      <c r="O139" s="11"/>
      <c r="P139" s="7">
        <v>225.73</v>
      </c>
      <c r="Q139" s="2"/>
      <c r="R139" s="6">
        <f t="shared" si="82"/>
        <v>2.1904463719816164E-4</v>
      </c>
      <c r="S139" s="2"/>
      <c r="T139" s="7">
        <v>385.06</v>
      </c>
      <c r="U139" s="2"/>
      <c r="V139" s="6">
        <f t="shared" si="83"/>
        <v>2.1986988837055142E-4</v>
      </c>
      <c r="W139" s="2"/>
      <c r="X139" s="7">
        <f t="shared" si="84"/>
        <v>-159.33000000000001</v>
      </c>
      <c r="Y139" s="2"/>
      <c r="Z139" s="6">
        <f t="shared" si="85"/>
        <v>-0.41377967070067007</v>
      </c>
    </row>
    <row r="140" spans="1:26" s="25" customFormat="1" outlineLevel="1" collapsed="1" x14ac:dyDescent="0.25">
      <c r="A140" s="26"/>
      <c r="B140" s="13" t="str">
        <f>CONCATENATE("     ","Supplies                                          ")</f>
        <v xml:space="preserve">     Supplies                                          </v>
      </c>
      <c r="C140" s="13"/>
      <c r="D140" s="1">
        <f>SUM(OSRRefD22_17x_0)</f>
        <v>57.53</v>
      </c>
      <c r="E140" s="1"/>
      <c r="F140" s="5">
        <f t="shared" ref="F140:F146" si="86">IF(D$12=0,0,D140/D$12)</f>
        <v>2.6801440690410336E-4</v>
      </c>
      <c r="G140" s="1"/>
      <c r="H140" s="1">
        <f>SUM(OSRRefH22_17x_0)</f>
        <v>772.12</v>
      </c>
      <c r="I140" s="1"/>
      <c r="J140" s="5">
        <f t="shared" ref="J140:J146" si="87">IF(H$12=0,0,H140/H$12)</f>
        <v>2.5778393157955336E-3</v>
      </c>
      <c r="K140" s="1"/>
      <c r="L140" s="1">
        <f t="shared" ref="L140:L146" si="88">+D140-H140</f>
        <v>-714.59</v>
      </c>
      <c r="M140" s="1"/>
      <c r="N140" s="5">
        <f t="shared" ref="N140:N146" si="89">IF(H140=0,0,L140/H140)</f>
        <v>-0.92549085634357353</v>
      </c>
      <c r="O140" s="13"/>
      <c r="P140" s="1">
        <f>SUM(OSRRefP22_17x_0)</f>
        <v>2244.4900000000002</v>
      </c>
      <c r="Q140" s="1"/>
      <c r="R140" s="5">
        <f t="shared" ref="R140:R146" si="90">IF(P$12=0,0,P140/P$12)</f>
        <v>2.1780157610636684E-3</v>
      </c>
      <c r="S140" s="1"/>
      <c r="T140" s="1">
        <f>SUM(OSRRefT22_17x_0)</f>
        <v>3910.84</v>
      </c>
      <c r="U140" s="1"/>
      <c r="V140" s="5">
        <f t="shared" ref="V140:V146" si="91">IF(T$12=0,0,T140/T$12)</f>
        <v>2.2330960220097837E-3</v>
      </c>
      <c r="W140" s="1"/>
      <c r="X140" s="1">
        <f t="shared" ref="X140:X146" si="92">+P140-T140</f>
        <v>-1666.35</v>
      </c>
      <c r="Y140" s="1"/>
      <c r="Z140" s="5">
        <f t="shared" ref="Z140:Z146" si="93">IF(T140=0,0,X140/T140)</f>
        <v>-0.42608493316013946</v>
      </c>
    </row>
    <row r="141" spans="1:26" s="24" customFormat="1" hidden="1" outlineLevel="2" x14ac:dyDescent="0.25">
      <c r="A141" s="27"/>
      <c r="B141" s="11" t="str">
        <f>CONCATENATE("          ", "6234", " - ", "EXPENDABLE SUPPLIES &amp; EQUIPMEN")</f>
        <v xml:space="preserve">          6234 - EXPENDABLE SUPPLIES &amp; EQUIPMEN</v>
      </c>
      <c r="C141" s="11"/>
      <c r="D141" s="7"/>
      <c r="E141" s="2"/>
      <c r="F141" s="6">
        <f t="shared" si="86"/>
        <v>0</v>
      </c>
      <c r="G141" s="2"/>
      <c r="H141" s="7"/>
      <c r="I141" s="2"/>
      <c r="J141" s="6">
        <f t="shared" si="87"/>
        <v>0</v>
      </c>
      <c r="K141" s="2"/>
      <c r="L141" s="7">
        <f t="shared" si="88"/>
        <v>0</v>
      </c>
      <c r="M141" s="2"/>
      <c r="N141" s="6">
        <f t="shared" si="89"/>
        <v>0</v>
      </c>
      <c r="O141" s="11"/>
      <c r="P141" s="7"/>
      <c r="Q141" s="2"/>
      <c r="R141" s="6">
        <f t="shared" si="90"/>
        <v>0</v>
      </c>
      <c r="S141" s="2"/>
      <c r="T141" s="7">
        <v>20.36</v>
      </c>
      <c r="U141" s="2"/>
      <c r="V141" s="6">
        <f t="shared" si="91"/>
        <v>1.162559322501539E-5</v>
      </c>
      <c r="W141" s="2"/>
      <c r="X141" s="7">
        <f t="shared" si="92"/>
        <v>-20.36</v>
      </c>
      <c r="Y141" s="2"/>
      <c r="Z141" s="6">
        <f t="shared" si="93"/>
        <v>-1</v>
      </c>
    </row>
    <row r="142" spans="1:26" s="24" customFormat="1" hidden="1" outlineLevel="2" x14ac:dyDescent="0.25">
      <c r="A142" s="27"/>
      <c r="B142" s="11" t="str">
        <f>CONCATENATE("          ", "6235", " - ", "COVID-19 EXPENSES")</f>
        <v xml:space="preserve">          6235 - COVID-19 EXPENSES</v>
      </c>
      <c r="C142" s="11"/>
      <c r="D142" s="7"/>
      <c r="E142" s="2"/>
      <c r="F142" s="6">
        <f t="shared" si="86"/>
        <v>0</v>
      </c>
      <c r="G142" s="2"/>
      <c r="H142" s="7"/>
      <c r="I142" s="2"/>
      <c r="J142" s="6">
        <f t="shared" si="87"/>
        <v>0</v>
      </c>
      <c r="K142" s="2"/>
      <c r="L142" s="7">
        <f t="shared" si="88"/>
        <v>0</v>
      </c>
      <c r="M142" s="2"/>
      <c r="N142" s="6">
        <f t="shared" si="89"/>
        <v>0</v>
      </c>
      <c r="O142" s="11"/>
      <c r="P142" s="7">
        <v>1292.1300000000001</v>
      </c>
      <c r="Q142" s="2"/>
      <c r="R142" s="6">
        <f t="shared" si="90"/>
        <v>1.2538614586579569E-3</v>
      </c>
      <c r="S142" s="2"/>
      <c r="T142" s="7"/>
      <c r="U142" s="2"/>
      <c r="V142" s="6">
        <f t="shared" si="91"/>
        <v>0</v>
      </c>
      <c r="W142" s="2"/>
      <c r="X142" s="7">
        <f t="shared" si="92"/>
        <v>1292.1300000000001</v>
      </c>
      <c r="Y142" s="2"/>
      <c r="Z142" s="6">
        <f t="shared" si="93"/>
        <v>0</v>
      </c>
    </row>
    <row r="143" spans="1:26" s="24" customFormat="1" hidden="1" outlineLevel="2" x14ac:dyDescent="0.25">
      <c r="A143" s="27"/>
      <c r="B143" s="11" t="str">
        <f>CONCATENATE("          ", "6237", " - ", "JANITORIAL SUPPLIES")</f>
        <v xml:space="preserve">          6237 - JANITORIAL SUPPLIES</v>
      </c>
      <c r="C143" s="11"/>
      <c r="D143" s="7"/>
      <c r="E143" s="2"/>
      <c r="F143" s="6">
        <f t="shared" si="86"/>
        <v>0</v>
      </c>
      <c r="G143" s="2"/>
      <c r="H143" s="7"/>
      <c r="I143" s="2"/>
      <c r="J143" s="6">
        <f t="shared" si="87"/>
        <v>0</v>
      </c>
      <c r="K143" s="2"/>
      <c r="L143" s="7">
        <f t="shared" si="88"/>
        <v>0</v>
      </c>
      <c r="M143" s="2"/>
      <c r="N143" s="6">
        <f t="shared" si="89"/>
        <v>0</v>
      </c>
      <c r="O143" s="11"/>
      <c r="P143" s="7">
        <v>191.74</v>
      </c>
      <c r="Q143" s="2"/>
      <c r="R143" s="6">
        <f t="shared" si="90"/>
        <v>1.8606130658917961E-4</v>
      </c>
      <c r="S143" s="2"/>
      <c r="T143" s="7">
        <v>287.72000000000003</v>
      </c>
      <c r="U143" s="2"/>
      <c r="V143" s="6">
        <f t="shared" si="91"/>
        <v>1.6428858952364581E-4</v>
      </c>
      <c r="W143" s="2"/>
      <c r="X143" s="7">
        <f t="shared" si="92"/>
        <v>-95.980000000000018</v>
      </c>
      <c r="Y143" s="2"/>
      <c r="Z143" s="6">
        <f t="shared" si="93"/>
        <v>-0.33358821076046158</v>
      </c>
    </row>
    <row r="144" spans="1:26" s="24" customFormat="1" hidden="1" outlineLevel="2" x14ac:dyDescent="0.25">
      <c r="A144" s="27"/>
      <c r="B144" s="11" t="str">
        <f>CONCATENATE("          ", "6241", " - ", "OFFICE EXPENSE")</f>
        <v xml:space="preserve">          6241 - OFFICE EXPENSE</v>
      </c>
      <c r="C144" s="11"/>
      <c r="D144" s="7">
        <v>50.78</v>
      </c>
      <c r="E144" s="2"/>
      <c r="F144" s="6">
        <f t="shared" si="86"/>
        <v>2.3656825278272847E-4</v>
      </c>
      <c r="G144" s="2"/>
      <c r="H144" s="7">
        <v>772.12</v>
      </c>
      <c r="I144" s="2"/>
      <c r="J144" s="6">
        <f t="shared" si="87"/>
        <v>2.5778393157955336E-3</v>
      </c>
      <c r="K144" s="2"/>
      <c r="L144" s="7">
        <f t="shared" si="88"/>
        <v>-721.34</v>
      </c>
      <c r="M144" s="2"/>
      <c r="N144" s="6">
        <f t="shared" si="89"/>
        <v>-0.93423302077397297</v>
      </c>
      <c r="O144" s="11"/>
      <c r="P144" s="7">
        <v>567.16</v>
      </c>
      <c r="Q144" s="2"/>
      <c r="R144" s="6">
        <f t="shared" si="90"/>
        <v>5.5036262983790079E-4</v>
      </c>
      <c r="S144" s="2"/>
      <c r="T144" s="7">
        <v>3877.97</v>
      </c>
      <c r="U144" s="2"/>
      <c r="V144" s="6">
        <f t="shared" si="91"/>
        <v>2.214327198369987E-3</v>
      </c>
      <c r="W144" s="2"/>
      <c r="X144" s="7">
        <f t="shared" si="92"/>
        <v>-3310.81</v>
      </c>
      <c r="Y144" s="2"/>
      <c r="Z144" s="6">
        <f t="shared" si="93"/>
        <v>-0.85374822394190775</v>
      </c>
    </row>
    <row r="145" spans="1:26" s="24" customFormat="1" hidden="1" outlineLevel="2" x14ac:dyDescent="0.25">
      <c r="A145" s="27"/>
      <c r="B145" s="11" t="str">
        <f>CONCATENATE("          ", "6245", " - ", "PRINTING")</f>
        <v xml:space="preserve">          6245 - PRINTING</v>
      </c>
      <c r="C145" s="11"/>
      <c r="D145" s="7"/>
      <c r="E145" s="2"/>
      <c r="F145" s="6">
        <f t="shared" si="86"/>
        <v>0</v>
      </c>
      <c r="G145" s="2"/>
      <c r="H145" s="7"/>
      <c r="I145" s="2"/>
      <c r="J145" s="6">
        <f t="shared" si="87"/>
        <v>0</v>
      </c>
      <c r="K145" s="2"/>
      <c r="L145" s="7">
        <f t="shared" si="88"/>
        <v>0</v>
      </c>
      <c r="M145" s="2"/>
      <c r="N145" s="6">
        <f t="shared" si="89"/>
        <v>0</v>
      </c>
      <c r="O145" s="11"/>
      <c r="P145" s="7"/>
      <c r="Q145" s="2"/>
      <c r="R145" s="6">
        <f t="shared" si="90"/>
        <v>0</v>
      </c>
      <c r="S145" s="2"/>
      <c r="T145" s="7">
        <v>-617.17999999999995</v>
      </c>
      <c r="U145" s="2"/>
      <c r="V145" s="6">
        <f t="shared" si="91"/>
        <v>-3.5241078716183685E-4</v>
      </c>
      <c r="W145" s="2"/>
      <c r="X145" s="7">
        <f t="shared" si="92"/>
        <v>617.17999999999995</v>
      </c>
      <c r="Y145" s="2"/>
      <c r="Z145" s="6">
        <f t="shared" si="93"/>
        <v>-1</v>
      </c>
    </row>
    <row r="146" spans="1:26" s="24" customFormat="1" hidden="1" outlineLevel="2" x14ac:dyDescent="0.25">
      <c r="A146" s="27"/>
      <c r="B146" s="11" t="str">
        <f>CONCATENATE("          ", "6247", " - ", "STORE SUPPLIES")</f>
        <v xml:space="preserve">          6247 - STORE SUPPLIES</v>
      </c>
      <c r="C146" s="11"/>
      <c r="D146" s="7">
        <v>6.75</v>
      </c>
      <c r="E146" s="2"/>
      <c r="F146" s="6">
        <f t="shared" si="86"/>
        <v>3.1446154121374893E-5</v>
      </c>
      <c r="G146" s="2"/>
      <c r="H146" s="7"/>
      <c r="I146" s="2"/>
      <c r="J146" s="6">
        <f t="shared" si="87"/>
        <v>0</v>
      </c>
      <c r="K146" s="2"/>
      <c r="L146" s="7">
        <f t="shared" si="88"/>
        <v>6.75</v>
      </c>
      <c r="M146" s="2"/>
      <c r="N146" s="6">
        <f t="shared" si="89"/>
        <v>0</v>
      </c>
      <c r="O146" s="11"/>
      <c r="P146" s="7">
        <v>193.46</v>
      </c>
      <c r="Q146" s="2"/>
      <c r="R146" s="6">
        <f t="shared" si="90"/>
        <v>1.8773036597863088E-4</v>
      </c>
      <c r="S146" s="2"/>
      <c r="T146" s="7">
        <v>341.97</v>
      </c>
      <c r="U146" s="2"/>
      <c r="V146" s="6">
        <f t="shared" si="91"/>
        <v>1.9526542805297219E-4</v>
      </c>
      <c r="W146" s="2"/>
      <c r="X146" s="7">
        <f t="shared" si="92"/>
        <v>-148.51000000000002</v>
      </c>
      <c r="Y146" s="2"/>
      <c r="Z146" s="6">
        <f t="shared" si="93"/>
        <v>-0.43427786063104951</v>
      </c>
    </row>
    <row r="147" spans="1:26" s="25" customFormat="1" outlineLevel="1" collapsed="1" x14ac:dyDescent="0.25">
      <c r="A147" s="26"/>
      <c r="B147" s="13" t="str">
        <f>CONCATENATE("     ","Telephone/Data Lines                              ")</f>
        <v xml:space="preserve">     Telephone/Data Lines                              </v>
      </c>
      <c r="C147" s="13"/>
      <c r="D147" s="1">
        <f>SUM(OSRRefD22_18x_0)</f>
        <v>693.58</v>
      </c>
      <c r="E147" s="1"/>
      <c r="F147" s="5">
        <f t="shared" ref="F147:F153" si="94">IF(D$12=0,0,D147/D$12)</f>
        <v>3.2311738630375112E-3</v>
      </c>
      <c r="G147" s="1"/>
      <c r="H147" s="1">
        <f>SUM(OSRRefH22_18x_0)</f>
        <v>584.54</v>
      </c>
      <c r="I147" s="1"/>
      <c r="J147" s="5">
        <f t="shared" ref="J147:J153" si="95">IF(H$12=0,0,H147/H$12)</f>
        <v>1.9515751355425597E-3</v>
      </c>
      <c r="K147" s="1"/>
      <c r="L147" s="1">
        <f t="shared" ref="L147:L153" si="96">+D147-H147</f>
        <v>109.04000000000008</v>
      </c>
      <c r="M147" s="1"/>
      <c r="N147" s="5">
        <f t="shared" ref="N147:N153" si="97">IF(H147=0,0,L147/H147)</f>
        <v>0.18653984329558299</v>
      </c>
      <c r="O147" s="13"/>
      <c r="P147" s="1">
        <f>SUM(OSRRefP22_18x_0)</f>
        <v>4629.7</v>
      </c>
      <c r="Q147" s="1"/>
      <c r="R147" s="5">
        <f t="shared" ref="R147:R153" si="98">IF(P$12=0,0,P147/P$12)</f>
        <v>4.4925838693852345E-3</v>
      </c>
      <c r="S147" s="1"/>
      <c r="T147" s="1">
        <f>SUM(OSRRefT22_18x_0)</f>
        <v>5244.34</v>
      </c>
      <c r="U147" s="1"/>
      <c r="V147" s="5">
        <f t="shared" ref="V147:V153" si="99">IF(T$12=0,0,T147/T$12)</f>
        <v>2.9945266981177415E-3</v>
      </c>
      <c r="W147" s="1"/>
      <c r="X147" s="1">
        <f t="shared" ref="X147:X153" si="100">+P147-T147</f>
        <v>-614.64000000000033</v>
      </c>
      <c r="Y147" s="1"/>
      <c r="Z147" s="5">
        <f t="shared" ref="Z147:Z153" si="101">IF(T147=0,0,X147/T147)</f>
        <v>-0.11720063916527157</v>
      </c>
    </row>
    <row r="148" spans="1:26" s="24" customFormat="1" hidden="1" outlineLevel="2" x14ac:dyDescent="0.25">
      <c r="A148" s="27"/>
      <c r="B148" s="11" t="str">
        <f>CONCATENATE("          ", "6309", " - ", "TELEPHONE")</f>
        <v xml:space="preserve">          6309 - TELEPHONE</v>
      </c>
      <c r="C148" s="11"/>
      <c r="D148" s="7">
        <v>693.58</v>
      </c>
      <c r="E148" s="2"/>
      <c r="F148" s="6">
        <f t="shared" si="94"/>
        <v>3.2311738630375112E-3</v>
      </c>
      <c r="G148" s="2"/>
      <c r="H148" s="7">
        <v>584.54</v>
      </c>
      <c r="I148" s="2"/>
      <c r="J148" s="6">
        <f t="shared" si="95"/>
        <v>1.9515751355425597E-3</v>
      </c>
      <c r="K148" s="2"/>
      <c r="L148" s="7">
        <f t="shared" si="96"/>
        <v>109.04000000000008</v>
      </c>
      <c r="M148" s="2"/>
      <c r="N148" s="6">
        <f t="shared" si="97"/>
        <v>0.18653984329558299</v>
      </c>
      <c r="O148" s="11"/>
      <c r="P148" s="7">
        <v>4629.7</v>
      </c>
      <c r="Q148" s="2"/>
      <c r="R148" s="6">
        <f t="shared" si="98"/>
        <v>4.4925838693852345E-3</v>
      </c>
      <c r="S148" s="2"/>
      <c r="T148" s="7">
        <v>5244.34</v>
      </c>
      <c r="U148" s="2"/>
      <c r="V148" s="6">
        <f t="shared" si="99"/>
        <v>2.9945266981177415E-3</v>
      </c>
      <c r="W148" s="2"/>
      <c r="X148" s="7">
        <f t="shared" si="100"/>
        <v>-614.64000000000033</v>
      </c>
      <c r="Y148" s="2"/>
      <c r="Z148" s="6">
        <f t="shared" si="101"/>
        <v>-0.11720063916527157</v>
      </c>
    </row>
    <row r="149" spans="1:26" s="25" customFormat="1" outlineLevel="1" collapsed="1" x14ac:dyDescent="0.25">
      <c r="A149" s="26"/>
      <c r="B149" s="13" t="str">
        <f>CONCATENATE("     ","Training                                          ")</f>
        <v xml:space="preserve">     Training                                          </v>
      </c>
      <c r="C149" s="13"/>
      <c r="D149" s="1">
        <f>SUM(OSRRefD22_19x_0)</f>
        <v>0</v>
      </c>
      <c r="E149" s="1"/>
      <c r="F149" s="5">
        <f t="shared" si="94"/>
        <v>0</v>
      </c>
      <c r="G149" s="1"/>
      <c r="H149" s="1">
        <f>SUM(OSRRefH22_19x_0)</f>
        <v>0</v>
      </c>
      <c r="I149" s="1"/>
      <c r="J149" s="5">
        <f t="shared" si="95"/>
        <v>0</v>
      </c>
      <c r="K149" s="1"/>
      <c r="L149" s="1">
        <f t="shared" si="96"/>
        <v>0</v>
      </c>
      <c r="M149" s="1"/>
      <c r="N149" s="5">
        <f t="shared" si="97"/>
        <v>0</v>
      </c>
      <c r="O149" s="13"/>
      <c r="P149" s="1">
        <f>SUM(OSRRefP22_19x_0)</f>
        <v>0</v>
      </c>
      <c r="Q149" s="1"/>
      <c r="R149" s="5">
        <f t="shared" si="98"/>
        <v>0</v>
      </c>
      <c r="S149" s="1"/>
      <c r="T149" s="1">
        <f>SUM(OSRRefT22_19x_0)</f>
        <v>1379.18</v>
      </c>
      <c r="U149" s="1"/>
      <c r="V149" s="5">
        <f t="shared" si="99"/>
        <v>7.875140306520986E-4</v>
      </c>
      <c r="W149" s="1"/>
      <c r="X149" s="1">
        <f t="shared" si="100"/>
        <v>-1379.18</v>
      </c>
      <c r="Y149" s="1"/>
      <c r="Z149" s="5">
        <f t="shared" si="101"/>
        <v>-1</v>
      </c>
    </row>
    <row r="150" spans="1:26" s="24" customFormat="1" hidden="1" outlineLevel="2" x14ac:dyDescent="0.25">
      <c r="A150" s="27"/>
      <c r="B150" s="11" t="str">
        <f>CONCATENATE("          ", "6376", " - ", "TRAINING")</f>
        <v xml:space="preserve">          6376 - TRAINING</v>
      </c>
      <c r="C150" s="11"/>
      <c r="D150" s="7"/>
      <c r="E150" s="2"/>
      <c r="F150" s="6">
        <f t="shared" si="94"/>
        <v>0</v>
      </c>
      <c r="G150" s="2"/>
      <c r="H150" s="7"/>
      <c r="I150" s="2"/>
      <c r="J150" s="6">
        <f t="shared" si="95"/>
        <v>0</v>
      </c>
      <c r="K150" s="2"/>
      <c r="L150" s="7">
        <f t="shared" si="96"/>
        <v>0</v>
      </c>
      <c r="M150" s="2"/>
      <c r="N150" s="6">
        <f t="shared" si="97"/>
        <v>0</v>
      </c>
      <c r="O150" s="11"/>
      <c r="P150" s="7"/>
      <c r="Q150" s="2"/>
      <c r="R150" s="6">
        <f t="shared" si="98"/>
        <v>0</v>
      </c>
      <c r="S150" s="2"/>
      <c r="T150" s="7">
        <v>1379.18</v>
      </c>
      <c r="U150" s="2"/>
      <c r="V150" s="6">
        <f t="shared" si="99"/>
        <v>7.875140306520986E-4</v>
      </c>
      <c r="W150" s="2"/>
      <c r="X150" s="7">
        <f t="shared" si="100"/>
        <v>-1379.18</v>
      </c>
      <c r="Y150" s="2"/>
      <c r="Z150" s="6">
        <f t="shared" si="101"/>
        <v>-1</v>
      </c>
    </row>
    <row r="151" spans="1:26" s="25" customFormat="1" outlineLevel="1" collapsed="1" x14ac:dyDescent="0.25">
      <c r="A151" s="26"/>
      <c r="B151" s="13" t="str">
        <f>CONCATENATE("     ","Travel                                            ")</f>
        <v xml:space="preserve">     Travel                                            </v>
      </c>
      <c r="C151" s="13"/>
      <c r="D151" s="1">
        <f>SUM(OSRRefD22_20x_0)</f>
        <v>0</v>
      </c>
      <c r="E151" s="1"/>
      <c r="F151" s="5">
        <f t="shared" si="94"/>
        <v>0</v>
      </c>
      <c r="G151" s="1"/>
      <c r="H151" s="1">
        <f>SUM(OSRRefH22_20x_0)</f>
        <v>125.14</v>
      </c>
      <c r="I151" s="1"/>
      <c r="J151" s="5">
        <f t="shared" si="95"/>
        <v>4.1779880326717748E-4</v>
      </c>
      <c r="K151" s="1"/>
      <c r="L151" s="1">
        <f t="shared" si="96"/>
        <v>-125.14</v>
      </c>
      <c r="M151" s="1"/>
      <c r="N151" s="5">
        <f t="shared" si="97"/>
        <v>-1</v>
      </c>
      <c r="O151" s="13"/>
      <c r="P151" s="1">
        <f>SUM(OSRRefP22_20x_0)</f>
        <v>321.88</v>
      </c>
      <c r="Q151" s="1"/>
      <c r="R151" s="5">
        <f t="shared" si="98"/>
        <v>3.1234699783522023E-4</v>
      </c>
      <c r="S151" s="1"/>
      <c r="T151" s="1">
        <f>SUM(OSRRefT22_20x_0)</f>
        <v>910.31</v>
      </c>
      <c r="U151" s="1"/>
      <c r="V151" s="5">
        <f t="shared" si="99"/>
        <v>5.1978849551393715E-4</v>
      </c>
      <c r="W151" s="1"/>
      <c r="X151" s="1">
        <f t="shared" si="100"/>
        <v>-588.42999999999995</v>
      </c>
      <c r="Y151" s="1"/>
      <c r="Z151" s="5">
        <f t="shared" si="101"/>
        <v>-0.64640616932693262</v>
      </c>
    </row>
    <row r="152" spans="1:26" s="24" customFormat="1" hidden="1" outlineLevel="2" x14ac:dyDescent="0.25">
      <c r="A152" s="27"/>
      <c r="B152" s="11" t="str">
        <f>CONCATENATE("          ", "6292", " - ", "TRAVEL/CONFERENCE")</f>
        <v xml:space="preserve">          6292 - TRAVEL/CONFERENCE</v>
      </c>
      <c r="C152" s="11"/>
      <c r="D152" s="7"/>
      <c r="E152" s="2"/>
      <c r="F152" s="6">
        <f t="shared" si="94"/>
        <v>0</v>
      </c>
      <c r="G152" s="2"/>
      <c r="H152" s="7"/>
      <c r="I152" s="2"/>
      <c r="J152" s="6">
        <f t="shared" si="95"/>
        <v>0</v>
      </c>
      <c r="K152" s="2"/>
      <c r="L152" s="7">
        <f t="shared" si="96"/>
        <v>0</v>
      </c>
      <c r="M152" s="2"/>
      <c r="N152" s="6">
        <f t="shared" si="97"/>
        <v>0</v>
      </c>
      <c r="O152" s="11"/>
      <c r="P152" s="7"/>
      <c r="Q152" s="2"/>
      <c r="R152" s="6">
        <f t="shared" si="98"/>
        <v>0</v>
      </c>
      <c r="S152" s="2"/>
      <c r="T152" s="7">
        <v>107.04</v>
      </c>
      <c r="U152" s="2"/>
      <c r="V152" s="6">
        <f t="shared" si="99"/>
        <v>6.112001467611236E-5</v>
      </c>
      <c r="W152" s="2"/>
      <c r="X152" s="7">
        <f t="shared" si="100"/>
        <v>-107.04</v>
      </c>
      <c r="Y152" s="2"/>
      <c r="Z152" s="6">
        <f t="shared" si="101"/>
        <v>-1</v>
      </c>
    </row>
    <row r="153" spans="1:26" s="24" customFormat="1" hidden="1" outlineLevel="2" x14ac:dyDescent="0.25">
      <c r="A153" s="27"/>
      <c r="B153" s="11" t="str">
        <f>CONCATENATE("          ", "6294", " - ", "TRAVEL OPERATIONAL")</f>
        <v xml:space="preserve">          6294 - TRAVEL OPERATIONAL</v>
      </c>
      <c r="C153" s="11"/>
      <c r="D153" s="7"/>
      <c r="E153" s="2"/>
      <c r="F153" s="6">
        <f t="shared" si="94"/>
        <v>0</v>
      </c>
      <c r="G153" s="2"/>
      <c r="H153" s="7">
        <v>125.14</v>
      </c>
      <c r="I153" s="2"/>
      <c r="J153" s="6">
        <f t="shared" si="95"/>
        <v>4.1779880326717748E-4</v>
      </c>
      <c r="K153" s="2"/>
      <c r="L153" s="7">
        <f t="shared" si="96"/>
        <v>-125.14</v>
      </c>
      <c r="M153" s="2"/>
      <c r="N153" s="6">
        <f t="shared" si="97"/>
        <v>-1</v>
      </c>
      <c r="O153" s="11"/>
      <c r="P153" s="7">
        <v>321.88</v>
      </c>
      <c r="Q153" s="2"/>
      <c r="R153" s="6">
        <f t="shared" si="98"/>
        <v>3.1234699783522023E-4</v>
      </c>
      <c r="S153" s="2"/>
      <c r="T153" s="7">
        <v>803.27</v>
      </c>
      <c r="U153" s="2"/>
      <c r="V153" s="6">
        <f t="shared" si="99"/>
        <v>4.5866848083782482E-4</v>
      </c>
      <c r="W153" s="2"/>
      <c r="X153" s="7">
        <f t="shared" si="100"/>
        <v>-481.39</v>
      </c>
      <c r="Y153" s="2"/>
      <c r="Z153" s="6">
        <f t="shared" si="101"/>
        <v>-0.59928791066515619</v>
      </c>
    </row>
    <row r="154" spans="1:26" s="25" customFormat="1" outlineLevel="1" collapsed="1" x14ac:dyDescent="0.25">
      <c r="A154" s="26"/>
      <c r="B154" s="13" t="str">
        <f>CONCATENATE("     ","Utilities                                         ")</f>
        <v xml:space="preserve">     Utilities                                         </v>
      </c>
      <c r="C154" s="13"/>
      <c r="D154" s="1">
        <f>SUM(OSRRefD22_21x_0)</f>
        <v>42.61</v>
      </c>
      <c r="E154" s="1"/>
      <c r="F154" s="5">
        <f t="shared" ref="F154:F155" si="102">IF(D$12=0,0,D154/D$12)</f>
        <v>1.9850675957211618E-4</v>
      </c>
      <c r="G154" s="1"/>
      <c r="H154" s="1">
        <f>SUM(OSRRefH22_21x_0)</f>
        <v>70.760000000000005</v>
      </c>
      <c r="I154" s="1"/>
      <c r="J154" s="5">
        <f t="shared" ref="J154:J155" si="103">IF(H$12=0,0,H154/H$12)</f>
        <v>2.3624295444450599E-4</v>
      </c>
      <c r="K154" s="1"/>
      <c r="L154" s="1">
        <f t="shared" ref="L154:L155" si="104">+D154-H154</f>
        <v>-28.150000000000006</v>
      </c>
      <c r="M154" s="1"/>
      <c r="N154" s="5">
        <f t="shared" ref="N154:N155" si="105">IF(H154=0,0,L154/H154)</f>
        <v>-0.39782362916902209</v>
      </c>
      <c r="O154" s="13"/>
      <c r="P154" s="1">
        <f>SUM(OSRRefP22_21x_0)</f>
        <v>144.4</v>
      </c>
      <c r="Q154" s="1"/>
      <c r="R154" s="5">
        <f t="shared" ref="R154:R155" si="106">IF(P$12=0,0,P154/P$12)</f>
        <v>1.4012335804463094E-4</v>
      </c>
      <c r="S154" s="1"/>
      <c r="T154" s="1">
        <f>SUM(OSRRefT22_21x_0)</f>
        <v>297.68</v>
      </c>
      <c r="U154" s="1"/>
      <c r="V154" s="5">
        <f t="shared" ref="V154:V155" si="107">IF(T$12=0,0,T154/T$12)</f>
        <v>1.6997576577714056E-4</v>
      </c>
      <c r="W154" s="1"/>
      <c r="X154" s="1">
        <f t="shared" ref="X154:X155" si="108">+P154-T154</f>
        <v>-153.28</v>
      </c>
      <c r="Y154" s="1"/>
      <c r="Z154" s="5">
        <f t="shared" ref="Z154:Z155" si="109">IF(T154=0,0,X154/T154)</f>
        <v>-0.5149153453372749</v>
      </c>
    </row>
    <row r="155" spans="1:26" s="24" customFormat="1" hidden="1" outlineLevel="2" x14ac:dyDescent="0.25">
      <c r="A155" s="27"/>
      <c r="B155" s="11" t="str">
        <f>CONCATENATE("          ", "6274", " - ", "UTILITIES")</f>
        <v xml:space="preserve">          6274 - UTILITIES</v>
      </c>
      <c r="C155" s="11"/>
      <c r="D155" s="7">
        <v>42.61</v>
      </c>
      <c r="E155" s="2"/>
      <c r="F155" s="6">
        <f t="shared" si="102"/>
        <v>1.9850675957211618E-4</v>
      </c>
      <c r="G155" s="2"/>
      <c r="H155" s="7">
        <v>70.760000000000005</v>
      </c>
      <c r="I155" s="2"/>
      <c r="J155" s="6">
        <f t="shared" si="103"/>
        <v>2.3624295444450599E-4</v>
      </c>
      <c r="K155" s="2"/>
      <c r="L155" s="7">
        <f t="shared" si="104"/>
        <v>-28.150000000000006</v>
      </c>
      <c r="M155" s="2"/>
      <c r="N155" s="6">
        <f t="shared" si="105"/>
        <v>-0.39782362916902209</v>
      </c>
      <c r="O155" s="11"/>
      <c r="P155" s="7">
        <v>144.4</v>
      </c>
      <c r="Q155" s="2"/>
      <c r="R155" s="6">
        <f t="shared" si="106"/>
        <v>1.4012335804463094E-4</v>
      </c>
      <c r="S155" s="2"/>
      <c r="T155" s="7">
        <v>297.68</v>
      </c>
      <c r="U155" s="2"/>
      <c r="V155" s="6">
        <f t="shared" si="107"/>
        <v>1.6997576577714056E-4</v>
      </c>
      <c r="W155" s="2"/>
      <c r="X155" s="7">
        <f t="shared" si="108"/>
        <v>-153.28</v>
      </c>
      <c r="Y155" s="2"/>
      <c r="Z155" s="6">
        <f t="shared" si="109"/>
        <v>-0.5149153453372749</v>
      </c>
    </row>
    <row r="156" spans="1:26" s="55" customFormat="1" x14ac:dyDescent="0.25">
      <c r="A156" s="37"/>
      <c r="B156" s="37"/>
      <c r="C156" s="37"/>
      <c r="D156" s="1"/>
      <c r="E156" s="1"/>
      <c r="F156" s="5"/>
      <c r="G156" s="1"/>
      <c r="H156" s="1"/>
      <c r="I156" s="1"/>
      <c r="J156" s="5"/>
      <c r="K156" s="1"/>
      <c r="L156" s="1"/>
      <c r="M156" s="1"/>
      <c r="N156" s="5"/>
      <c r="O156" s="37"/>
      <c r="P156" s="1"/>
      <c r="Q156" s="1"/>
      <c r="R156" s="5"/>
      <c r="S156" s="1"/>
      <c r="T156" s="1"/>
      <c r="U156" s="1"/>
      <c r="V156" s="5"/>
      <c r="W156" s="1"/>
      <c r="X156" s="1"/>
      <c r="Y156" s="1"/>
      <c r="Z156" s="5"/>
    </row>
    <row r="157" spans="1:26" s="23" customFormat="1" collapsed="1" x14ac:dyDescent="0.25">
      <c r="A157" s="10"/>
      <c r="B157" s="29" t="s">
        <v>0</v>
      </c>
      <c r="C157" s="10"/>
      <c r="D157" s="4">
        <f>SUM(OSRRefD25x_0)</f>
        <v>-1666.87</v>
      </c>
      <c r="E157" s="4"/>
      <c r="F157" s="12">
        <f t="shared" ref="F157:F159" si="110">IF(D$12=0,0,D157/D$12)</f>
        <v>-7.7654297659698023E-3</v>
      </c>
      <c r="G157" s="4"/>
      <c r="H157" s="4">
        <f>SUM(OSRRefH25x_0)</f>
        <v>0</v>
      </c>
      <c r="I157" s="4"/>
      <c r="J157" s="12">
        <f t="shared" ref="J157:J159" si="111">IF(H$12=0,0,H157/H$12)</f>
        <v>0</v>
      </c>
      <c r="K157" s="4"/>
      <c r="L157" s="4">
        <f t="shared" ref="L157:L159" si="112">+D157-H157</f>
        <v>-1666.87</v>
      </c>
      <c r="M157" s="4"/>
      <c r="N157" s="12">
        <f t="shared" ref="N157:N159" si="113">IF(H157=0,0,L157/H157)</f>
        <v>0</v>
      </c>
      <c r="O157" s="10"/>
      <c r="P157" s="4">
        <f>SUM(OSRRefP25x_0)</f>
        <v>206207.58</v>
      </c>
      <c r="Q157" s="4"/>
      <c r="R157" s="12">
        <f t="shared" ref="R157:R159" si="114">IF(P$12=0,0,P157/P$12)</f>
        <v>0.20010040556687586</v>
      </c>
      <c r="S157" s="4"/>
      <c r="T157" s="4">
        <f>SUM(OSRRefT25x_0)</f>
        <v>14830.16</v>
      </c>
      <c r="U157" s="4"/>
      <c r="V157" s="12">
        <f t="shared" ref="V157:V159" si="115">IF(T$12=0,0,T157/T$12)</f>
        <v>8.4680455609967703E-3</v>
      </c>
      <c r="W157" s="4"/>
      <c r="X157" s="4">
        <f t="shared" ref="X157:X159" si="116">+P157-T157</f>
        <v>191377.41999999998</v>
      </c>
      <c r="Y157" s="4"/>
      <c r="Z157" s="12">
        <f t="shared" ref="Z157:Z159" si="117">IF(T157=0,0,X157/T157)</f>
        <v>12.904609255732911</v>
      </c>
    </row>
    <row r="158" spans="1:26" s="24" customFormat="1" hidden="1" outlineLevel="1" x14ac:dyDescent="0.25">
      <c r="A158" s="44"/>
      <c r="B158" s="11" t="str">
        <f>CONCATENATE("          ", "9150", " - ", "MISC. INCOME")</f>
        <v xml:space="preserve">          9150 - MISC. INCOME</v>
      </c>
      <c r="C158" s="11"/>
      <c r="D158" s="2">
        <f>-1666.87</f>
        <v>-1666.87</v>
      </c>
      <c r="E158" s="2"/>
      <c r="F158" s="19">
        <f t="shared" si="110"/>
        <v>-7.7654297659698023E-3</v>
      </c>
      <c r="G158" s="2"/>
      <c r="H158" s="2">
        <f t="shared" ref="H158:H159" si="118">0</f>
        <v>0</v>
      </c>
      <c r="I158" s="2"/>
      <c r="J158" s="19">
        <f t="shared" si="111"/>
        <v>0</v>
      </c>
      <c r="K158" s="2"/>
      <c r="L158" s="2">
        <f t="shared" si="112"/>
        <v>-1666.87</v>
      </c>
      <c r="M158" s="2"/>
      <c r="N158" s="19">
        <f t="shared" si="113"/>
        <v>0</v>
      </c>
      <c r="O158" s="11"/>
      <c r="P158" s="2">
        <f>--30801.74</f>
        <v>30801.74</v>
      </c>
      <c r="Q158" s="2"/>
      <c r="R158" s="19">
        <f t="shared" si="114"/>
        <v>2.9889496138626251E-2</v>
      </c>
      <c r="S158" s="2"/>
      <c r="T158" s="2">
        <f>--14830.16</f>
        <v>14830.16</v>
      </c>
      <c r="U158" s="2"/>
      <c r="V158" s="19">
        <f t="shared" si="115"/>
        <v>8.4680455609967703E-3</v>
      </c>
      <c r="W158" s="2"/>
      <c r="X158" s="2">
        <f t="shared" si="116"/>
        <v>15971.580000000002</v>
      </c>
      <c r="Y158" s="2"/>
      <c r="Z158" s="19">
        <f t="shared" si="117"/>
        <v>1.0769661284841163</v>
      </c>
    </row>
    <row r="159" spans="1:26" s="24" customFormat="1" hidden="1" outlineLevel="1" x14ac:dyDescent="0.25">
      <c r="A159" s="44"/>
      <c r="B159" s="11" t="str">
        <f>CONCATENATE("          ", "9163", " - ", "MISC. INCOME")</f>
        <v xml:space="preserve">          9163 - MISC. INCOME</v>
      </c>
      <c r="C159" s="11"/>
      <c r="D159" s="2">
        <f>0</f>
        <v>0</v>
      </c>
      <c r="E159" s="2"/>
      <c r="F159" s="19">
        <f t="shared" si="110"/>
        <v>0</v>
      </c>
      <c r="G159" s="2"/>
      <c r="H159" s="2">
        <f t="shared" si="118"/>
        <v>0</v>
      </c>
      <c r="I159" s="2"/>
      <c r="J159" s="19">
        <f t="shared" si="111"/>
        <v>0</v>
      </c>
      <c r="K159" s="2"/>
      <c r="L159" s="2">
        <f t="shared" si="112"/>
        <v>0</v>
      </c>
      <c r="M159" s="2"/>
      <c r="N159" s="19">
        <f t="shared" si="113"/>
        <v>0</v>
      </c>
      <c r="O159" s="11"/>
      <c r="P159" s="2">
        <f>--175405.84</f>
        <v>175405.84</v>
      </c>
      <c r="Q159" s="2"/>
      <c r="R159" s="19">
        <f t="shared" si="114"/>
        <v>0.17021090942824962</v>
      </c>
      <c r="S159" s="2"/>
      <c r="T159" s="2">
        <f>0</f>
        <v>0</v>
      </c>
      <c r="U159" s="2"/>
      <c r="V159" s="19">
        <f t="shared" si="115"/>
        <v>0</v>
      </c>
      <c r="W159" s="2"/>
      <c r="X159" s="2">
        <f t="shared" si="116"/>
        <v>175405.84</v>
      </c>
      <c r="Y159" s="2"/>
      <c r="Z159" s="19">
        <f t="shared" si="117"/>
        <v>0</v>
      </c>
    </row>
    <row r="160" spans="1:26" x14ac:dyDescent="0.25">
      <c r="A160" s="9"/>
      <c r="B160" s="10"/>
      <c r="C160" s="10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O160" s="10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x14ac:dyDescent="0.25">
      <c r="A161" s="10"/>
      <c r="B161" s="28" t="s">
        <v>3</v>
      </c>
      <c r="C161" s="28"/>
      <c r="D161" s="20">
        <f>+D84-D86+D157</f>
        <v>25567.449999999972</v>
      </c>
      <c r="E161" s="14"/>
      <c r="F161" s="21">
        <f>IF(D$12=0,0,D161/D$12)</f>
        <v>0.1191108108430438</v>
      </c>
      <c r="G161" s="14"/>
      <c r="H161" s="20">
        <f>+H84-H86+H157</f>
        <v>68835.649999999907</v>
      </c>
      <c r="I161" s="14"/>
      <c r="J161" s="21">
        <f>IF(H$12=0,0,H161/H$12)</f>
        <v>0.22981822112928119</v>
      </c>
      <c r="K161" s="15"/>
      <c r="L161" s="20">
        <f>+D161-H161</f>
        <v>-43268.199999999939</v>
      </c>
      <c r="M161" s="15"/>
      <c r="N161" s="21">
        <f>IF(H161=0,0,L161/H161)</f>
        <v>-0.62857254925318495</v>
      </c>
      <c r="O161" s="29"/>
      <c r="P161" s="20">
        <f>+P84-P86+P157</f>
        <v>232840.65000000005</v>
      </c>
      <c r="Q161" s="14"/>
      <c r="R161" s="21">
        <f>IF(P$12=0,0,P161/P$12)</f>
        <v>0.22594469367932551</v>
      </c>
      <c r="S161" s="14"/>
      <c r="T161" s="20">
        <f>+T84-T86+T157</f>
        <v>411989.45999999979</v>
      </c>
      <c r="U161" s="14"/>
      <c r="V161" s="21">
        <f>IF(T$12=0,0,T161/T$12)</f>
        <v>0.23524665397611724</v>
      </c>
      <c r="W161" s="15"/>
      <c r="X161" s="20">
        <f>+P161-T161</f>
        <v>-179148.80999999974</v>
      </c>
      <c r="Y161" s="15"/>
      <c r="Z161" s="21">
        <f>IF(T161=0,0,X161/T161)</f>
        <v>-0.43483833300007196</v>
      </c>
    </row>
    <row r="162" spans="1:26" x14ac:dyDescent="0.25">
      <c r="A162" s="9"/>
      <c r="B162" s="10"/>
      <c r="C162" s="9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s="23" customFormat="1" x14ac:dyDescent="0.25">
      <c r="A163" s="51"/>
      <c r="B163" s="10" t="s">
        <v>13</v>
      </c>
      <c r="C163" s="10"/>
      <c r="D163" s="4">
        <v>66763.31</v>
      </c>
      <c r="E163" s="4"/>
      <c r="F163" s="12">
        <f>IF(D$12=0,0,D163/D$12)</f>
        <v>0.31102953124638955</v>
      </c>
      <c r="G163" s="4"/>
      <c r="H163" s="4">
        <v>35420.460000000006</v>
      </c>
      <c r="I163" s="4"/>
      <c r="J163" s="12">
        <f>IF(H$12=0,0,H163/H$12)</f>
        <v>0.11825655904725053</v>
      </c>
      <c r="K163" s="4"/>
      <c r="L163" s="4">
        <f>+D163-H163</f>
        <v>31342.849999999991</v>
      </c>
      <c r="M163" s="4"/>
      <c r="N163" s="12">
        <f>IF(H163=0,0,L163/H163)</f>
        <v>0.88487981240221003</v>
      </c>
      <c r="O163" s="10"/>
      <c r="P163" s="4">
        <v>196404.74000000002</v>
      </c>
      <c r="Q163" s="4"/>
      <c r="R163" s="12">
        <f>IF(P$12=0,0,P163/P$12)</f>
        <v>0.19058789269170809</v>
      </c>
      <c r="S163" s="4"/>
      <c r="T163" s="4">
        <v>189154.81</v>
      </c>
      <c r="U163" s="4"/>
      <c r="V163" s="12">
        <f>IF(T$12=0,0,T163/T$12)</f>
        <v>0.10800770518738083</v>
      </c>
      <c r="W163" s="4"/>
      <c r="X163" s="4">
        <f>+P163-T163</f>
        <v>7249.9300000000221</v>
      </c>
      <c r="Y163" s="4"/>
      <c r="Z163" s="12">
        <f>IF(T163=0,0,X163/T163)</f>
        <v>3.8328023485102079E-2</v>
      </c>
    </row>
    <row r="164" spans="1:26" x14ac:dyDescent="0.25">
      <c r="A164" s="9"/>
      <c r="B164" s="10"/>
      <c r="C164" s="10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O164" s="10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s="23" customFormat="1" ht="15.75" thickBot="1" x14ac:dyDescent="0.3">
      <c r="A165" s="10"/>
      <c r="B165" s="28" t="s">
        <v>4</v>
      </c>
      <c r="C165" s="28"/>
      <c r="D165" s="33">
        <f>+D161-D163</f>
        <v>-41195.86000000003</v>
      </c>
      <c r="E165" s="14"/>
      <c r="F165" s="34">
        <f>IF(D$12=0,0,D165/D$12)</f>
        <v>-0.19191872040334579</v>
      </c>
      <c r="G165" s="14"/>
      <c r="H165" s="33">
        <f>+H161-H163</f>
        <v>33415.1899999999</v>
      </c>
      <c r="I165" s="14"/>
      <c r="J165" s="34">
        <f>IF(H$12=0,0,H165/H$12)</f>
        <v>0.11156166208203065</v>
      </c>
      <c r="K165" s="15"/>
      <c r="L165" s="33">
        <f>D165-H165</f>
        <v>-74611.04999999993</v>
      </c>
      <c r="M165" s="15"/>
      <c r="N165" s="34">
        <f>IF(H165=0,0,L165/H165)</f>
        <v>-2.2328482944433401</v>
      </c>
      <c r="O165" s="29"/>
      <c r="P165" s="33">
        <f>+P161-P163</f>
        <v>36435.910000000033</v>
      </c>
      <c r="Q165" s="14"/>
      <c r="R165" s="34">
        <f>IF(P$12=0,0,P165/P$12)</f>
        <v>3.5356800987617405E-2</v>
      </c>
      <c r="S165" s="14"/>
      <c r="T165" s="33">
        <f>+T161-T163</f>
        <v>222834.64999999979</v>
      </c>
      <c r="U165" s="14"/>
      <c r="V165" s="34">
        <f>IF(T$12=0,0,T165/T$12)</f>
        <v>0.12723894878873643</v>
      </c>
      <c r="W165" s="15"/>
      <c r="X165" s="33">
        <f>P165-T165</f>
        <v>-186398.73999999976</v>
      </c>
      <c r="Y165" s="15"/>
      <c r="Z165" s="34">
        <f>IF(T165=0,0,X165/T165)</f>
        <v>-0.83648902897282773</v>
      </c>
    </row>
    <row r="166" spans="1:26" ht="15.75" thickTop="1" x14ac:dyDescent="0.25">
      <c r="A166" s="9"/>
      <c r="B166" s="9"/>
      <c r="C166" s="9"/>
      <c r="D166" s="3"/>
      <c r="E166" s="3"/>
      <c r="F166" s="8"/>
      <c r="G166" s="3"/>
      <c r="H166" s="3"/>
      <c r="I166" s="3"/>
      <c r="J166" s="8"/>
      <c r="K166" s="3"/>
      <c r="L166" s="3"/>
      <c r="M166" s="3"/>
      <c r="N166" s="8"/>
      <c r="P166" s="3"/>
      <c r="Q166" s="3"/>
      <c r="R166" s="8"/>
      <c r="S166" s="3"/>
      <c r="T166" s="3"/>
      <c r="U166" s="3"/>
      <c r="V166" s="8"/>
      <c r="W166" s="3"/>
      <c r="X166" s="3"/>
      <c r="Y166" s="3"/>
      <c r="Z166" s="8"/>
    </row>
    <row r="167" spans="1:26" x14ac:dyDescent="0.25">
      <c r="A167" s="9"/>
      <c r="B167" s="9"/>
      <c r="C167" s="9"/>
      <c r="D167" s="3"/>
      <c r="E167" s="3"/>
      <c r="F167" s="8"/>
      <c r="G167" s="3"/>
      <c r="H167" s="3"/>
      <c r="I167" s="3"/>
      <c r="J167" s="8"/>
      <c r="K167" s="3"/>
      <c r="L167" s="3"/>
      <c r="M167" s="3"/>
      <c r="N167" s="8"/>
      <c r="P167" s="3"/>
      <c r="Q167" s="3"/>
      <c r="R167" s="8"/>
      <c r="S167" s="3"/>
      <c r="T167" s="3"/>
      <c r="U167" s="3"/>
      <c r="V167" s="8"/>
      <c r="W167" s="3"/>
      <c r="X167" s="3"/>
      <c r="Y167" s="3"/>
      <c r="Z167" s="8"/>
    </row>
    <row r="168" spans="1:26" s="23" customFormat="1" ht="15.75" thickBot="1" x14ac:dyDescent="0.3">
      <c r="A168" s="10"/>
      <c r="B168" s="28" t="s">
        <v>5</v>
      </c>
      <c r="C168" s="28"/>
      <c r="D168" s="30">
        <f>SUM(D165:D167)</f>
        <v>-41195.86000000003</v>
      </c>
      <c r="E168" s="14"/>
      <c r="F168" s="32">
        <f>IF(D$12=0,0,D168/D$12)</f>
        <v>-0.19191872040334579</v>
      </c>
      <c r="G168" s="14"/>
      <c r="H168" s="30">
        <f>SUM(H165:H167)</f>
        <v>33415.1899999999</v>
      </c>
      <c r="I168" s="14"/>
      <c r="J168" s="32">
        <f>IF(H$12=0,0,H168/H$12)</f>
        <v>0.11156166208203065</v>
      </c>
      <c r="K168" s="15"/>
      <c r="L168" s="30">
        <f>+D168-H168</f>
        <v>-74611.04999999993</v>
      </c>
      <c r="M168" s="15"/>
      <c r="N168" s="32">
        <f>IF(H168=0,0,L168/H168)</f>
        <v>-2.2328482944433401</v>
      </c>
      <c r="O168" s="29"/>
      <c r="P168" s="30">
        <f>SUM(P165:P167)</f>
        <v>36435.910000000033</v>
      </c>
      <c r="Q168" s="14"/>
      <c r="R168" s="32">
        <f>IF(P$12=0,0,P168/P$12)</f>
        <v>3.5356800987617405E-2</v>
      </c>
      <c r="S168" s="14"/>
      <c r="T168" s="30">
        <f>SUM(T165:T167)</f>
        <v>222834.64999999979</v>
      </c>
      <c r="U168" s="14"/>
      <c r="V168" s="32">
        <f>IF(T$12=0,0,T168/T$12)</f>
        <v>0.12723894878873643</v>
      </c>
      <c r="W168" s="15"/>
      <c r="X168" s="30">
        <f>+P168-T168</f>
        <v>-186398.73999999976</v>
      </c>
      <c r="Y168" s="15"/>
      <c r="Z168" s="32">
        <f>IF(T168=0,0,X168/T168)</f>
        <v>-0.83648902897282773</v>
      </c>
    </row>
    <row r="169" spans="1:26" ht="15.75" thickTop="1" x14ac:dyDescent="0.25">
      <c r="A169" s="9"/>
      <c r="C169" s="9"/>
      <c r="D169" s="17"/>
      <c r="E169" s="17"/>
      <c r="G169" s="17"/>
      <c r="H169" s="17"/>
      <c r="I169" s="17"/>
      <c r="J169" s="43"/>
      <c r="K169" s="17"/>
      <c r="L169" s="17"/>
      <c r="M169" s="17"/>
      <c r="P169" s="17"/>
      <c r="Q169" s="17"/>
      <c r="R169" s="43"/>
      <c r="S169" s="17"/>
      <c r="T169" s="17"/>
      <c r="U169" s="17"/>
      <c r="V169" s="43"/>
      <c r="W169" s="17"/>
      <c r="X169" s="17"/>
    </row>
    <row r="170" spans="1:26" x14ac:dyDescent="0.25">
      <c r="A170" s="9"/>
      <c r="B170" s="58">
        <v>44209.521411921298</v>
      </c>
      <c r="D170" s="17"/>
      <c r="E170" s="17"/>
      <c r="G170" s="17"/>
      <c r="H170" s="17"/>
      <c r="I170" s="17"/>
      <c r="J170" s="43"/>
      <c r="K170" s="17"/>
      <c r="L170" s="17"/>
      <c r="M170" s="17"/>
      <c r="P170" s="17"/>
      <c r="Q170" s="17"/>
      <c r="R170" s="43"/>
      <c r="S170" s="17"/>
      <c r="T170" s="17"/>
      <c r="U170" s="17"/>
      <c r="V170" s="43"/>
      <c r="W170" s="17"/>
      <c r="X170" s="17"/>
    </row>
    <row r="171" spans="1:26" x14ac:dyDescent="0.25">
      <c r="A171" s="9"/>
      <c r="B171" s="61" t="s">
        <v>313</v>
      </c>
      <c r="D171" s="17"/>
      <c r="E171" s="17"/>
      <c r="G171" s="17"/>
      <c r="H171" s="17"/>
      <c r="I171" s="17"/>
      <c r="J171" s="43"/>
      <c r="K171" s="17"/>
      <c r="L171" s="17"/>
      <c r="M171" s="17"/>
      <c r="P171" s="17"/>
      <c r="Q171" s="17"/>
      <c r="R171" s="43"/>
      <c r="S171" s="17"/>
      <c r="T171" s="17"/>
      <c r="U171" s="17"/>
      <c r="V171" s="43"/>
      <c r="W171" s="17"/>
      <c r="X171" s="17"/>
    </row>
    <row r="172" spans="1:26" x14ac:dyDescent="0.25">
      <c r="A172" s="9"/>
      <c r="B172" s="57"/>
      <c r="D172" s="17"/>
      <c r="E172" s="17"/>
      <c r="G172" s="17"/>
      <c r="H172" s="17"/>
      <c r="I172" s="17"/>
      <c r="J172" s="43"/>
      <c r="K172" s="17"/>
      <c r="L172" s="17"/>
      <c r="M172" s="17"/>
      <c r="P172" s="17"/>
      <c r="Q172" s="17"/>
      <c r="R172" s="43"/>
      <c r="S172" s="17"/>
      <c r="T172" s="17"/>
      <c r="U172" s="17"/>
      <c r="V172" s="43"/>
      <c r="W172" s="17"/>
      <c r="X172" s="17"/>
    </row>
    <row r="173" spans="1:26" x14ac:dyDescent="0.25">
      <c r="D173" s="17"/>
      <c r="E173" s="17"/>
      <c r="G173" s="17"/>
      <c r="H173" s="17"/>
      <c r="I173" s="17"/>
      <c r="J173" s="43"/>
      <c r="K173" s="17"/>
      <c r="L173" s="17"/>
      <c r="M173" s="17"/>
      <c r="P173" s="17"/>
      <c r="Q173" s="17"/>
      <c r="R173" s="43"/>
      <c r="S173" s="17"/>
      <c r="T173" s="17"/>
      <c r="U173" s="17"/>
      <c r="V173" s="43"/>
      <c r="W173" s="17"/>
      <c r="X173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297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SUM(0)</f>
        <v>0</v>
      </c>
      <c r="E18" s="22"/>
      <c r="F18" s="36">
        <f>IF(D$12=0,0,D18/D$12)</f>
        <v>0</v>
      </c>
      <c r="G18" s="22"/>
      <c r="H18" s="22">
        <f>SUM(0)</f>
        <v>0</v>
      </c>
      <c r="I18" s="22"/>
      <c r="J18" s="36">
        <f>IF(H$12=0,0,H18/H$12)</f>
        <v>0</v>
      </c>
      <c r="K18" s="4"/>
      <c r="L18" s="22">
        <f>+D18-H18</f>
        <v>0</v>
      </c>
      <c r="M18" s="4"/>
      <c r="N18" s="36">
        <f>IF(H18=0,0,L18/H18)</f>
        <v>0</v>
      </c>
      <c r="O18" s="10"/>
      <c r="P18" s="22">
        <f>SUM(0)</f>
        <v>0</v>
      </c>
      <c r="Q18" s="22"/>
      <c r="R18" s="36">
        <f>IF(P$12=0,0,P18/P$12)</f>
        <v>0</v>
      </c>
      <c r="S18" s="22"/>
      <c r="T18" s="22">
        <f>SUM(0)</f>
        <v>0</v>
      </c>
      <c r="U18" s="22"/>
      <c r="V18" s="36">
        <f>IF(T$12=0,0,T18/T$12)</f>
        <v>0</v>
      </c>
      <c r="W18" s="4"/>
      <c r="X18" s="22">
        <f>+P18-T18</f>
        <v>0</v>
      </c>
      <c r="Y18" s="4"/>
      <c r="Z18" s="36">
        <f>IF(T18=0,0,X18/T18)</f>
        <v>0</v>
      </c>
    </row>
    <row r="19" spans="1:26" s="55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1">
        <f>IF(D$12=0,0,D22/D$12)</f>
        <v>0</v>
      </c>
      <c r="G22" s="14"/>
      <c r="H22" s="20">
        <f>+H16-H18+H20</f>
        <v>0</v>
      </c>
      <c r="I22" s="14"/>
      <c r="J22" s="21">
        <f>IF(H$12=0,0,H22/H$12)</f>
        <v>0</v>
      </c>
      <c r="K22" s="15"/>
      <c r="L22" s="20">
        <f>+D22-H22</f>
        <v>0</v>
      </c>
      <c r="M22" s="15"/>
      <c r="N22" s="21">
        <f>IF(H22=0,0,L22/H22)</f>
        <v>0</v>
      </c>
      <c r="O22" s="29"/>
      <c r="P22" s="20">
        <f>+P16-P18+P20</f>
        <v>0</v>
      </c>
      <c r="Q22" s="14"/>
      <c r="R22" s="21">
        <f>IF(P$12=0,0,P22/P$12)</f>
        <v>0</v>
      </c>
      <c r="S22" s="14"/>
      <c r="T22" s="20">
        <f>+T16-T18+T20</f>
        <v>0</v>
      </c>
      <c r="U22" s="14"/>
      <c r="V22" s="21">
        <f>IF(T$12=0,0,T22/T$12)</f>
        <v>0</v>
      </c>
      <c r="W22" s="15"/>
      <c r="X22" s="20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3">
        <f>+D22-D24</f>
        <v>0</v>
      </c>
      <c r="E26" s="14"/>
      <c r="F26" s="34">
        <f>IF(D$12=0,0,D26/D$12)</f>
        <v>0</v>
      </c>
      <c r="G26" s="14"/>
      <c r="H26" s="33">
        <f>+H22-H24</f>
        <v>0</v>
      </c>
      <c r="I26" s="14"/>
      <c r="J26" s="34">
        <f>IF(H$12=0,0,H26/H$12)</f>
        <v>0</v>
      </c>
      <c r="K26" s="15"/>
      <c r="L26" s="33">
        <f>D26-H26</f>
        <v>0</v>
      </c>
      <c r="M26" s="15"/>
      <c r="N26" s="34">
        <f>IF(H26=0,0,L26/H26)</f>
        <v>0</v>
      </c>
      <c r="O26" s="29"/>
      <c r="P26" s="33">
        <f>+P22-P24</f>
        <v>0</v>
      </c>
      <c r="Q26" s="14"/>
      <c r="R26" s="34">
        <f>IF(P$12=0,0,P26/P$12)</f>
        <v>0</v>
      </c>
      <c r="S26" s="14"/>
      <c r="T26" s="33">
        <f>+T22-T24</f>
        <v>0</v>
      </c>
      <c r="U26" s="14"/>
      <c r="V26" s="34">
        <f>IF(T$12=0,0,T26/T$12)</f>
        <v>0</v>
      </c>
      <c r="W26" s="15"/>
      <c r="X26" s="33">
        <f>P26-T26</f>
        <v>0</v>
      </c>
      <c r="Y26" s="15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--344647.12</f>
        <v>344647.12</v>
      </c>
      <c r="E28" s="4"/>
      <c r="F28" s="12">
        <f t="shared" ref="F28:F29" si="0">IF(D$12=0,0,D28/D$12)</f>
        <v>0</v>
      </c>
      <c r="G28" s="4"/>
      <c r="H28" s="4">
        <f>--207006.23</f>
        <v>207006.23</v>
      </c>
      <c r="I28" s="4"/>
      <c r="J28" s="12">
        <f t="shared" ref="J28:J29" si="1">IF(H$12=0,0,H28/H$12)</f>
        <v>0</v>
      </c>
      <c r="K28" s="4"/>
      <c r="L28" s="4">
        <f t="shared" ref="L28:L29" si="2">+D28-H28</f>
        <v>137640.88999999998</v>
      </c>
      <c r="M28" s="4"/>
      <c r="N28" s="12">
        <f t="shared" ref="N28:N29" si="3">IF(H28=0,0,L28/H28)</f>
        <v>0.66491182415137928</v>
      </c>
      <c r="O28" s="10"/>
      <c r="P28" s="4">
        <f>--1994053.3</f>
        <v>1994053.3</v>
      </c>
      <c r="Q28" s="4"/>
      <c r="R28" s="12">
        <f t="shared" ref="R28:R29" si="4">IF(P$12=0,0,P28/P$12)</f>
        <v>0</v>
      </c>
      <c r="S28" s="4"/>
      <c r="T28" s="4">
        <f>--524210.9</f>
        <v>524210.9</v>
      </c>
      <c r="U28" s="4"/>
      <c r="V28" s="12">
        <f t="shared" ref="V28:V29" si="5">IF(T$12=0,0,T28/T$12)</f>
        <v>0</v>
      </c>
      <c r="W28" s="4"/>
      <c r="X28" s="4">
        <f t="shared" ref="X28:X29" si="6">+P28-T28</f>
        <v>1469842.4</v>
      </c>
      <c r="Y28" s="4"/>
      <c r="Z28" s="12">
        <f t="shared" ref="Z28:Z29" si="7">IF(T28=0,0,X28/T28)</f>
        <v>2.8039142261254009</v>
      </c>
    </row>
    <row r="29" spans="1:26" s="23" customFormat="1" x14ac:dyDescent="0.25">
      <c r="A29" s="51"/>
      <c r="B29" s="10" t="s">
        <v>1</v>
      </c>
      <c r="C29" s="10"/>
      <c r="D29" s="4">
        <f>--50933.37</f>
        <v>50933.37</v>
      </c>
      <c r="E29" s="4"/>
      <c r="F29" s="12">
        <f t="shared" si="0"/>
        <v>0</v>
      </c>
      <c r="G29" s="4"/>
      <c r="H29" s="4">
        <f>--80889.64</f>
        <v>80889.64</v>
      </c>
      <c r="I29" s="4"/>
      <c r="J29" s="12">
        <f t="shared" si="1"/>
        <v>0</v>
      </c>
      <c r="K29" s="4"/>
      <c r="L29" s="4">
        <f t="shared" si="2"/>
        <v>-29956.269999999997</v>
      </c>
      <c r="M29" s="4"/>
      <c r="N29" s="12">
        <f t="shared" si="3"/>
        <v>-0.37033506392165916</v>
      </c>
      <c r="O29" s="10"/>
      <c r="P29" s="4">
        <f>--44510.83</f>
        <v>44510.83</v>
      </c>
      <c r="Q29" s="4"/>
      <c r="R29" s="12">
        <f t="shared" si="4"/>
        <v>0</v>
      </c>
      <c r="S29" s="4"/>
      <c r="T29" s="4">
        <f>--159064.94</f>
        <v>159064.94</v>
      </c>
      <c r="U29" s="4"/>
      <c r="V29" s="12">
        <f t="shared" si="5"/>
        <v>0</v>
      </c>
      <c r="W29" s="4"/>
      <c r="X29" s="4">
        <f t="shared" si="6"/>
        <v>-114554.11</v>
      </c>
      <c r="Y29" s="4"/>
      <c r="Z29" s="12">
        <f t="shared" si="7"/>
        <v>-0.72017196247017101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0">
        <f>SUM(D26:D30)</f>
        <v>395580.49</v>
      </c>
      <c r="E31" s="14"/>
      <c r="F31" s="32">
        <f>IF(D$12=0,0,D31/D$12)</f>
        <v>0</v>
      </c>
      <c r="G31" s="14"/>
      <c r="H31" s="30">
        <f>SUM(H26:H30)</f>
        <v>287895.87</v>
      </c>
      <c r="I31" s="14"/>
      <c r="J31" s="32">
        <f>IF(H$12=0,0,H31/H$12)</f>
        <v>0</v>
      </c>
      <c r="K31" s="15"/>
      <c r="L31" s="30">
        <f>+D31-H31</f>
        <v>107684.62</v>
      </c>
      <c r="M31" s="15"/>
      <c r="N31" s="32">
        <f>IF(H31=0,0,L31/H31)</f>
        <v>0.37404016945432389</v>
      </c>
      <c r="O31" s="29"/>
      <c r="P31" s="30">
        <f>SUM(P26:P30)</f>
        <v>2038564.1300000001</v>
      </c>
      <c r="Q31" s="14"/>
      <c r="R31" s="32">
        <f>IF(P$12=0,0,P31/P$12)</f>
        <v>0</v>
      </c>
      <c r="S31" s="14"/>
      <c r="T31" s="30">
        <f>SUM(T26:T30)</f>
        <v>683275.84000000008</v>
      </c>
      <c r="U31" s="14"/>
      <c r="V31" s="32">
        <f>IF(T$12=0,0,T31/T$12)</f>
        <v>0</v>
      </c>
      <c r="W31" s="15"/>
      <c r="X31" s="30">
        <f>+P31-T31</f>
        <v>1355288.29</v>
      </c>
      <c r="Y31" s="15"/>
      <c r="Z31" s="32">
        <f>IF(T31=0,0,X31/T31)</f>
        <v>1.9835156033030523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8">
        <v>44209.521262002316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61" t="s">
        <v>313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57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","315", " - ", "Beach Shop")</f>
        <v>Department 315 - Beach Shop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175750.66999999995</v>
      </c>
      <c r="E12" s="4"/>
      <c r="F12" s="12"/>
      <c r="G12" s="4"/>
      <c r="H12" s="4">
        <f>SUM(OSRRefH13x_0)</f>
        <v>247466.47999999998</v>
      </c>
      <c r="I12" s="4"/>
      <c r="J12" s="12"/>
      <c r="K12" s="4"/>
      <c r="L12" s="4">
        <f t="shared" ref="L12:L50" si="0">+D12-H12</f>
        <v>-71715.810000000027</v>
      </c>
      <c r="M12" s="4"/>
      <c r="N12" s="12">
        <f t="shared" ref="N12:N50" si="1">IF(H12=0,0,L12/H12)</f>
        <v>-0.28980009737076323</v>
      </c>
      <c r="O12" s="10"/>
      <c r="P12" s="4">
        <f>SUM(OSRRefP13x_0)</f>
        <v>885603.4600000002</v>
      </c>
      <c r="Q12" s="4"/>
      <c r="R12" s="12"/>
      <c r="S12" s="4"/>
      <c r="T12" s="4">
        <f>SUM(OSRRefT13x_0)</f>
        <v>1466945.3599999999</v>
      </c>
      <c r="U12" s="4"/>
      <c r="V12" s="12"/>
      <c r="W12" s="4"/>
      <c r="X12" s="4">
        <f t="shared" ref="X12:X50" si="2">+P12-T12</f>
        <v>-581341.89999999967</v>
      </c>
      <c r="Y12" s="4"/>
      <c r="Z12" s="12">
        <f t="shared" ref="Z12:Z50" si="3">IF(T12=0,0,X12/T12)</f>
        <v>-0.39629417417428536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-31005.23</f>
        <v>-31005.23</v>
      </c>
      <c r="E13" s="2"/>
      <c r="F13" s="19"/>
      <c r="G13" s="2"/>
      <c r="H13" s="2">
        <f t="shared" ref="H13:H18" si="4">0</f>
        <v>0</v>
      </c>
      <c r="I13" s="2"/>
      <c r="J13" s="19"/>
      <c r="K13" s="2"/>
      <c r="L13" s="2">
        <f t="shared" si="0"/>
        <v>-31005.23</v>
      </c>
      <c r="M13" s="2"/>
      <c r="N13" s="19">
        <f t="shared" si="1"/>
        <v>0</v>
      </c>
      <c r="O13" s="11"/>
      <c r="P13" s="2">
        <f>-77454.56</f>
        <v>-77454.559999999998</v>
      </c>
      <c r="Q13" s="2"/>
      <c r="R13" s="19"/>
      <c r="S13" s="2"/>
      <c r="T13" s="2">
        <f t="shared" ref="T13:T18" si="5">0</f>
        <v>0</v>
      </c>
      <c r="U13" s="2"/>
      <c r="V13" s="19"/>
      <c r="W13" s="2"/>
      <c r="X13" s="2">
        <f t="shared" si="2"/>
        <v>-77454.559999999998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--221.99</f>
        <v>221.99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221.99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--3073.53</f>
        <v>3073.53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3073.53</v>
      </c>
      <c r="M15" s="2"/>
      <c r="N15" s="19">
        <f t="shared" si="1"/>
        <v>0</v>
      </c>
      <c r="O15" s="11"/>
      <c r="P15" s="2">
        <f>--31753.44</f>
        <v>31753.439999999999</v>
      </c>
      <c r="Q15" s="2"/>
      <c r="R15" s="19"/>
      <c r="S15" s="2"/>
      <c r="T15" s="2">
        <f t="shared" si="5"/>
        <v>0</v>
      </c>
      <c r="U15" s="2"/>
      <c r="V15" s="19"/>
      <c r="W15" s="2"/>
      <c r="X15" s="2">
        <f t="shared" si="2"/>
        <v>31753.439999999999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--1152.99</f>
        <v>1152.99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1152.99</v>
      </c>
      <c r="M16" s="2"/>
      <c r="N16" s="19">
        <f t="shared" si="1"/>
        <v>0</v>
      </c>
      <c r="O16" s="11"/>
      <c r="P16" s="2">
        <f>--4673.52</f>
        <v>4673.5200000000004</v>
      </c>
      <c r="Q16" s="2"/>
      <c r="R16" s="19"/>
      <c r="S16" s="2"/>
      <c r="T16" s="2">
        <f t="shared" si="5"/>
        <v>0</v>
      </c>
      <c r="U16" s="2"/>
      <c r="V16" s="19"/>
      <c r="W16" s="2"/>
      <c r="X16" s="2">
        <f t="shared" si="2"/>
        <v>4673.5200000000004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--247.04</f>
        <v>247.04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247.04</v>
      </c>
      <c r="M17" s="2"/>
      <c r="N17" s="19">
        <f t="shared" si="1"/>
        <v>0</v>
      </c>
      <c r="O17" s="11"/>
      <c r="P17" s="2">
        <f>--1735.1</f>
        <v>1735.1</v>
      </c>
      <c r="Q17" s="2"/>
      <c r="R17" s="19"/>
      <c r="S17" s="2"/>
      <c r="T17" s="2">
        <f t="shared" si="5"/>
        <v>0</v>
      </c>
      <c r="U17" s="2"/>
      <c r="V17" s="19"/>
      <c r="W17" s="2"/>
      <c r="X17" s="2">
        <f t="shared" si="2"/>
        <v>1735.1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--54055.34</f>
        <v>54055.34</v>
      </c>
      <c r="E19" s="2"/>
      <c r="F19" s="19"/>
      <c r="G19" s="2"/>
      <c r="H19" s="2">
        <f>--152006.21</f>
        <v>152006.21</v>
      </c>
      <c r="I19" s="2"/>
      <c r="J19" s="19"/>
      <c r="K19" s="2"/>
      <c r="L19" s="2">
        <f t="shared" si="0"/>
        <v>-97950.87</v>
      </c>
      <c r="M19" s="2"/>
      <c r="N19" s="19">
        <f t="shared" si="1"/>
        <v>-0.64438729180867016</v>
      </c>
      <c r="O19" s="11"/>
      <c r="P19" s="2">
        <f>--389247.05</f>
        <v>389247.05</v>
      </c>
      <c r="Q19" s="2"/>
      <c r="R19" s="19"/>
      <c r="S19" s="2"/>
      <c r="T19" s="2">
        <f>--1053376.58</f>
        <v>1053376.58</v>
      </c>
      <c r="U19" s="2"/>
      <c r="V19" s="19"/>
      <c r="W19" s="2"/>
      <c r="X19" s="2">
        <f t="shared" si="2"/>
        <v>-664129.53</v>
      </c>
      <c r="Y19" s="2"/>
      <c r="Z19" s="19">
        <f t="shared" si="3"/>
        <v>-0.6304768328910445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--26720.7</f>
        <v>26720.7</v>
      </c>
      <c r="E20" s="2"/>
      <c r="F20" s="19"/>
      <c r="G20" s="2"/>
      <c r="H20" s="2">
        <f>--31955.67</f>
        <v>31955.67</v>
      </c>
      <c r="I20" s="2"/>
      <c r="J20" s="19"/>
      <c r="K20" s="2"/>
      <c r="L20" s="2">
        <f t="shared" si="0"/>
        <v>-5234.9699999999975</v>
      </c>
      <c r="M20" s="2"/>
      <c r="N20" s="19">
        <f t="shared" si="1"/>
        <v>-0.16381975405303653</v>
      </c>
      <c r="O20" s="11"/>
      <c r="P20" s="2">
        <f>--117726.63</f>
        <v>117726.63</v>
      </c>
      <c r="Q20" s="2"/>
      <c r="R20" s="19"/>
      <c r="S20" s="2"/>
      <c r="T20" s="2">
        <f>--168087.19</f>
        <v>168087.19</v>
      </c>
      <c r="U20" s="2"/>
      <c r="V20" s="19"/>
      <c r="W20" s="2"/>
      <c r="X20" s="2">
        <f t="shared" si="2"/>
        <v>-50360.56</v>
      </c>
      <c r="Y20" s="2"/>
      <c r="Z20" s="19">
        <f t="shared" si="3"/>
        <v>-0.29960974420477848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--5908.46</f>
        <v>5908.46</v>
      </c>
      <c r="E21" s="2"/>
      <c r="F21" s="19"/>
      <c r="G21" s="2"/>
      <c r="H21" s="2">
        <f>--31090.94</f>
        <v>31090.94</v>
      </c>
      <c r="I21" s="2"/>
      <c r="J21" s="19"/>
      <c r="K21" s="2"/>
      <c r="L21" s="2">
        <f t="shared" si="0"/>
        <v>-25182.48</v>
      </c>
      <c r="M21" s="2"/>
      <c r="N21" s="19">
        <f t="shared" si="1"/>
        <v>-0.80996200179216193</v>
      </c>
      <c r="O21" s="11"/>
      <c r="P21" s="2">
        <f>--45889.91</f>
        <v>45889.91</v>
      </c>
      <c r="Q21" s="2"/>
      <c r="R21" s="19"/>
      <c r="S21" s="2"/>
      <c r="T21" s="2">
        <f>--130266.78</f>
        <v>130266.78</v>
      </c>
      <c r="U21" s="2"/>
      <c r="V21" s="19"/>
      <c r="W21" s="2"/>
      <c r="X21" s="2">
        <f t="shared" si="2"/>
        <v>-84376.87</v>
      </c>
      <c r="Y21" s="2"/>
      <c r="Z21" s="19">
        <f t="shared" si="3"/>
        <v>-0.64772361764066011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--32553.7</f>
        <v>32553.7</v>
      </c>
      <c r="E22" s="2"/>
      <c r="F22" s="19"/>
      <c r="G22" s="2"/>
      <c r="H22" s="2">
        <f>--9247.62</f>
        <v>9247.6200000000008</v>
      </c>
      <c r="I22" s="2"/>
      <c r="J22" s="19"/>
      <c r="K22" s="2"/>
      <c r="L22" s="2">
        <f t="shared" si="0"/>
        <v>23306.080000000002</v>
      </c>
      <c r="M22" s="2"/>
      <c r="N22" s="19">
        <f t="shared" si="1"/>
        <v>2.5202246632106422</v>
      </c>
      <c r="O22" s="11"/>
      <c r="P22" s="2">
        <f>--86852.96</f>
        <v>86852.96</v>
      </c>
      <c r="Q22" s="2"/>
      <c r="R22" s="19"/>
      <c r="S22" s="2"/>
      <c r="T22" s="2">
        <f>--13936.68</f>
        <v>13936.68</v>
      </c>
      <c r="U22" s="2"/>
      <c r="V22" s="19"/>
      <c r="W22" s="2"/>
      <c r="X22" s="2">
        <f t="shared" si="2"/>
        <v>72916.28</v>
      </c>
      <c r="Y22" s="2"/>
      <c r="Z22" s="19">
        <f t="shared" si="3"/>
        <v>5.23196916338755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--10654.64</f>
        <v>10654.64</v>
      </c>
      <c r="E23" s="2"/>
      <c r="F23" s="19"/>
      <c r="G23" s="2"/>
      <c r="H23" s="2">
        <f>--4836.71</f>
        <v>4836.71</v>
      </c>
      <c r="I23" s="2"/>
      <c r="J23" s="19"/>
      <c r="K23" s="2"/>
      <c r="L23" s="2">
        <f t="shared" si="0"/>
        <v>5817.9299999999994</v>
      </c>
      <c r="M23" s="2"/>
      <c r="N23" s="19">
        <f t="shared" si="1"/>
        <v>1.2028693057884388</v>
      </c>
      <c r="O23" s="11"/>
      <c r="P23" s="2">
        <f>--24432.81</f>
        <v>24432.81</v>
      </c>
      <c r="Q23" s="2"/>
      <c r="R23" s="19"/>
      <c r="S23" s="2"/>
      <c r="T23" s="2">
        <f>--44197.15</f>
        <v>44197.15</v>
      </c>
      <c r="U23" s="2"/>
      <c r="V23" s="19"/>
      <c r="W23" s="2"/>
      <c r="X23" s="2">
        <f t="shared" si="2"/>
        <v>-19764.34</v>
      </c>
      <c r="Y23" s="2"/>
      <c r="Z23" s="19">
        <f t="shared" si="3"/>
        <v>-0.4471858479562596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--13809.08</f>
        <v>13809.08</v>
      </c>
      <c r="E24" s="2"/>
      <c r="F24" s="19"/>
      <c r="G24" s="2"/>
      <c r="H24" s="2">
        <f>--6487.38</f>
        <v>6487.38</v>
      </c>
      <c r="I24" s="2"/>
      <c r="J24" s="19"/>
      <c r="K24" s="2"/>
      <c r="L24" s="2">
        <f t="shared" si="0"/>
        <v>7321.7</v>
      </c>
      <c r="M24" s="2"/>
      <c r="N24" s="19">
        <f t="shared" si="1"/>
        <v>1.1286066177717353</v>
      </c>
      <c r="O24" s="11"/>
      <c r="P24" s="2">
        <f>--121734.78</f>
        <v>121734.78</v>
      </c>
      <c r="Q24" s="2"/>
      <c r="R24" s="19"/>
      <c r="S24" s="2"/>
      <c r="T24" s="2">
        <f>--60548.21</f>
        <v>60548.21</v>
      </c>
      <c r="U24" s="2"/>
      <c r="V24" s="19"/>
      <c r="W24" s="2"/>
      <c r="X24" s="2">
        <f t="shared" si="2"/>
        <v>61186.57</v>
      </c>
      <c r="Y24" s="2"/>
      <c r="Z24" s="19">
        <f t="shared" si="3"/>
        <v>1.0105430036660044</v>
      </c>
    </row>
    <row r="25" spans="1:26" s="24" customFormat="1" hidden="1" outlineLevel="1" x14ac:dyDescent="0.25">
      <c r="A25" s="44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19"/>
      <c r="G25" s="2"/>
      <c r="H25" s="2">
        <f t="shared" ref="H25:H32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--52.68</f>
        <v>52.68</v>
      </c>
      <c r="Q25" s="2"/>
      <c r="R25" s="19"/>
      <c r="S25" s="2"/>
      <c r="T25" s="2">
        <f t="shared" ref="T25:T32" si="7">0</f>
        <v>0</v>
      </c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--259.53</f>
        <v>259.52999999999997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259.52999999999997</v>
      </c>
      <c r="M26" s="2"/>
      <c r="N26" s="19">
        <f t="shared" si="1"/>
        <v>0</v>
      </c>
      <c r="O26" s="11"/>
      <c r="P26" s="2">
        <f>--3206.11</f>
        <v>3206.11</v>
      </c>
      <c r="Q26" s="2"/>
      <c r="R26" s="19"/>
      <c r="S26" s="2"/>
      <c r="T26" s="2">
        <f t="shared" si="7"/>
        <v>0</v>
      </c>
      <c r="U26" s="2"/>
      <c r="V26" s="19"/>
      <c r="W26" s="2"/>
      <c r="X26" s="2">
        <f t="shared" si="2"/>
        <v>3206.11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"4128", " - ", "NON-TAXABLE SALES-ART/TECH")</f>
        <v xml:space="preserve">          4128 - NON-TAXABLE SALES-ART/TECH</v>
      </c>
      <c r="C27" s="11"/>
      <c r="D27" s="2">
        <f>0</f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--24.78</f>
        <v>24.78</v>
      </c>
      <c r="Q27" s="2"/>
      <c r="R27" s="19"/>
      <c r="S27" s="2"/>
      <c r="T27" s="2">
        <f t="shared" si="7"/>
        <v>0</v>
      </c>
      <c r="U27" s="2"/>
      <c r="V27" s="19"/>
      <c r="W27" s="2"/>
      <c r="X27" s="2">
        <f t="shared" si="2"/>
        <v>24.78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>--1031.32</f>
        <v>1031.32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1031.32</v>
      </c>
      <c r="M28" s="2"/>
      <c r="N28" s="19">
        <f t="shared" si="1"/>
        <v>0</v>
      </c>
      <c r="O28" s="11"/>
      <c r="P28" s="2">
        <f>--5657.49</f>
        <v>5657.49</v>
      </c>
      <c r="Q28" s="2"/>
      <c r="R28" s="19"/>
      <c r="S28" s="2"/>
      <c r="T28" s="2">
        <f t="shared" si="7"/>
        <v>0</v>
      </c>
      <c r="U28" s="2"/>
      <c r="V28" s="19"/>
      <c r="W28" s="2"/>
      <c r="X28" s="2">
        <f t="shared" si="2"/>
        <v>5657.49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8">0</f>
        <v>0</v>
      </c>
      <c r="E29" s="2"/>
      <c r="F29" s="19"/>
      <c r="G29" s="2"/>
      <c r="H29" s="2">
        <f t="shared" si="6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--22.49</f>
        <v>22.49</v>
      </c>
      <c r="Q29" s="2"/>
      <c r="R29" s="19"/>
      <c r="S29" s="2"/>
      <c r="T29" s="2">
        <f t="shared" si="7"/>
        <v>0</v>
      </c>
      <c r="U29" s="2"/>
      <c r="V29" s="19"/>
      <c r="W29" s="2"/>
      <c r="X29" s="2">
        <f t="shared" si="2"/>
        <v>22.49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8"/>
        <v>0</v>
      </c>
      <c r="E30" s="2"/>
      <c r="F30" s="19"/>
      <c r="G30" s="2"/>
      <c r="H30" s="2">
        <f t="shared" si="6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--80.71</f>
        <v>80.709999999999994</v>
      </c>
      <c r="Q30" s="2"/>
      <c r="R30" s="19"/>
      <c r="S30" s="2"/>
      <c r="T30" s="2">
        <f t="shared" si="7"/>
        <v>0</v>
      </c>
      <c r="U30" s="2"/>
      <c r="V30" s="19"/>
      <c r="W30" s="2"/>
      <c r="X30" s="2">
        <f t="shared" si="2"/>
        <v>80.709999999999994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8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--45.53</f>
        <v>45.53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45.53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8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--59.25</f>
        <v>59.25</v>
      </c>
      <c r="Q32" s="2"/>
      <c r="R32" s="19"/>
      <c r="S32" s="2"/>
      <c r="T32" s="2">
        <f t="shared" si="7"/>
        <v>0</v>
      </c>
      <c r="U32" s="2"/>
      <c r="V32" s="19"/>
      <c r="W32" s="2"/>
      <c r="X32" s="2">
        <f t="shared" si="2"/>
        <v>59.25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--53650.7</f>
        <v>53650.7</v>
      </c>
      <c r="E33" s="2"/>
      <c r="F33" s="19"/>
      <c r="G33" s="2"/>
      <c r="H33" s="2">
        <f>--18815.05</f>
        <v>18815.05</v>
      </c>
      <c r="I33" s="2"/>
      <c r="J33" s="19"/>
      <c r="K33" s="2"/>
      <c r="L33" s="2">
        <f t="shared" si="0"/>
        <v>34835.649999999994</v>
      </c>
      <c r="M33" s="2"/>
      <c r="N33" s="19">
        <f t="shared" si="1"/>
        <v>1.851477939202925</v>
      </c>
      <c r="O33" s="11"/>
      <c r="P33" s="2">
        <f>--103805.19</f>
        <v>103805.19</v>
      </c>
      <c r="Q33" s="2"/>
      <c r="R33" s="19"/>
      <c r="S33" s="2"/>
      <c r="T33" s="2">
        <f>--38823.84</f>
        <v>38823.839999999997</v>
      </c>
      <c r="U33" s="2"/>
      <c r="V33" s="19"/>
      <c r="W33" s="2"/>
      <c r="X33" s="2">
        <f t="shared" si="2"/>
        <v>64981.350000000006</v>
      </c>
      <c r="Y33" s="2"/>
      <c r="Z33" s="19">
        <f t="shared" si="3"/>
        <v>1.673748655465302</v>
      </c>
    </row>
    <row r="34" spans="1:26" s="24" customFormat="1" hidden="1" outlineLevel="1" x14ac:dyDescent="0.25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--1772.08</f>
        <v>1772.08</v>
      </c>
      <c r="E34" s="2"/>
      <c r="F34" s="19"/>
      <c r="G34" s="2"/>
      <c r="H34" s="2">
        <f>--699.6</f>
        <v>699.6</v>
      </c>
      <c r="I34" s="2"/>
      <c r="J34" s="19"/>
      <c r="K34" s="2"/>
      <c r="L34" s="2">
        <f t="shared" si="0"/>
        <v>1072.48</v>
      </c>
      <c r="M34" s="2"/>
      <c r="N34" s="19">
        <f t="shared" si="1"/>
        <v>1.5329902801600914</v>
      </c>
      <c r="O34" s="11"/>
      <c r="P34" s="2">
        <f>--5449.6</f>
        <v>5449.6</v>
      </c>
      <c r="Q34" s="2"/>
      <c r="R34" s="19"/>
      <c r="S34" s="2"/>
      <c r="T34" s="2">
        <f>--2377.13</f>
        <v>2377.13</v>
      </c>
      <c r="U34" s="2"/>
      <c r="V34" s="19"/>
      <c r="W34" s="2"/>
      <c r="X34" s="2">
        <f t="shared" si="2"/>
        <v>3072.4700000000003</v>
      </c>
      <c r="Y34" s="2"/>
      <c r="Z34" s="19">
        <f t="shared" si="3"/>
        <v>1.2925123994060064</v>
      </c>
    </row>
    <row r="35" spans="1:26" s="24" customFormat="1" hidden="1" outlineLevel="1" x14ac:dyDescent="0.25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0</f>
        <v>0</v>
      </c>
      <c r="E35" s="2"/>
      <c r="F35" s="19"/>
      <c r="G35" s="2"/>
      <c r="H35" s="2">
        <f>--1180.46</f>
        <v>1180.46</v>
      </c>
      <c r="I35" s="2"/>
      <c r="J35" s="19"/>
      <c r="K35" s="2"/>
      <c r="L35" s="2">
        <f t="shared" si="0"/>
        <v>-1180.46</v>
      </c>
      <c r="M35" s="2"/>
      <c r="N35" s="19">
        <f t="shared" si="1"/>
        <v>-1</v>
      </c>
      <c r="O35" s="11"/>
      <c r="P35" s="2">
        <f>--1097.6</f>
        <v>1097.5999999999999</v>
      </c>
      <c r="Q35" s="2"/>
      <c r="R35" s="19"/>
      <c r="S35" s="2"/>
      <c r="T35" s="2">
        <f>--3437.46</f>
        <v>3437.46</v>
      </c>
      <c r="U35" s="2"/>
      <c r="V35" s="19"/>
      <c r="W35" s="2"/>
      <c r="X35" s="2">
        <f t="shared" si="2"/>
        <v>-2339.86</v>
      </c>
      <c r="Y35" s="2"/>
      <c r="Z35" s="19">
        <f t="shared" si="3"/>
        <v>-0.68069446626288022</v>
      </c>
    </row>
    <row r="36" spans="1:26" s="24" customFormat="1" hidden="1" outlineLevel="1" x14ac:dyDescent="0.25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>--1697.07</f>
        <v>1697.07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1697.07</v>
      </c>
      <c r="M36" s="2"/>
      <c r="N36" s="19">
        <f t="shared" si="1"/>
        <v>0</v>
      </c>
      <c r="O36" s="11"/>
      <c r="P36" s="2">
        <f>--1737.03</f>
        <v>1737.03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1737.03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--99.8</f>
        <v>99.8</v>
      </c>
      <c r="E37" s="2"/>
      <c r="F37" s="19"/>
      <c r="G37" s="2"/>
      <c r="H37" s="2">
        <f>--351.29</f>
        <v>351.29</v>
      </c>
      <c r="I37" s="2"/>
      <c r="J37" s="19"/>
      <c r="K37" s="2"/>
      <c r="L37" s="2">
        <f t="shared" si="0"/>
        <v>-251.49</v>
      </c>
      <c r="M37" s="2"/>
      <c r="N37" s="19">
        <f t="shared" si="1"/>
        <v>-0.71590423866321273</v>
      </c>
      <c r="O37" s="11"/>
      <c r="P37" s="2">
        <f>--489.5</f>
        <v>489.5</v>
      </c>
      <c r="Q37" s="2"/>
      <c r="R37" s="19"/>
      <c r="S37" s="2"/>
      <c r="T37" s="2">
        <f>--592.85</f>
        <v>592.85</v>
      </c>
      <c r="U37" s="2"/>
      <c r="V37" s="19"/>
      <c r="W37" s="2"/>
      <c r="X37" s="2">
        <f t="shared" si="2"/>
        <v>-103.35000000000002</v>
      </c>
      <c r="Y37" s="2"/>
      <c r="Z37" s="19">
        <f t="shared" si="3"/>
        <v>-0.17432740153495829</v>
      </c>
    </row>
    <row r="38" spans="1:26" s="24" customFormat="1" hidden="1" outlineLevel="1" x14ac:dyDescent="0.25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>--16747.77</f>
        <v>16747.77</v>
      </c>
      <c r="E38" s="2"/>
      <c r="F38" s="19"/>
      <c r="G38" s="2"/>
      <c r="H38" s="2">
        <f t="shared" ref="H38:H41" si="9">0</f>
        <v>0</v>
      </c>
      <c r="I38" s="2"/>
      <c r="J38" s="19"/>
      <c r="K38" s="2"/>
      <c r="L38" s="2">
        <f t="shared" si="0"/>
        <v>16747.77</v>
      </c>
      <c r="M38" s="2"/>
      <c r="N38" s="19">
        <f t="shared" si="1"/>
        <v>0</v>
      </c>
      <c r="O38" s="11"/>
      <c r="P38" s="2">
        <f>--55386.77</f>
        <v>55386.77</v>
      </c>
      <c r="Q38" s="2"/>
      <c r="R38" s="19"/>
      <c r="S38" s="2"/>
      <c r="T38" s="2">
        <f>--140</f>
        <v>140</v>
      </c>
      <c r="U38" s="2"/>
      <c r="V38" s="19"/>
      <c r="W38" s="2"/>
      <c r="X38" s="2">
        <f t="shared" si="2"/>
        <v>55246.77</v>
      </c>
      <c r="Y38" s="2"/>
      <c r="Z38" s="19">
        <f t="shared" si="3"/>
        <v>394.61978571428568</v>
      </c>
    </row>
    <row r="39" spans="1:26" s="24" customFormat="1" hidden="1" outlineLevel="1" x14ac:dyDescent="0.25">
      <c r="A39" s="44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0</f>
        <v>0</v>
      </c>
      <c r="E39" s="2"/>
      <c r="F39" s="19"/>
      <c r="G39" s="2"/>
      <c r="H39" s="2">
        <f t="shared" si="9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-6.38</f>
        <v>-6.38</v>
      </c>
      <c r="Q39" s="2"/>
      <c r="R39" s="19"/>
      <c r="S39" s="2"/>
      <c r="T39" s="2">
        <f t="shared" ref="T39:T41" si="10">0</f>
        <v>0</v>
      </c>
      <c r="U39" s="2"/>
      <c r="V39" s="19"/>
      <c r="W39" s="2"/>
      <c r="X39" s="2">
        <f t="shared" si="2"/>
        <v>-6.38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-16.6</f>
        <v>-16.600000000000001</v>
      </c>
      <c r="E40" s="2"/>
      <c r="F40" s="19"/>
      <c r="G40" s="2"/>
      <c r="H40" s="2">
        <f t="shared" si="9"/>
        <v>0</v>
      </c>
      <c r="I40" s="2"/>
      <c r="J40" s="19"/>
      <c r="K40" s="2"/>
      <c r="L40" s="2">
        <f t="shared" si="0"/>
        <v>-16.600000000000001</v>
      </c>
      <c r="M40" s="2"/>
      <c r="N40" s="19">
        <f t="shared" si="1"/>
        <v>0</v>
      </c>
      <c r="O40" s="11"/>
      <c r="P40" s="2">
        <f>-437.27</f>
        <v>-437.27</v>
      </c>
      <c r="Q40" s="2"/>
      <c r="R40" s="19"/>
      <c r="S40" s="2"/>
      <c r="T40" s="2">
        <f t="shared" si="10"/>
        <v>0</v>
      </c>
      <c r="U40" s="2"/>
      <c r="V40" s="19"/>
      <c r="W40" s="2"/>
      <c r="X40" s="2">
        <f t="shared" si="2"/>
        <v>-437.27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0</f>
        <v>0</v>
      </c>
      <c r="E41" s="2"/>
      <c r="F41" s="19"/>
      <c r="G41" s="2"/>
      <c r="H41" s="2">
        <f t="shared" si="9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-32.49</f>
        <v>-32.49</v>
      </c>
      <c r="Q41" s="2"/>
      <c r="R41" s="19"/>
      <c r="S41" s="2"/>
      <c r="T41" s="2">
        <f t="shared" si="10"/>
        <v>0</v>
      </c>
      <c r="U41" s="2"/>
      <c r="V41" s="19"/>
      <c r="W41" s="2"/>
      <c r="X41" s="2">
        <f t="shared" si="2"/>
        <v>-32.49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-3521.73</f>
        <v>-3521.73</v>
      </c>
      <c r="E42" s="2"/>
      <c r="F42" s="19"/>
      <c r="G42" s="2"/>
      <c r="H42" s="2">
        <f>-6412.85</f>
        <v>-6412.85</v>
      </c>
      <c r="I42" s="2"/>
      <c r="J42" s="19"/>
      <c r="K42" s="2"/>
      <c r="L42" s="2">
        <f t="shared" si="0"/>
        <v>2891.1200000000003</v>
      </c>
      <c r="M42" s="2"/>
      <c r="N42" s="19">
        <f t="shared" si="1"/>
        <v>-0.45083231324606066</v>
      </c>
      <c r="O42" s="11"/>
      <c r="P42" s="2">
        <f>-16327.37</f>
        <v>-16327.37</v>
      </c>
      <c r="Q42" s="2"/>
      <c r="R42" s="19"/>
      <c r="S42" s="2"/>
      <c r="T42" s="2">
        <f>-40870.78</f>
        <v>-40870.78</v>
      </c>
      <c r="U42" s="2"/>
      <c r="V42" s="19"/>
      <c r="W42" s="2"/>
      <c r="X42" s="2">
        <f t="shared" si="2"/>
        <v>24543.409999999996</v>
      </c>
      <c r="Y42" s="2"/>
      <c r="Z42" s="19">
        <f t="shared" si="3"/>
        <v>-0.60051239540816193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-623</f>
        <v>-623</v>
      </c>
      <c r="E43" s="2"/>
      <c r="F43" s="19"/>
      <c r="G43" s="2"/>
      <c r="H43" s="2">
        <f>-839.58</f>
        <v>-839.58</v>
      </c>
      <c r="I43" s="2"/>
      <c r="J43" s="19"/>
      <c r="K43" s="2"/>
      <c r="L43" s="2">
        <f t="shared" si="0"/>
        <v>216.58000000000004</v>
      </c>
      <c r="M43" s="2"/>
      <c r="N43" s="19">
        <f t="shared" si="1"/>
        <v>-0.25796231449057866</v>
      </c>
      <c r="O43" s="11"/>
      <c r="P43" s="2">
        <f>-2447.25</f>
        <v>-2447.25</v>
      </c>
      <c r="Q43" s="2"/>
      <c r="R43" s="19"/>
      <c r="S43" s="2"/>
      <c r="T43" s="2">
        <f>-2545.01</f>
        <v>-2545.0100000000002</v>
      </c>
      <c r="U43" s="2"/>
      <c r="V43" s="19"/>
      <c r="W43" s="2"/>
      <c r="X43" s="2">
        <f t="shared" si="2"/>
        <v>97.760000000000218</v>
      </c>
      <c r="Y43" s="2"/>
      <c r="Z43" s="19">
        <f t="shared" si="3"/>
        <v>-3.8412422740971633E-2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-151.56</f>
        <v>-151.56</v>
      </c>
      <c r="E44" s="2"/>
      <c r="F44" s="19"/>
      <c r="G44" s="2"/>
      <c r="H44" s="2">
        <f>-854.18</f>
        <v>-854.18</v>
      </c>
      <c r="I44" s="2"/>
      <c r="J44" s="19"/>
      <c r="K44" s="2"/>
      <c r="L44" s="2">
        <f t="shared" si="0"/>
        <v>702.61999999999989</v>
      </c>
      <c r="M44" s="2"/>
      <c r="N44" s="19">
        <f t="shared" si="1"/>
        <v>-0.8225666721299959</v>
      </c>
      <c r="O44" s="11"/>
      <c r="P44" s="2">
        <f>-1365.77</f>
        <v>-1365.77</v>
      </c>
      <c r="Q44" s="2"/>
      <c r="R44" s="19"/>
      <c r="S44" s="2"/>
      <c r="T44" s="2">
        <f>-2014.76</f>
        <v>-2014.76</v>
      </c>
      <c r="U44" s="2"/>
      <c r="V44" s="19"/>
      <c r="W44" s="2"/>
      <c r="X44" s="2">
        <f t="shared" si="2"/>
        <v>648.99</v>
      </c>
      <c r="Y44" s="2"/>
      <c r="Z44" s="19">
        <f t="shared" si="3"/>
        <v>-0.32211777085111876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>-1765.08</f>
        <v>-1765.08</v>
      </c>
      <c r="E45" s="2"/>
      <c r="F45" s="19"/>
      <c r="G45" s="2"/>
      <c r="H45" s="2">
        <f>-558.63</f>
        <v>-558.63</v>
      </c>
      <c r="I45" s="2"/>
      <c r="J45" s="19"/>
      <c r="K45" s="2"/>
      <c r="L45" s="2">
        <f t="shared" si="0"/>
        <v>-1206.4499999999998</v>
      </c>
      <c r="M45" s="2"/>
      <c r="N45" s="19">
        <f t="shared" si="1"/>
        <v>2.1596584501369418</v>
      </c>
      <c r="O45" s="11"/>
      <c r="P45" s="2">
        <f>-3577.54</f>
        <v>-3577.54</v>
      </c>
      <c r="Q45" s="2"/>
      <c r="R45" s="19"/>
      <c r="S45" s="2"/>
      <c r="T45" s="2">
        <f>-879.47</f>
        <v>-879.47</v>
      </c>
      <c r="U45" s="2"/>
      <c r="V45" s="19"/>
      <c r="W45" s="2"/>
      <c r="X45" s="2">
        <f t="shared" si="2"/>
        <v>-2698.0699999999997</v>
      </c>
      <c r="Y45" s="2"/>
      <c r="Z45" s="19">
        <f t="shared" si="3"/>
        <v>3.0678363105051902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-270</f>
        <v>-270</v>
      </c>
      <c r="E46" s="2"/>
      <c r="F46" s="19"/>
      <c r="G46" s="2"/>
      <c r="H46" s="2">
        <f>-137.76</f>
        <v>-137.76</v>
      </c>
      <c r="I46" s="2"/>
      <c r="J46" s="19"/>
      <c r="K46" s="2"/>
      <c r="L46" s="2">
        <f t="shared" si="0"/>
        <v>-132.24</v>
      </c>
      <c r="M46" s="2"/>
      <c r="N46" s="19">
        <f t="shared" si="1"/>
        <v>0.95993031358885028</v>
      </c>
      <c r="O46" s="11"/>
      <c r="P46" s="2">
        <f>-860.94</f>
        <v>-860.94</v>
      </c>
      <c r="Q46" s="2"/>
      <c r="R46" s="19"/>
      <c r="S46" s="2"/>
      <c r="T46" s="2">
        <f>-1600.97</f>
        <v>-1600.97</v>
      </c>
      <c r="U46" s="2"/>
      <c r="V46" s="19"/>
      <c r="W46" s="2"/>
      <c r="X46" s="2">
        <f t="shared" si="2"/>
        <v>740.03</v>
      </c>
      <c r="Y46" s="2"/>
      <c r="Z46" s="19">
        <f t="shared" si="3"/>
        <v>-0.46223851789852399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-9752.79</f>
        <v>-9752.7900000000009</v>
      </c>
      <c r="E47" s="2"/>
      <c r="F47" s="19"/>
      <c r="G47" s="2"/>
      <c r="H47" s="2">
        <f>0</f>
        <v>0</v>
      </c>
      <c r="I47" s="2"/>
      <c r="J47" s="19"/>
      <c r="K47" s="2"/>
      <c r="L47" s="2">
        <f t="shared" si="0"/>
        <v>-9752.7900000000009</v>
      </c>
      <c r="M47" s="2"/>
      <c r="N47" s="19">
        <f t="shared" si="1"/>
        <v>0</v>
      </c>
      <c r="O47" s="11"/>
      <c r="P47" s="2">
        <f>-11338.61</f>
        <v>-11338.61</v>
      </c>
      <c r="Q47" s="2"/>
      <c r="R47" s="19"/>
      <c r="S47" s="2"/>
      <c r="T47" s="2">
        <f>-81.97</f>
        <v>-81.97</v>
      </c>
      <c r="U47" s="2"/>
      <c r="V47" s="19"/>
      <c r="W47" s="2"/>
      <c r="X47" s="2">
        <f t="shared" si="2"/>
        <v>-11256.640000000001</v>
      </c>
      <c r="Y47" s="2"/>
      <c r="Z47" s="19">
        <f t="shared" si="3"/>
        <v>137.32633890447727</v>
      </c>
    </row>
    <row r="48" spans="1:26" s="24" customFormat="1" hidden="1" outlineLevel="1" x14ac:dyDescent="0.25">
      <c r="A48" s="44"/>
      <c r="B48" s="11" t="str">
        <f>CONCATENATE("          ", "4340", " - ", "SALES RETURN NON TAXABLE-LOGO")</f>
        <v xml:space="preserve">          4340 - SALES RETURN NON TAXABLE-LOGO</v>
      </c>
      <c r="C48" s="11"/>
      <c r="D48" s="2">
        <f>-543.24</f>
        <v>-543.24</v>
      </c>
      <c r="E48" s="2"/>
      <c r="F48" s="19"/>
      <c r="G48" s="2"/>
      <c r="H48" s="2">
        <f>-391.5</f>
        <v>-391.5</v>
      </c>
      <c r="I48" s="2"/>
      <c r="J48" s="19"/>
      <c r="K48" s="2"/>
      <c r="L48" s="2">
        <f t="shared" si="0"/>
        <v>-151.74</v>
      </c>
      <c r="M48" s="2"/>
      <c r="N48" s="19">
        <f t="shared" si="1"/>
        <v>0.38758620689655177</v>
      </c>
      <c r="O48" s="11"/>
      <c r="P48" s="2">
        <f>-1483.72</f>
        <v>-1483.72</v>
      </c>
      <c r="Q48" s="2"/>
      <c r="R48" s="19"/>
      <c r="S48" s="2"/>
      <c r="T48" s="2">
        <f>-714.9</f>
        <v>-714.9</v>
      </c>
      <c r="U48" s="2"/>
      <c r="V48" s="19"/>
      <c r="W48" s="2"/>
      <c r="X48" s="2">
        <f t="shared" si="2"/>
        <v>-768.82</v>
      </c>
      <c r="Y48" s="2"/>
      <c r="Z48" s="19">
        <f t="shared" si="3"/>
        <v>1.0754231361029516</v>
      </c>
    </row>
    <row r="49" spans="1:26" s="24" customFormat="1" hidden="1" outlineLevel="1" x14ac:dyDescent="0.25">
      <c r="A49" s="44"/>
      <c r="B49" s="11" t="str">
        <f>CONCATENATE("          ", "4341", " - ", "SALES RETURN NON TAXABLE-LOGO")</f>
        <v xml:space="preserve">          4341 - SALES RETURN NON TAXABLE-LOGO</v>
      </c>
      <c r="C49" s="11"/>
      <c r="D49" s="2">
        <f>-33.85</f>
        <v>-33.85</v>
      </c>
      <c r="E49" s="2"/>
      <c r="F49" s="19"/>
      <c r="G49" s="2"/>
      <c r="H49" s="2">
        <f>-9.95</f>
        <v>-9.9499999999999993</v>
      </c>
      <c r="I49" s="2"/>
      <c r="J49" s="19"/>
      <c r="K49" s="2"/>
      <c r="L49" s="2">
        <f t="shared" si="0"/>
        <v>-23.900000000000002</v>
      </c>
      <c r="M49" s="2"/>
      <c r="N49" s="19">
        <f t="shared" si="1"/>
        <v>2.4020100502512567</v>
      </c>
      <c r="O49" s="11"/>
      <c r="P49" s="2">
        <f>-335.64</f>
        <v>-335.64</v>
      </c>
      <c r="Q49" s="2"/>
      <c r="R49" s="19"/>
      <c r="S49" s="2"/>
      <c r="T49" s="2">
        <f>-20.85</f>
        <v>-20.85</v>
      </c>
      <c r="U49" s="2"/>
      <c r="V49" s="19"/>
      <c r="W49" s="2"/>
      <c r="X49" s="2">
        <f t="shared" si="2"/>
        <v>-314.78999999999996</v>
      </c>
      <c r="Y49" s="2"/>
      <c r="Z49" s="19">
        <f t="shared" si="3"/>
        <v>15.097841726618702</v>
      </c>
    </row>
    <row r="50" spans="1:26" s="24" customFormat="1" hidden="1" outlineLevel="1" x14ac:dyDescent="0.25">
      <c r="A50" s="44"/>
      <c r="B50" s="11" t="str">
        <f>CONCATENATE("          ", "4342", " - ", "SALES RETURN NON TAXABLE-EVERY")</f>
        <v xml:space="preserve">          4342 - SALES RETURN NON TAXABLE-EVERY</v>
      </c>
      <c r="C50" s="11"/>
      <c r="D50" s="2">
        <f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-118.7</f>
        <v>-118.7</v>
      </c>
      <c r="Q50" s="2"/>
      <c r="R50" s="19"/>
      <c r="S50" s="2"/>
      <c r="T50" s="2">
        <f>-109.8</f>
        <v>-109.8</v>
      </c>
      <c r="U50" s="2"/>
      <c r="V50" s="19"/>
      <c r="W50" s="2"/>
      <c r="X50" s="2">
        <f t="shared" si="2"/>
        <v>-8.9000000000000057</v>
      </c>
      <c r="Y50" s="2"/>
      <c r="Z50" s="19">
        <f t="shared" si="3"/>
        <v>8.1056466302367999E-2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9" t="s">
        <v>8</v>
      </c>
      <c r="C52" s="10"/>
      <c r="D52" s="4">
        <f>SUM(OSRRefD16x_0)</f>
        <v>103947.99999999999</v>
      </c>
      <c r="E52" s="4"/>
      <c r="F52" s="12">
        <f t="shared" ref="F52:F75" si="11">IF(D$12=0,0,D52/D$12)</f>
        <v>0.59145151480788105</v>
      </c>
      <c r="G52" s="4"/>
      <c r="H52" s="4">
        <f>SUM(OSRRefH16x_0)</f>
        <v>116910.49999999997</v>
      </c>
      <c r="I52" s="4"/>
      <c r="J52" s="12">
        <f t="shared" ref="J52:J75" si="12">IF(H$12=0,0,H52/H$12)</f>
        <v>0.47242963976373681</v>
      </c>
      <c r="K52" s="4"/>
      <c r="L52" s="4">
        <f t="shared" ref="L52:L75" si="13">+D52-H52</f>
        <v>-12962.499999999985</v>
      </c>
      <c r="M52" s="4"/>
      <c r="N52" s="12">
        <f t="shared" ref="N52:N75" si="14">IF(H52=0,0,L52/H52)</f>
        <v>-0.11087541324346392</v>
      </c>
      <c r="O52" s="10"/>
      <c r="P52" s="4">
        <f>SUM(OSRRefP16x_0)</f>
        <v>534667.54</v>
      </c>
      <c r="Q52" s="4"/>
      <c r="R52" s="12">
        <f t="shared" ref="R52:R75" si="15">IF(P$12=0,0,P52/P$12)</f>
        <v>0.6037324425087498</v>
      </c>
      <c r="S52" s="4"/>
      <c r="T52" s="4">
        <f>SUM(OSRRefT16x_0)</f>
        <v>684492.40999999992</v>
      </c>
      <c r="U52" s="4"/>
      <c r="V52" s="12">
        <f t="shared" ref="V52:V75" si="16">IF(T$12=0,0,T52/T$12)</f>
        <v>0.46661070593658649</v>
      </c>
      <c r="W52" s="4"/>
      <c r="X52" s="4">
        <f t="shared" ref="X52:X75" si="17">+P52-T52</f>
        <v>-149824.86999999988</v>
      </c>
      <c r="Y52" s="4"/>
      <c r="Z52" s="12">
        <f t="shared" ref="Z52:Z75" si="18">IF(T52=0,0,X52/T52)</f>
        <v>-0.21888463306700492</v>
      </c>
    </row>
    <row r="53" spans="1:26" s="24" customFormat="1" hidden="1" outlineLevel="1" x14ac:dyDescent="0.25">
      <c r="A53" s="44"/>
      <c r="B53" s="11" t="str">
        <f>CONCATENATE("          ", "5025", " - ", "PURCHASES @ COST-TEST FORMS")</f>
        <v xml:space="preserve">          5025 - PURCHASES @ COST-TEST FORMS</v>
      </c>
      <c r="C53" s="11"/>
      <c r="D53" s="2"/>
      <c r="E53" s="2"/>
      <c r="F53" s="19">
        <f t="shared" si="11"/>
        <v>0</v>
      </c>
      <c r="G53" s="2"/>
      <c r="H53" s="2"/>
      <c r="I53" s="2"/>
      <c r="J53" s="19">
        <f t="shared" si="12"/>
        <v>0</v>
      </c>
      <c r="K53" s="2"/>
      <c r="L53" s="2">
        <f t="shared" si="13"/>
        <v>0</v>
      </c>
      <c r="M53" s="2"/>
      <c r="N53" s="19">
        <f t="shared" si="14"/>
        <v>0</v>
      </c>
      <c r="O53" s="11"/>
      <c r="P53" s="2">
        <v>599.29</v>
      </c>
      <c r="Q53" s="2"/>
      <c r="R53" s="19">
        <f t="shared" si="15"/>
        <v>6.7670241487087219E-4</v>
      </c>
      <c r="S53" s="2"/>
      <c r="T53" s="2"/>
      <c r="U53" s="2"/>
      <c r="V53" s="19">
        <f t="shared" si="16"/>
        <v>0</v>
      </c>
      <c r="W53" s="2"/>
      <c r="X53" s="2">
        <f t="shared" si="17"/>
        <v>599.29</v>
      </c>
      <c r="Y53" s="2"/>
      <c r="Z53" s="19">
        <f t="shared" si="18"/>
        <v>0</v>
      </c>
    </row>
    <row r="54" spans="1:26" s="24" customFormat="1" hidden="1" outlineLevel="1" x14ac:dyDescent="0.25">
      <c r="A54" s="44"/>
      <c r="B54" s="11" t="str">
        <f>CONCATENATE("          ", "5026", " - ", "PURCHASES @ COST-WRITING INSTR")</f>
        <v xml:space="preserve">          5026 - PURCHASES @ COST-WRITING INSTR</v>
      </c>
      <c r="C54" s="11"/>
      <c r="D54" s="2"/>
      <c r="E54" s="2"/>
      <c r="F54" s="19">
        <f t="shared" si="11"/>
        <v>0</v>
      </c>
      <c r="G54" s="2"/>
      <c r="H54" s="2"/>
      <c r="I54" s="2"/>
      <c r="J54" s="19">
        <f t="shared" si="12"/>
        <v>0</v>
      </c>
      <c r="K54" s="2"/>
      <c r="L54" s="2">
        <f t="shared" si="13"/>
        <v>0</v>
      </c>
      <c r="M54" s="2"/>
      <c r="N54" s="19">
        <f t="shared" si="14"/>
        <v>0</v>
      </c>
      <c r="O54" s="11"/>
      <c r="P54" s="2">
        <v>10</v>
      </c>
      <c r="Q54" s="2"/>
      <c r="R54" s="19">
        <f t="shared" si="15"/>
        <v>1.129173546815185E-5</v>
      </c>
      <c r="S54" s="2"/>
      <c r="T54" s="2"/>
      <c r="U54" s="2"/>
      <c r="V54" s="19">
        <f t="shared" si="16"/>
        <v>0</v>
      </c>
      <c r="W54" s="2"/>
      <c r="X54" s="2">
        <f t="shared" si="17"/>
        <v>10</v>
      </c>
      <c r="Y54" s="2"/>
      <c r="Z54" s="19">
        <f t="shared" si="18"/>
        <v>0</v>
      </c>
    </row>
    <row r="55" spans="1:26" s="24" customFormat="1" hidden="1" outlineLevel="1" x14ac:dyDescent="0.25">
      <c r="A55" s="44"/>
      <c r="B55" s="11" t="str">
        <f>CONCATENATE("          ", "5027", " - ", "PURCHASES @ COST-SCHOOL SUPPLI")</f>
        <v xml:space="preserve">          5027 - PURCHASES @ COST-SCHOOL SUPPLI</v>
      </c>
      <c r="C55" s="11"/>
      <c r="D55" s="2"/>
      <c r="E55" s="2"/>
      <c r="F55" s="19">
        <f t="shared" si="11"/>
        <v>0</v>
      </c>
      <c r="G55" s="2"/>
      <c r="H55" s="2"/>
      <c r="I55" s="2"/>
      <c r="J55" s="19">
        <f t="shared" si="12"/>
        <v>0</v>
      </c>
      <c r="K55" s="2"/>
      <c r="L55" s="2">
        <f t="shared" si="13"/>
        <v>0</v>
      </c>
      <c r="M55" s="2"/>
      <c r="N55" s="19">
        <f t="shared" si="14"/>
        <v>0</v>
      </c>
      <c r="O55" s="11"/>
      <c r="P55" s="2">
        <v>18175.88</v>
      </c>
      <c r="Q55" s="2"/>
      <c r="R55" s="19">
        <f t="shared" si="15"/>
        <v>2.0523722886087184E-2</v>
      </c>
      <c r="S55" s="2"/>
      <c r="T55" s="2"/>
      <c r="U55" s="2"/>
      <c r="V55" s="19">
        <f t="shared" si="16"/>
        <v>0</v>
      </c>
      <c r="W55" s="2"/>
      <c r="X55" s="2">
        <f t="shared" si="17"/>
        <v>18175.88</v>
      </c>
      <c r="Y55" s="2"/>
      <c r="Z55" s="19">
        <f t="shared" si="18"/>
        <v>0</v>
      </c>
    </row>
    <row r="56" spans="1:26" s="24" customFormat="1" hidden="1" outlineLevel="1" x14ac:dyDescent="0.25">
      <c r="A56" s="44"/>
      <c r="B56" s="11" t="str">
        <f>CONCATENATE("          ", "5028", " - ", "PURCHASES @ COST-ART/TECH")</f>
        <v xml:space="preserve">          5028 - PURCHASES @ COST-ART/TECH</v>
      </c>
      <c r="C56" s="11"/>
      <c r="D56" s="2"/>
      <c r="E56" s="2"/>
      <c r="F56" s="19">
        <f t="shared" si="11"/>
        <v>0</v>
      </c>
      <c r="G56" s="2"/>
      <c r="H56" s="2"/>
      <c r="I56" s="2"/>
      <c r="J56" s="19">
        <f t="shared" si="12"/>
        <v>0</v>
      </c>
      <c r="K56" s="2"/>
      <c r="L56" s="2">
        <f t="shared" si="13"/>
        <v>0</v>
      </c>
      <c r="M56" s="2"/>
      <c r="N56" s="19">
        <f t="shared" si="14"/>
        <v>0</v>
      </c>
      <c r="O56" s="11"/>
      <c r="P56" s="2">
        <v>-83.4</v>
      </c>
      <c r="Q56" s="2"/>
      <c r="R56" s="19">
        <f t="shared" si="15"/>
        <v>-9.4173073804386438E-5</v>
      </c>
      <c r="S56" s="2"/>
      <c r="T56" s="2"/>
      <c r="U56" s="2"/>
      <c r="V56" s="19">
        <f t="shared" si="16"/>
        <v>0</v>
      </c>
      <c r="W56" s="2"/>
      <c r="X56" s="2">
        <f t="shared" si="17"/>
        <v>-83.4</v>
      </c>
      <c r="Y56" s="2"/>
      <c r="Z56" s="19">
        <f t="shared" si="18"/>
        <v>0</v>
      </c>
    </row>
    <row r="57" spans="1:26" s="24" customFormat="1" hidden="1" outlineLevel="1" x14ac:dyDescent="0.25">
      <c r="A57" s="44"/>
      <c r="B57" s="11" t="str">
        <f>CONCATENATE("          ", "5031", " - ", "PURCHASES @ COST-FOOD")</f>
        <v xml:space="preserve">          5031 - PURCHASES @ COST-FOOD</v>
      </c>
      <c r="C57" s="11"/>
      <c r="D57" s="2">
        <v>-771.9</v>
      </c>
      <c r="E57" s="2"/>
      <c r="F57" s="19">
        <f t="shared" si="11"/>
        <v>-4.3920173960076518E-3</v>
      </c>
      <c r="G57" s="2"/>
      <c r="H57" s="2"/>
      <c r="I57" s="2"/>
      <c r="J57" s="19">
        <f t="shared" si="12"/>
        <v>0</v>
      </c>
      <c r="K57" s="2"/>
      <c r="L57" s="2">
        <f t="shared" si="13"/>
        <v>-771.9</v>
      </c>
      <c r="M57" s="2"/>
      <c r="N57" s="19">
        <f t="shared" si="14"/>
        <v>0</v>
      </c>
      <c r="O57" s="11"/>
      <c r="P57" s="2">
        <v>4833.53</v>
      </c>
      <c r="Q57" s="2"/>
      <c r="R57" s="19">
        <f t="shared" si="15"/>
        <v>5.457894213737601E-3</v>
      </c>
      <c r="S57" s="2"/>
      <c r="T57" s="2"/>
      <c r="U57" s="2"/>
      <c r="V57" s="19">
        <f t="shared" si="16"/>
        <v>0</v>
      </c>
      <c r="W57" s="2"/>
      <c r="X57" s="2">
        <f t="shared" si="17"/>
        <v>4833.53</v>
      </c>
      <c r="Y57" s="2"/>
      <c r="Z57" s="19">
        <f t="shared" si="18"/>
        <v>0</v>
      </c>
    </row>
    <row r="58" spans="1:26" s="24" customFormat="1" hidden="1" outlineLevel="1" x14ac:dyDescent="0.25">
      <c r="A58" s="44"/>
      <c r="B58" s="11" t="str">
        <f>CONCATENATE("          ", "5040", " - ", "PURCHASES @ COST-LOGO CLOTHING")</f>
        <v xml:space="preserve">          5040 - PURCHASES @ COST-LOGO CLOTHING</v>
      </c>
      <c r="C58" s="11"/>
      <c r="D58" s="2">
        <v>38175.120000000003</v>
      </c>
      <c r="E58" s="2"/>
      <c r="F58" s="19">
        <f t="shared" si="11"/>
        <v>0.21721180351687996</v>
      </c>
      <c r="G58" s="2"/>
      <c r="H58" s="2">
        <v>67271.37</v>
      </c>
      <c r="I58" s="2"/>
      <c r="J58" s="19">
        <f t="shared" si="12"/>
        <v>0.27184033166835364</v>
      </c>
      <c r="K58" s="2"/>
      <c r="L58" s="2">
        <f t="shared" si="13"/>
        <v>-29096.249999999993</v>
      </c>
      <c r="M58" s="2"/>
      <c r="N58" s="19">
        <f t="shared" si="14"/>
        <v>-0.43252055071867862</v>
      </c>
      <c r="O58" s="11"/>
      <c r="P58" s="2">
        <v>132470.39999999999</v>
      </c>
      <c r="Q58" s="2"/>
      <c r="R58" s="19">
        <f t="shared" si="15"/>
        <v>0.14958207141602628</v>
      </c>
      <c r="S58" s="2"/>
      <c r="T58" s="2">
        <v>560191.49</v>
      </c>
      <c r="U58" s="2"/>
      <c r="V58" s="19">
        <f t="shared" si="16"/>
        <v>0.3818761797644597</v>
      </c>
      <c r="W58" s="2"/>
      <c r="X58" s="2">
        <f t="shared" si="17"/>
        <v>-427721.08999999997</v>
      </c>
      <c r="Y58" s="2"/>
      <c r="Z58" s="19">
        <f t="shared" si="18"/>
        <v>-0.76352657552866432</v>
      </c>
    </row>
    <row r="59" spans="1:26" s="24" customFormat="1" hidden="1" outlineLevel="1" x14ac:dyDescent="0.25">
      <c r="A59" s="44"/>
      <c r="B59" s="11" t="str">
        <f>CONCATENATE("          ", "5041", " - ", "PURCHASES @ COST-LOGO GIFTS")</f>
        <v xml:space="preserve">          5041 - PURCHASES @ COST-LOGO GIFTS</v>
      </c>
      <c r="C59" s="11"/>
      <c r="D59" s="2">
        <v>5559.99</v>
      </c>
      <c r="E59" s="2"/>
      <c r="F59" s="19">
        <f t="shared" si="11"/>
        <v>3.1635668871134323E-2</v>
      </c>
      <c r="G59" s="2"/>
      <c r="H59" s="2">
        <v>15542.009999999998</v>
      </c>
      <c r="I59" s="2"/>
      <c r="J59" s="19">
        <f t="shared" si="12"/>
        <v>6.2804505887019524E-2</v>
      </c>
      <c r="K59" s="2"/>
      <c r="L59" s="2">
        <f t="shared" si="13"/>
        <v>-9982.0199999999986</v>
      </c>
      <c r="M59" s="2"/>
      <c r="N59" s="19">
        <f t="shared" si="14"/>
        <v>-0.64226055703219853</v>
      </c>
      <c r="O59" s="11"/>
      <c r="P59" s="2">
        <v>31994.16</v>
      </c>
      <c r="Q59" s="2"/>
      <c r="R59" s="19">
        <f t="shared" si="15"/>
        <v>3.6126959124572519E-2</v>
      </c>
      <c r="S59" s="2"/>
      <c r="T59" s="2">
        <v>89624.2</v>
      </c>
      <c r="U59" s="2"/>
      <c r="V59" s="19">
        <f t="shared" si="16"/>
        <v>6.1095799778118527E-2</v>
      </c>
      <c r="W59" s="2"/>
      <c r="X59" s="2">
        <f t="shared" si="17"/>
        <v>-57630.039999999994</v>
      </c>
      <c r="Y59" s="2"/>
      <c r="Z59" s="19">
        <f t="shared" si="18"/>
        <v>-0.64301873824257283</v>
      </c>
    </row>
    <row r="60" spans="1:26" s="24" customFormat="1" hidden="1" outlineLevel="1" x14ac:dyDescent="0.25">
      <c r="A60" s="44"/>
      <c r="B60" s="11" t="str">
        <f>CONCATENATE("          ", "5042", " - ", "PURCHASES @ COST-EVERYDAY GIFT")</f>
        <v xml:space="preserve">          5042 - PURCHASES @ COST-EVERYDAY GIFT</v>
      </c>
      <c r="C60" s="11"/>
      <c r="D60" s="2">
        <v>148.6</v>
      </c>
      <c r="E60" s="2"/>
      <c r="F60" s="19">
        <f t="shared" si="11"/>
        <v>8.4551598010977733E-4</v>
      </c>
      <c r="G60" s="2"/>
      <c r="H60" s="2">
        <v>5128.7</v>
      </c>
      <c r="I60" s="2"/>
      <c r="J60" s="19">
        <f t="shared" si="12"/>
        <v>2.0724827055365238E-2</v>
      </c>
      <c r="K60" s="2"/>
      <c r="L60" s="2">
        <f t="shared" si="13"/>
        <v>-4980.0999999999995</v>
      </c>
      <c r="M60" s="2"/>
      <c r="N60" s="19">
        <f t="shared" si="14"/>
        <v>-0.97102579601068495</v>
      </c>
      <c r="O60" s="11"/>
      <c r="P60" s="2">
        <v>3115.24</v>
      </c>
      <c r="Q60" s="2"/>
      <c r="R60" s="19">
        <f t="shared" si="15"/>
        <v>3.5176465999805367E-3</v>
      </c>
      <c r="S60" s="2"/>
      <c r="T60" s="2">
        <v>71825.069999999992</v>
      </c>
      <c r="U60" s="2"/>
      <c r="V60" s="19">
        <f t="shared" si="16"/>
        <v>4.8962334902507891E-2</v>
      </c>
      <c r="W60" s="2"/>
      <c r="X60" s="2">
        <f t="shared" si="17"/>
        <v>-68709.829999999987</v>
      </c>
      <c r="Y60" s="2"/>
      <c r="Z60" s="19">
        <f t="shared" si="18"/>
        <v>-0.95662740043274574</v>
      </c>
    </row>
    <row r="61" spans="1:26" s="24" customFormat="1" hidden="1" outlineLevel="1" x14ac:dyDescent="0.25">
      <c r="A61" s="44"/>
      <c r="B61" s="11" t="str">
        <f>CONCATENATE("          ", "5043", " - ", "PURCHASES @ COST-CARDS")</f>
        <v xml:space="preserve">          5043 - PURCHASES @ COST-CARDS</v>
      </c>
      <c r="C61" s="11"/>
      <c r="D61" s="2">
        <v>2448</v>
      </c>
      <c r="E61" s="2"/>
      <c r="F61" s="19">
        <f t="shared" si="11"/>
        <v>1.3928823144742496E-2</v>
      </c>
      <c r="G61" s="2"/>
      <c r="H61" s="2">
        <v>3010.23</v>
      </c>
      <c r="I61" s="2"/>
      <c r="J61" s="19">
        <f t="shared" si="12"/>
        <v>1.2164192904024821E-2</v>
      </c>
      <c r="K61" s="2"/>
      <c r="L61" s="2">
        <f t="shared" si="13"/>
        <v>-562.23</v>
      </c>
      <c r="M61" s="2"/>
      <c r="N61" s="19">
        <f t="shared" si="14"/>
        <v>-0.18677310371632733</v>
      </c>
      <c r="O61" s="11"/>
      <c r="P61" s="2">
        <v>46621.23</v>
      </c>
      <c r="Q61" s="2"/>
      <c r="R61" s="19">
        <f t="shared" si="15"/>
        <v>5.264345963598651E-2</v>
      </c>
      <c r="S61" s="2"/>
      <c r="T61" s="2">
        <v>6445.57</v>
      </c>
      <c r="U61" s="2"/>
      <c r="V61" s="19">
        <f t="shared" si="16"/>
        <v>4.3938719026317382E-3</v>
      </c>
      <c r="W61" s="2"/>
      <c r="X61" s="2">
        <f t="shared" si="17"/>
        <v>40175.660000000003</v>
      </c>
      <c r="Y61" s="2"/>
      <c r="Z61" s="19">
        <f t="shared" si="18"/>
        <v>6.2330655008013265</v>
      </c>
    </row>
    <row r="62" spans="1:26" s="24" customFormat="1" hidden="1" outlineLevel="1" x14ac:dyDescent="0.25">
      <c r="A62" s="44"/>
      <c r="B62" s="11" t="str">
        <f>CONCATENATE("          ", "5044", " - ", "PURCHASES @ COST-ACCESSORIES")</f>
        <v xml:space="preserve">          5044 - PURCHASES @ COST-ACCESSORIES</v>
      </c>
      <c r="C62" s="11"/>
      <c r="D62" s="2"/>
      <c r="E62" s="2"/>
      <c r="F62" s="19">
        <f t="shared" si="11"/>
        <v>0</v>
      </c>
      <c r="G62" s="2"/>
      <c r="H62" s="2">
        <v>1021.26</v>
      </c>
      <c r="I62" s="2"/>
      <c r="J62" s="19">
        <f t="shared" si="12"/>
        <v>4.1268619491415569E-3</v>
      </c>
      <c r="K62" s="2"/>
      <c r="L62" s="2">
        <f t="shared" si="13"/>
        <v>-1021.26</v>
      </c>
      <c r="M62" s="2"/>
      <c r="N62" s="19">
        <f t="shared" si="14"/>
        <v>-1</v>
      </c>
      <c r="O62" s="11"/>
      <c r="P62" s="2">
        <v>282.33</v>
      </c>
      <c r="Q62" s="2"/>
      <c r="R62" s="19">
        <f t="shared" si="15"/>
        <v>3.1879956747233115E-4</v>
      </c>
      <c r="S62" s="2"/>
      <c r="T62" s="2">
        <v>23642</v>
      </c>
      <c r="U62" s="2"/>
      <c r="V62" s="19">
        <f t="shared" si="16"/>
        <v>1.6116483029742841E-2</v>
      </c>
      <c r="W62" s="2"/>
      <c r="X62" s="2">
        <f t="shared" si="17"/>
        <v>-23359.67</v>
      </c>
      <c r="Y62" s="2"/>
      <c r="Z62" s="19">
        <f t="shared" si="18"/>
        <v>-0.98805811691058276</v>
      </c>
    </row>
    <row r="63" spans="1:26" s="24" customFormat="1" hidden="1" outlineLevel="1" x14ac:dyDescent="0.25">
      <c r="A63" s="44"/>
      <c r="B63" s="11" t="str">
        <f>CONCATENATE("          ", "5045", " - ", "PURCHASES @ COST-SPECIAL ORDER")</f>
        <v xml:space="preserve">          5045 - PURCHASES @ COST-SPECIAL ORDER</v>
      </c>
      <c r="C63" s="11"/>
      <c r="D63" s="2">
        <v>10676.48</v>
      </c>
      <c r="E63" s="2"/>
      <c r="F63" s="19">
        <f t="shared" si="11"/>
        <v>6.0747876523031194E-2</v>
      </c>
      <c r="G63" s="2"/>
      <c r="H63" s="2">
        <v>-1057.6600000000001</v>
      </c>
      <c r="I63" s="2"/>
      <c r="J63" s="19">
        <f t="shared" si="12"/>
        <v>-4.2739525773349187E-3</v>
      </c>
      <c r="K63" s="2"/>
      <c r="L63" s="2">
        <f t="shared" si="13"/>
        <v>11734.14</v>
      </c>
      <c r="M63" s="2"/>
      <c r="N63" s="19">
        <f t="shared" si="14"/>
        <v>-11.094434884556472</v>
      </c>
      <c r="O63" s="11"/>
      <c r="P63" s="2">
        <v>87609</v>
      </c>
      <c r="Q63" s="2"/>
      <c r="R63" s="19">
        <f t="shared" si="15"/>
        <v>9.8925765262931536E-2</v>
      </c>
      <c r="S63" s="2"/>
      <c r="T63" s="2">
        <v>42152.03</v>
      </c>
      <c r="U63" s="2"/>
      <c r="V63" s="19">
        <f t="shared" si="16"/>
        <v>2.8734560365629436E-2</v>
      </c>
      <c r="W63" s="2"/>
      <c r="X63" s="2">
        <f t="shared" si="17"/>
        <v>45456.97</v>
      </c>
      <c r="Y63" s="2"/>
      <c r="Z63" s="19">
        <f t="shared" si="18"/>
        <v>1.0784052393206212</v>
      </c>
    </row>
    <row r="64" spans="1:26" s="24" customFormat="1" hidden="1" outlineLevel="1" x14ac:dyDescent="0.25">
      <c r="A64" s="44"/>
      <c r="B64" s="11" t="str">
        <f>CONCATENATE("          ", "5200", " - ", "PURCHASES OFFSET")</f>
        <v xml:space="preserve">          5200 - PURCHASES OFFSET</v>
      </c>
      <c r="C64" s="11"/>
      <c r="D64" s="2">
        <v>-58180.68</v>
      </c>
      <c r="E64" s="2"/>
      <c r="F64" s="19">
        <f t="shared" si="11"/>
        <v>-0.3310410139545984</v>
      </c>
      <c r="G64" s="2"/>
      <c r="H64" s="2">
        <v>-96286</v>
      </c>
      <c r="I64" s="2"/>
      <c r="J64" s="19">
        <f t="shared" si="12"/>
        <v>-0.38908703918203391</v>
      </c>
      <c r="K64" s="2"/>
      <c r="L64" s="2">
        <f t="shared" si="13"/>
        <v>38105.32</v>
      </c>
      <c r="M64" s="2"/>
      <c r="N64" s="19">
        <f t="shared" si="14"/>
        <v>-0.39575140726585378</v>
      </c>
      <c r="O64" s="11"/>
      <c r="P64" s="2">
        <v>-340331.66</v>
      </c>
      <c r="Q64" s="2"/>
      <c r="R64" s="19">
        <f t="shared" si="15"/>
        <v>-0.38429350761569958</v>
      </c>
      <c r="S64" s="2"/>
      <c r="T64" s="2">
        <v>-824822</v>
      </c>
      <c r="U64" s="2"/>
      <c r="V64" s="19">
        <f t="shared" si="16"/>
        <v>-0.562271794499558</v>
      </c>
      <c r="W64" s="2"/>
      <c r="X64" s="2">
        <f t="shared" si="17"/>
        <v>484490.34</v>
      </c>
      <c r="Y64" s="2"/>
      <c r="Z64" s="19">
        <f t="shared" si="18"/>
        <v>-0.58738775153912004</v>
      </c>
    </row>
    <row r="65" spans="1:26" s="24" customFormat="1" hidden="1" outlineLevel="1" x14ac:dyDescent="0.25">
      <c r="A65" s="44"/>
      <c r="B65" s="11" t="str">
        <f>CONCATENATE("          ", "5300", " - ", "COG$ OFFSET")</f>
        <v xml:space="preserve">          5300 - COG$ OFFSET</v>
      </c>
      <c r="C65" s="11"/>
      <c r="D65" s="2">
        <v>103948</v>
      </c>
      <c r="E65" s="2"/>
      <c r="F65" s="19">
        <f t="shared" si="11"/>
        <v>0.59145151480788116</v>
      </c>
      <c r="G65" s="2"/>
      <c r="H65" s="2">
        <v>116911</v>
      </c>
      <c r="I65" s="2"/>
      <c r="J65" s="19">
        <f t="shared" si="12"/>
        <v>0.47243166023939892</v>
      </c>
      <c r="K65" s="2"/>
      <c r="L65" s="2">
        <f t="shared" si="13"/>
        <v>-12963</v>
      </c>
      <c r="M65" s="2"/>
      <c r="N65" s="19">
        <f t="shared" si="14"/>
        <v>-0.11087921581373865</v>
      </c>
      <c r="O65" s="11"/>
      <c r="P65" s="2">
        <v>533751</v>
      </c>
      <c r="Q65" s="2"/>
      <c r="R65" s="19">
        <f t="shared" si="15"/>
        <v>0.60269750978615177</v>
      </c>
      <c r="S65" s="2"/>
      <c r="T65" s="2">
        <v>684465</v>
      </c>
      <c r="U65" s="2"/>
      <c r="V65" s="19">
        <f t="shared" si="16"/>
        <v>0.46659202085072893</v>
      </c>
      <c r="W65" s="2"/>
      <c r="X65" s="2">
        <f t="shared" si="17"/>
        <v>-150714</v>
      </c>
      <c r="Y65" s="2"/>
      <c r="Z65" s="19">
        <f t="shared" si="18"/>
        <v>-0.22019241305253007</v>
      </c>
    </row>
    <row r="66" spans="1:26" s="24" customFormat="1" hidden="1" outlineLevel="1" x14ac:dyDescent="0.25">
      <c r="A66" s="44"/>
      <c r="B66" s="11" t="str">
        <f>CONCATENATE("          ", "5500", " - ", "FREIGHT-IN")</f>
        <v xml:space="preserve">          5500 - FREIGHT-IN</v>
      </c>
      <c r="C66" s="11"/>
      <c r="D66" s="2"/>
      <c r="E66" s="2"/>
      <c r="F66" s="19">
        <f t="shared" si="11"/>
        <v>0</v>
      </c>
      <c r="G66" s="2"/>
      <c r="H66" s="2"/>
      <c r="I66" s="2"/>
      <c r="J66" s="19">
        <f t="shared" si="12"/>
        <v>0</v>
      </c>
      <c r="K66" s="2"/>
      <c r="L66" s="2">
        <f t="shared" si="13"/>
        <v>0</v>
      </c>
      <c r="M66" s="2"/>
      <c r="N66" s="19">
        <f t="shared" si="14"/>
        <v>0</v>
      </c>
      <c r="O66" s="11"/>
      <c r="P66" s="2"/>
      <c r="Q66" s="2"/>
      <c r="R66" s="19">
        <f t="shared" si="15"/>
        <v>0</v>
      </c>
      <c r="S66" s="2"/>
      <c r="T66" s="2">
        <v>29.23</v>
      </c>
      <c r="U66" s="2"/>
      <c r="V66" s="19">
        <f t="shared" si="16"/>
        <v>1.9925759198011305E-5</v>
      </c>
      <c r="W66" s="2"/>
      <c r="X66" s="2">
        <f t="shared" si="17"/>
        <v>-29.23</v>
      </c>
      <c r="Y66" s="2"/>
      <c r="Z66" s="19">
        <f t="shared" si="18"/>
        <v>-1</v>
      </c>
    </row>
    <row r="67" spans="1:26" s="24" customFormat="1" hidden="1" outlineLevel="1" x14ac:dyDescent="0.25">
      <c r="A67" s="44"/>
      <c r="B67" s="11" t="str">
        <f>CONCATENATE("          ", "5525", " - ", "FREIGHT-IN-TEST FORMS")</f>
        <v xml:space="preserve">          5525 - FREIGHT-IN-TEST FORMS</v>
      </c>
      <c r="C67" s="11"/>
      <c r="D67" s="2"/>
      <c r="E67" s="2"/>
      <c r="F67" s="19">
        <f t="shared" si="11"/>
        <v>0</v>
      </c>
      <c r="G67" s="2"/>
      <c r="H67" s="2"/>
      <c r="I67" s="2"/>
      <c r="J67" s="19">
        <f t="shared" si="12"/>
        <v>0</v>
      </c>
      <c r="K67" s="2"/>
      <c r="L67" s="2">
        <f t="shared" si="13"/>
        <v>0</v>
      </c>
      <c r="M67" s="2"/>
      <c r="N67" s="19">
        <f t="shared" si="14"/>
        <v>0</v>
      </c>
      <c r="O67" s="11"/>
      <c r="P67" s="2">
        <v>48.14</v>
      </c>
      <c r="Q67" s="2"/>
      <c r="R67" s="19">
        <f t="shared" si="15"/>
        <v>5.4358414543683008E-5</v>
      </c>
      <c r="S67" s="2"/>
      <c r="T67" s="2"/>
      <c r="U67" s="2"/>
      <c r="V67" s="19">
        <f t="shared" si="16"/>
        <v>0</v>
      </c>
      <c r="W67" s="2"/>
      <c r="X67" s="2">
        <f t="shared" si="17"/>
        <v>48.14</v>
      </c>
      <c r="Y67" s="2"/>
      <c r="Z67" s="19">
        <f t="shared" si="18"/>
        <v>0</v>
      </c>
    </row>
    <row r="68" spans="1:26" s="24" customFormat="1" hidden="1" outlineLevel="1" x14ac:dyDescent="0.25">
      <c r="A68" s="44"/>
      <c r="B68" s="11" t="str">
        <f>CONCATENATE("          ", "5527", " - ", "FREIGHT-IN-SCHOOL SUPPLIES")</f>
        <v xml:space="preserve">          5527 - FREIGHT-IN-SCHOOL SUPPLIES</v>
      </c>
      <c r="C68" s="11"/>
      <c r="D68" s="2">
        <v>121.5</v>
      </c>
      <c r="E68" s="2"/>
      <c r="F68" s="19">
        <f t="shared" si="11"/>
        <v>6.9132026637508707E-4</v>
      </c>
      <c r="G68" s="2"/>
      <c r="H68" s="2"/>
      <c r="I68" s="2"/>
      <c r="J68" s="19">
        <f t="shared" si="12"/>
        <v>0</v>
      </c>
      <c r="K68" s="2"/>
      <c r="L68" s="2">
        <f t="shared" si="13"/>
        <v>121.5</v>
      </c>
      <c r="M68" s="2"/>
      <c r="N68" s="19">
        <f t="shared" si="14"/>
        <v>0</v>
      </c>
      <c r="O68" s="11"/>
      <c r="P68" s="2">
        <v>177.5</v>
      </c>
      <c r="Q68" s="2"/>
      <c r="R68" s="19">
        <f t="shared" si="15"/>
        <v>2.0042830455969533E-4</v>
      </c>
      <c r="S68" s="2"/>
      <c r="T68" s="2"/>
      <c r="U68" s="2"/>
      <c r="V68" s="19">
        <f t="shared" si="16"/>
        <v>0</v>
      </c>
      <c r="W68" s="2"/>
      <c r="X68" s="2">
        <f t="shared" si="17"/>
        <v>177.5</v>
      </c>
      <c r="Y68" s="2"/>
      <c r="Z68" s="19">
        <f t="shared" si="18"/>
        <v>0</v>
      </c>
    </row>
    <row r="69" spans="1:26" s="24" customFormat="1" hidden="1" outlineLevel="1" x14ac:dyDescent="0.25">
      <c r="A69" s="44"/>
      <c r="B69" s="11" t="str">
        <f>CONCATENATE("          ", "5528", " - ", "FREIGHT-IN-ART/TECH")</f>
        <v xml:space="preserve">          5528 - FREIGHT-IN-ART/TECH</v>
      </c>
      <c r="C69" s="11"/>
      <c r="D69" s="2"/>
      <c r="E69" s="2"/>
      <c r="F69" s="19">
        <f t="shared" si="11"/>
        <v>0</v>
      </c>
      <c r="G69" s="2"/>
      <c r="H69" s="2"/>
      <c r="I69" s="2"/>
      <c r="J69" s="19">
        <f t="shared" si="12"/>
        <v>0</v>
      </c>
      <c r="K69" s="2"/>
      <c r="L69" s="2">
        <f t="shared" si="13"/>
        <v>0</v>
      </c>
      <c r="M69" s="2"/>
      <c r="N69" s="19">
        <f t="shared" si="14"/>
        <v>0</v>
      </c>
      <c r="O69" s="11"/>
      <c r="P69" s="2">
        <v>3.94</v>
      </c>
      <c r="Q69" s="2"/>
      <c r="R69" s="19">
        <f t="shared" si="15"/>
        <v>4.448943774451829E-6</v>
      </c>
      <c r="S69" s="2"/>
      <c r="T69" s="2"/>
      <c r="U69" s="2"/>
      <c r="V69" s="19">
        <f t="shared" si="16"/>
        <v>0</v>
      </c>
      <c r="W69" s="2"/>
      <c r="X69" s="2">
        <f t="shared" si="17"/>
        <v>3.94</v>
      </c>
      <c r="Y69" s="2"/>
      <c r="Z69" s="19">
        <f t="shared" si="18"/>
        <v>0</v>
      </c>
    </row>
    <row r="70" spans="1:26" s="24" customFormat="1" hidden="1" outlineLevel="1" x14ac:dyDescent="0.25">
      <c r="A70" s="44"/>
      <c r="B70" s="11" t="str">
        <f>CONCATENATE("          ", "5540", " - ", "FREIGHT-IN-LOGO CLOTHING")</f>
        <v xml:space="preserve">          5540 - FREIGHT-IN-LOGO CLOTHING</v>
      </c>
      <c r="C70" s="11"/>
      <c r="D70" s="2">
        <v>907.48</v>
      </c>
      <c r="E70" s="2"/>
      <c r="F70" s="19">
        <f t="shared" si="11"/>
        <v>5.1634511549799511E-3</v>
      </c>
      <c r="G70" s="2"/>
      <c r="H70" s="2">
        <v>4036.06</v>
      </c>
      <c r="I70" s="2"/>
      <c r="J70" s="19">
        <f t="shared" si="12"/>
        <v>1.6309522000717027E-2</v>
      </c>
      <c r="K70" s="2"/>
      <c r="L70" s="2">
        <f t="shared" si="13"/>
        <v>-3128.58</v>
      </c>
      <c r="M70" s="2"/>
      <c r="N70" s="19">
        <f t="shared" si="14"/>
        <v>-0.77515696000555001</v>
      </c>
      <c r="O70" s="11"/>
      <c r="P70" s="2">
        <v>5442.96</v>
      </c>
      <c r="Q70" s="2"/>
      <c r="R70" s="19">
        <f t="shared" si="15"/>
        <v>6.1460464483731794E-3</v>
      </c>
      <c r="S70" s="2"/>
      <c r="T70" s="2">
        <v>24277.390000000003</v>
      </c>
      <c r="U70" s="2"/>
      <c r="V70" s="19">
        <f t="shared" si="16"/>
        <v>1.6549621180164478E-2</v>
      </c>
      <c r="W70" s="2"/>
      <c r="X70" s="2">
        <f t="shared" si="17"/>
        <v>-18834.430000000004</v>
      </c>
      <c r="Y70" s="2"/>
      <c r="Z70" s="19">
        <f t="shared" si="18"/>
        <v>-0.77580127023539192</v>
      </c>
    </row>
    <row r="71" spans="1:26" s="24" customFormat="1" hidden="1" outlineLevel="1" x14ac:dyDescent="0.25">
      <c r="A71" s="44"/>
      <c r="B71" s="11" t="str">
        <f>CONCATENATE("          ", "5541", " - ", "FREIGHT-IN-LOGO GIFTS")</f>
        <v xml:space="preserve">          5541 - FREIGHT-IN-LOGO GIFTS</v>
      </c>
      <c r="C71" s="11"/>
      <c r="D71" s="2">
        <v>84.07</v>
      </c>
      <c r="E71" s="2"/>
      <c r="F71" s="19">
        <f t="shared" si="11"/>
        <v>4.7834810530167544E-4</v>
      </c>
      <c r="G71" s="2"/>
      <c r="H71" s="2">
        <v>709.94</v>
      </c>
      <c r="I71" s="2"/>
      <c r="J71" s="19">
        <f t="shared" si="12"/>
        <v>2.8688329829559141E-3</v>
      </c>
      <c r="K71" s="2"/>
      <c r="L71" s="2">
        <f t="shared" si="13"/>
        <v>-625.87000000000012</v>
      </c>
      <c r="M71" s="2"/>
      <c r="N71" s="19">
        <f t="shared" si="14"/>
        <v>-0.88158154210214956</v>
      </c>
      <c r="O71" s="11"/>
      <c r="P71" s="2">
        <v>1519.94</v>
      </c>
      <c r="Q71" s="2"/>
      <c r="R71" s="19">
        <f t="shared" si="15"/>
        <v>1.7162760407462723E-3</v>
      </c>
      <c r="S71" s="2"/>
      <c r="T71" s="2">
        <v>3562.77</v>
      </c>
      <c r="U71" s="2"/>
      <c r="V71" s="19">
        <f t="shared" si="16"/>
        <v>2.4286998665035489E-3</v>
      </c>
      <c r="W71" s="2"/>
      <c r="X71" s="2">
        <f t="shared" si="17"/>
        <v>-2042.83</v>
      </c>
      <c r="Y71" s="2"/>
      <c r="Z71" s="19">
        <f t="shared" si="18"/>
        <v>-0.57338250855373762</v>
      </c>
    </row>
    <row r="72" spans="1:26" s="24" customFormat="1" hidden="1" outlineLevel="1" x14ac:dyDescent="0.25">
      <c r="A72" s="44"/>
      <c r="B72" s="11" t="str">
        <f>CONCATENATE("          ", "5542", " - ", "FREIGHT-IN-EVERYDAY GIFTS")</f>
        <v xml:space="preserve">          5542 - FREIGHT-IN-EVERYDAY GIFTS</v>
      </c>
      <c r="C72" s="11"/>
      <c r="D72" s="2"/>
      <c r="E72" s="2"/>
      <c r="F72" s="19">
        <f t="shared" si="11"/>
        <v>0</v>
      </c>
      <c r="G72" s="2"/>
      <c r="H72" s="2">
        <v>194.82</v>
      </c>
      <c r="I72" s="2"/>
      <c r="J72" s="19">
        <f t="shared" si="12"/>
        <v>7.8725813694040508E-4</v>
      </c>
      <c r="K72" s="2"/>
      <c r="L72" s="2">
        <f t="shared" si="13"/>
        <v>-194.82</v>
      </c>
      <c r="M72" s="2"/>
      <c r="N72" s="19">
        <f t="shared" si="14"/>
        <v>-1</v>
      </c>
      <c r="O72" s="11"/>
      <c r="P72" s="2">
        <v>196.55</v>
      </c>
      <c r="Q72" s="2"/>
      <c r="R72" s="19">
        <f t="shared" si="15"/>
        <v>2.2193906062652462E-4</v>
      </c>
      <c r="S72" s="2"/>
      <c r="T72" s="2">
        <v>1708.33</v>
      </c>
      <c r="U72" s="2"/>
      <c r="V72" s="19">
        <f t="shared" si="16"/>
        <v>1.1645491690297177E-3</v>
      </c>
      <c r="W72" s="2"/>
      <c r="X72" s="2">
        <f t="shared" si="17"/>
        <v>-1511.78</v>
      </c>
      <c r="Y72" s="2"/>
      <c r="Z72" s="19">
        <f t="shared" si="18"/>
        <v>-0.88494611696803316</v>
      </c>
    </row>
    <row r="73" spans="1:26" s="24" customFormat="1" hidden="1" outlineLevel="1" x14ac:dyDescent="0.25">
      <c r="A73" s="44"/>
      <c r="B73" s="11" t="str">
        <f>CONCATENATE("          ", "5543", " - ", "FREIGHT-IN-CARDS")</f>
        <v xml:space="preserve">          5543 - FREIGHT-IN-CARDS</v>
      </c>
      <c r="C73" s="11"/>
      <c r="D73" s="2">
        <v>605.41</v>
      </c>
      <c r="E73" s="2"/>
      <c r="F73" s="19">
        <f t="shared" si="11"/>
        <v>3.4447094853180369E-3</v>
      </c>
      <c r="G73" s="2"/>
      <c r="H73" s="2">
        <v>77.760000000000005</v>
      </c>
      <c r="I73" s="2"/>
      <c r="J73" s="19">
        <f t="shared" si="12"/>
        <v>3.1422437495373114E-4</v>
      </c>
      <c r="K73" s="2"/>
      <c r="L73" s="2">
        <f t="shared" si="13"/>
        <v>527.65</v>
      </c>
      <c r="M73" s="2"/>
      <c r="N73" s="19">
        <f t="shared" si="14"/>
        <v>6.7856224279835384</v>
      </c>
      <c r="O73" s="11"/>
      <c r="P73" s="2">
        <v>7117.72</v>
      </c>
      <c r="Q73" s="2"/>
      <c r="R73" s="19">
        <f t="shared" si="15"/>
        <v>8.0371411376373783E-3</v>
      </c>
      <c r="S73" s="2"/>
      <c r="T73" s="2">
        <v>121.35</v>
      </c>
      <c r="U73" s="2"/>
      <c r="V73" s="19">
        <f t="shared" si="16"/>
        <v>8.2722917505257328E-5</v>
      </c>
      <c r="W73" s="2"/>
      <c r="X73" s="2">
        <f t="shared" si="17"/>
        <v>6996.37</v>
      </c>
      <c r="Y73" s="2"/>
      <c r="Z73" s="19">
        <f t="shared" si="18"/>
        <v>57.654470539761022</v>
      </c>
    </row>
    <row r="74" spans="1:26" s="24" customFormat="1" hidden="1" outlineLevel="1" x14ac:dyDescent="0.25">
      <c r="A74" s="44"/>
      <c r="B74" s="11" t="str">
        <f>CONCATENATE("          ", "5544", " - ", "FREIGHT-IN-ACCESSORIES")</f>
        <v xml:space="preserve">          5544 - FREIGHT-IN-ACCESSORIES</v>
      </c>
      <c r="C74" s="11"/>
      <c r="D74" s="2"/>
      <c r="E74" s="2"/>
      <c r="F74" s="19">
        <f t="shared" si="11"/>
        <v>0</v>
      </c>
      <c r="G74" s="2"/>
      <c r="H74" s="2">
        <v>28.4</v>
      </c>
      <c r="I74" s="2"/>
      <c r="J74" s="19">
        <f t="shared" si="12"/>
        <v>1.1476301760141414E-4</v>
      </c>
      <c r="K74" s="2"/>
      <c r="L74" s="2">
        <f t="shared" si="13"/>
        <v>-28.4</v>
      </c>
      <c r="M74" s="2"/>
      <c r="N74" s="19">
        <f t="shared" si="14"/>
        <v>-1</v>
      </c>
      <c r="O74" s="11"/>
      <c r="P74" s="2"/>
      <c r="Q74" s="2"/>
      <c r="R74" s="19">
        <f t="shared" si="15"/>
        <v>0</v>
      </c>
      <c r="S74" s="2"/>
      <c r="T74" s="2">
        <v>442.31</v>
      </c>
      <c r="U74" s="2"/>
      <c r="V74" s="19">
        <f t="shared" si="16"/>
        <v>3.015177061536907E-4</v>
      </c>
      <c r="W74" s="2"/>
      <c r="X74" s="2">
        <f t="shared" si="17"/>
        <v>-442.31</v>
      </c>
      <c r="Y74" s="2"/>
      <c r="Z74" s="19">
        <f t="shared" si="18"/>
        <v>-1</v>
      </c>
    </row>
    <row r="75" spans="1:26" s="24" customFormat="1" hidden="1" outlineLevel="1" x14ac:dyDescent="0.25">
      <c r="A75" s="44"/>
      <c r="B75" s="11" t="str">
        <f>CONCATENATE("          ", "5545", " - ", "FREIGHT-IN-SPECIAL ORDERS")</f>
        <v xml:space="preserve">          5545 - FREIGHT-IN-SPECIAL ORDERS</v>
      </c>
      <c r="C75" s="11"/>
      <c r="D75" s="2">
        <v>225.93</v>
      </c>
      <c r="E75" s="2"/>
      <c r="F75" s="19">
        <f t="shared" si="11"/>
        <v>1.2855143027335262E-3</v>
      </c>
      <c r="G75" s="2"/>
      <c r="H75" s="2">
        <v>322.61</v>
      </c>
      <c r="I75" s="2"/>
      <c r="J75" s="19">
        <f t="shared" si="12"/>
        <v>1.303651306633529E-3</v>
      </c>
      <c r="K75" s="2"/>
      <c r="L75" s="2">
        <f t="shared" si="13"/>
        <v>-96.68</v>
      </c>
      <c r="M75" s="2"/>
      <c r="N75" s="19">
        <f t="shared" si="14"/>
        <v>-0.29968072905365611</v>
      </c>
      <c r="O75" s="11"/>
      <c r="P75" s="2">
        <v>1113.79</v>
      </c>
      <c r="Q75" s="2"/>
      <c r="R75" s="19">
        <f t="shared" si="15"/>
        <v>1.2576622047072849E-3</v>
      </c>
      <c r="S75" s="2"/>
      <c r="T75" s="2">
        <v>827.67</v>
      </c>
      <c r="U75" s="2"/>
      <c r="V75" s="19">
        <f t="shared" si="16"/>
        <v>5.6421324377071557E-4</v>
      </c>
      <c r="W75" s="2"/>
      <c r="X75" s="2">
        <f t="shared" si="17"/>
        <v>286.12</v>
      </c>
      <c r="Y75" s="2"/>
      <c r="Z75" s="19">
        <f t="shared" si="18"/>
        <v>0.34569333188348017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6</v>
      </c>
      <c r="C77" s="28"/>
      <c r="D77" s="20">
        <f>D12-D52</f>
        <v>71802.669999999969</v>
      </c>
      <c r="E77" s="14"/>
      <c r="F77" s="21">
        <f>IF(D$12=0,0,D77/D$12)</f>
        <v>0.40854848519211895</v>
      </c>
      <c r="G77" s="14"/>
      <c r="H77" s="20">
        <f>H12-H52</f>
        <v>130555.98000000001</v>
      </c>
      <c r="I77" s="14"/>
      <c r="J77" s="21">
        <f>IF(H$12=0,0,H77/H$12)</f>
        <v>0.52757036023626314</v>
      </c>
      <c r="K77" s="15"/>
      <c r="L77" s="20">
        <f>+D77-H77</f>
        <v>-58753.310000000041</v>
      </c>
      <c r="M77" s="15"/>
      <c r="N77" s="21">
        <f>IF(H77=0,0,L77/H77)</f>
        <v>-0.45002389013509786</v>
      </c>
      <c r="O77" s="29"/>
      <c r="P77" s="20">
        <f>P12-P52</f>
        <v>350935.92000000016</v>
      </c>
      <c r="Q77" s="14"/>
      <c r="R77" s="21">
        <f>IF(P$12=0,0,P77/P$12)</f>
        <v>0.3962675574912502</v>
      </c>
      <c r="S77" s="14"/>
      <c r="T77" s="20">
        <f>T12-T52</f>
        <v>782452.95</v>
      </c>
      <c r="U77" s="14"/>
      <c r="V77" s="21">
        <f>IF(T$12=0,0,T77/T$12)</f>
        <v>0.53338929406341351</v>
      </c>
      <c r="W77" s="15"/>
      <c r="X77" s="20">
        <f>+P77-T77</f>
        <v>-431517.0299999998</v>
      </c>
      <c r="Y77" s="15"/>
      <c r="Z77" s="21">
        <f>IF(T77=0,0,X77/T77)</f>
        <v>-0.5514926232944739</v>
      </c>
    </row>
    <row r="78" spans="1:26" x14ac:dyDescent="0.25">
      <c r="A78" s="9"/>
      <c r="B78" s="10"/>
      <c r="C78" s="9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9" t="s">
        <v>9</v>
      </c>
      <c r="C79" s="10"/>
      <c r="D79" s="22">
        <f>SUM(OSRRefD22x_0)</f>
        <v>39948.689999999995</v>
      </c>
      <c r="E79" s="22"/>
      <c r="F79" s="36">
        <f t="shared" ref="F79:F88" si="19">IF(D$12=0,0,D79/D$12)</f>
        <v>0.22730320174597346</v>
      </c>
      <c r="G79" s="22"/>
      <c r="H79" s="22">
        <f>SUM(OSRRefH22x_0)</f>
        <v>56280.330000000009</v>
      </c>
      <c r="I79" s="22"/>
      <c r="J79" s="36">
        <f t="shared" ref="J79:J88" si="20">IF(H$12=0,0,H79/H$12)</f>
        <v>0.22742607402828866</v>
      </c>
      <c r="K79" s="4"/>
      <c r="L79" s="22">
        <f t="shared" ref="L79:L88" si="21">+D79-H79</f>
        <v>-16331.640000000014</v>
      </c>
      <c r="M79" s="4"/>
      <c r="N79" s="36">
        <f t="shared" ref="N79:N88" si="22">IF(H79=0,0,L79/H79)</f>
        <v>-0.29018379956194307</v>
      </c>
      <c r="O79" s="10"/>
      <c r="P79" s="22">
        <f>SUM(OSRRefP22x_0)</f>
        <v>275658.52</v>
      </c>
      <c r="Q79" s="22"/>
      <c r="R79" s="36">
        <f t="shared" ref="R79:R88" si="23">IF(P$12=0,0,P79/P$12)</f>
        <v>0.31126630873822464</v>
      </c>
      <c r="S79" s="22"/>
      <c r="T79" s="22">
        <f>SUM(OSRRefT22x_0)</f>
        <v>360915.1399999999</v>
      </c>
      <c r="U79" s="22"/>
      <c r="V79" s="36">
        <f t="shared" ref="V79:V88" si="24">IF(T$12=0,0,T79/T$12)</f>
        <v>0.2460317540388825</v>
      </c>
      <c r="W79" s="4"/>
      <c r="X79" s="22">
        <f t="shared" ref="X79:X88" si="25">+P79-T79</f>
        <v>-85256.619999999879</v>
      </c>
      <c r="Y79" s="4"/>
      <c r="Z79" s="36">
        <f t="shared" ref="Z79:Z88" si="26">IF(T79=0,0,X79/T79)</f>
        <v>-0.23622345130769495</v>
      </c>
    </row>
    <row r="80" spans="1:26" s="25" customFormat="1" outlineLevel="1" collapsed="1" x14ac:dyDescent="0.25">
      <c r="A80" s="26"/>
      <c r="B80" s="13" t="str">
        <f>CONCATENATE("     ","*Benefits                                         ")</f>
        <v xml:space="preserve">     *Benefits                                         </v>
      </c>
      <c r="C80" s="13"/>
      <c r="D80" s="1">
        <f>SUM(OSRRefD22_0x_0)</f>
        <v>9530.380000000001</v>
      </c>
      <c r="E80" s="1"/>
      <c r="F80" s="5">
        <f t="shared" si="19"/>
        <v>5.4226706504162989E-2</v>
      </c>
      <c r="G80" s="1"/>
      <c r="H80" s="1">
        <f>SUM(OSRRefH22_0x_0)</f>
        <v>4192.8100000000004</v>
      </c>
      <c r="I80" s="1"/>
      <c r="J80" s="5">
        <f t="shared" si="20"/>
        <v>1.6942941120753004E-2</v>
      </c>
      <c r="K80" s="1"/>
      <c r="L80" s="1">
        <f t="shared" si="21"/>
        <v>5337.5700000000006</v>
      </c>
      <c r="M80" s="1"/>
      <c r="N80" s="5">
        <f t="shared" si="22"/>
        <v>1.2730293049291526</v>
      </c>
      <c r="O80" s="13"/>
      <c r="P80" s="1">
        <f>SUM(OSRRefP22_0x_0)</f>
        <v>61853.48</v>
      </c>
      <c r="Q80" s="1"/>
      <c r="R80" s="5">
        <f t="shared" si="23"/>
        <v>6.9843313394462106E-2</v>
      </c>
      <c r="S80" s="1"/>
      <c r="T80" s="1">
        <f>SUM(OSRRefT22_0x_0)</f>
        <v>40282.639999999999</v>
      </c>
      <c r="U80" s="1"/>
      <c r="V80" s="5">
        <f t="shared" si="24"/>
        <v>2.7460218422859325E-2</v>
      </c>
      <c r="W80" s="1"/>
      <c r="X80" s="1">
        <f t="shared" si="25"/>
        <v>21570.840000000004</v>
      </c>
      <c r="Y80" s="1"/>
      <c r="Z80" s="5">
        <f t="shared" si="26"/>
        <v>0.53548724711190732</v>
      </c>
    </row>
    <row r="81" spans="1:26" s="24" customFormat="1" hidden="1" outlineLevel="2" x14ac:dyDescent="0.25">
      <c r="A81" s="27"/>
      <c r="B81" s="11" t="str">
        <f>CONCATENATE("          ", "6111", " - ", "F.I.C.A.")</f>
        <v xml:space="preserve">          6111 - F.I.C.A.</v>
      </c>
      <c r="C81" s="11"/>
      <c r="D81" s="7">
        <v>1745.09</v>
      </c>
      <c r="E81" s="2"/>
      <c r="F81" s="6">
        <f t="shared" si="19"/>
        <v>9.9293504827037103E-3</v>
      </c>
      <c r="G81" s="2"/>
      <c r="H81" s="7">
        <v>714.22</v>
      </c>
      <c r="I81" s="2"/>
      <c r="J81" s="6">
        <f t="shared" si="20"/>
        <v>2.8861282546226064E-3</v>
      </c>
      <c r="K81" s="2"/>
      <c r="L81" s="7">
        <f t="shared" si="21"/>
        <v>1030.8699999999999</v>
      </c>
      <c r="M81" s="2"/>
      <c r="N81" s="6">
        <f t="shared" si="22"/>
        <v>1.4433507882725209</v>
      </c>
      <c r="O81" s="11"/>
      <c r="P81" s="7">
        <v>14401.66</v>
      </c>
      <c r="Q81" s="2"/>
      <c r="R81" s="6">
        <f t="shared" si="23"/>
        <v>1.6261973502226378E-2</v>
      </c>
      <c r="S81" s="2"/>
      <c r="T81" s="7">
        <v>8578.17</v>
      </c>
      <c r="U81" s="2"/>
      <c r="V81" s="6">
        <f t="shared" si="24"/>
        <v>5.8476411145947527E-3</v>
      </c>
      <c r="W81" s="2"/>
      <c r="X81" s="7">
        <f t="shared" si="25"/>
        <v>5823.49</v>
      </c>
      <c r="Y81" s="2"/>
      <c r="Z81" s="6">
        <f t="shared" si="26"/>
        <v>0.67887323286901513</v>
      </c>
    </row>
    <row r="82" spans="1:26" s="24" customFormat="1" hidden="1" outlineLevel="2" x14ac:dyDescent="0.25">
      <c r="A82" s="27"/>
      <c r="B82" s="11" t="str">
        <f>CONCATENATE("          ", "6112", " - ", "COMPENSATION INSURANCE")</f>
        <v xml:space="preserve">          6112 - COMPENSATION INSURANCE</v>
      </c>
      <c r="C82" s="11"/>
      <c r="D82" s="7">
        <v>881.73</v>
      </c>
      <c r="E82" s="2"/>
      <c r="F82" s="6">
        <f t="shared" si="19"/>
        <v>5.0169367775383172E-3</v>
      </c>
      <c r="G82" s="2"/>
      <c r="H82" s="7">
        <v>534.55999999999995</v>
      </c>
      <c r="I82" s="2"/>
      <c r="J82" s="6">
        <f t="shared" si="20"/>
        <v>2.1601309397539415E-3</v>
      </c>
      <c r="K82" s="2"/>
      <c r="L82" s="7">
        <f t="shared" si="21"/>
        <v>347.17000000000007</v>
      </c>
      <c r="M82" s="2"/>
      <c r="N82" s="6">
        <f t="shared" si="22"/>
        <v>0.64945001496557941</v>
      </c>
      <c r="O82" s="11"/>
      <c r="P82" s="7">
        <v>5692.11</v>
      </c>
      <c r="Q82" s="2"/>
      <c r="R82" s="6">
        <f t="shared" si="23"/>
        <v>6.4273800375621824E-3</v>
      </c>
      <c r="S82" s="2"/>
      <c r="T82" s="7">
        <v>2647.79</v>
      </c>
      <c r="U82" s="2"/>
      <c r="V82" s="6">
        <f t="shared" si="24"/>
        <v>1.8049683868252599E-3</v>
      </c>
      <c r="W82" s="2"/>
      <c r="X82" s="7">
        <f t="shared" si="25"/>
        <v>3044.3199999999997</v>
      </c>
      <c r="Y82" s="2"/>
      <c r="Z82" s="6">
        <f t="shared" si="26"/>
        <v>1.1497588554983589</v>
      </c>
    </row>
    <row r="83" spans="1:26" s="24" customFormat="1" hidden="1" outlineLevel="2" x14ac:dyDescent="0.25">
      <c r="A83" s="27"/>
      <c r="B83" s="11" t="str">
        <f>CONCATENATE("          ", "6113", " - ", "GROUP INSURANCE")</f>
        <v xml:space="preserve">          6113 - GROUP INSURANCE</v>
      </c>
      <c r="C83" s="11"/>
      <c r="D83" s="7">
        <v>2862.18</v>
      </c>
      <c r="E83" s="2"/>
      <c r="F83" s="6">
        <f t="shared" si="19"/>
        <v>1.6285457119452236E-2</v>
      </c>
      <c r="G83" s="2"/>
      <c r="H83" s="7">
        <v>1351.03</v>
      </c>
      <c r="I83" s="2"/>
      <c r="J83" s="6">
        <f t="shared" si="20"/>
        <v>5.4594464672548786E-3</v>
      </c>
      <c r="K83" s="2"/>
      <c r="L83" s="7">
        <f t="shared" si="21"/>
        <v>1511.1499999999999</v>
      </c>
      <c r="M83" s="2"/>
      <c r="N83" s="6">
        <f t="shared" si="22"/>
        <v>1.1185169833386379</v>
      </c>
      <c r="O83" s="11"/>
      <c r="P83" s="7">
        <v>17829.05</v>
      </c>
      <c r="Q83" s="2"/>
      <c r="R83" s="6">
        <f t="shared" si="23"/>
        <v>2.0132091624845274E-2</v>
      </c>
      <c r="S83" s="2"/>
      <c r="T83" s="7">
        <v>13780.2</v>
      </c>
      <c r="U83" s="2"/>
      <c r="V83" s="6">
        <f t="shared" si="24"/>
        <v>9.3938059151705573E-3</v>
      </c>
      <c r="W83" s="2"/>
      <c r="X83" s="7">
        <f t="shared" si="25"/>
        <v>4048.8499999999985</v>
      </c>
      <c r="Y83" s="2"/>
      <c r="Z83" s="6">
        <f t="shared" si="26"/>
        <v>0.29381649032670049</v>
      </c>
    </row>
    <row r="84" spans="1:26" s="24" customFormat="1" hidden="1" outlineLevel="2" x14ac:dyDescent="0.25">
      <c r="A84" s="27"/>
      <c r="B84" s="11" t="str">
        <f>CONCATENATE("          ", "6114", " - ", "STATE UNEMPLOYMENT INSURANCE")</f>
        <v xml:space="preserve">          6114 - STATE UNEMPLOYMENT INSURANCE</v>
      </c>
      <c r="C84" s="11"/>
      <c r="D84" s="7"/>
      <c r="E84" s="2"/>
      <c r="F84" s="6">
        <f t="shared" si="19"/>
        <v>0</v>
      </c>
      <c r="G84" s="2"/>
      <c r="H84" s="7">
        <v>73.150000000000006</v>
      </c>
      <c r="I84" s="2"/>
      <c r="J84" s="6">
        <f t="shared" si="20"/>
        <v>2.9559558935012134E-4</v>
      </c>
      <c r="K84" s="2"/>
      <c r="L84" s="7">
        <f t="shared" si="21"/>
        <v>-73.150000000000006</v>
      </c>
      <c r="M84" s="2"/>
      <c r="N84" s="6">
        <f t="shared" si="22"/>
        <v>-1</v>
      </c>
      <c r="O84" s="11"/>
      <c r="P84" s="7">
        <v>502.28</v>
      </c>
      <c r="Q84" s="2"/>
      <c r="R84" s="6">
        <f t="shared" si="23"/>
        <v>5.671612890943311E-4</v>
      </c>
      <c r="S84" s="2"/>
      <c r="T84" s="7">
        <v>414.92</v>
      </c>
      <c r="U84" s="2"/>
      <c r="V84" s="6">
        <f t="shared" si="24"/>
        <v>2.8284625406906777E-4</v>
      </c>
      <c r="W84" s="2"/>
      <c r="X84" s="7">
        <f t="shared" si="25"/>
        <v>87.359999999999957</v>
      </c>
      <c r="Y84" s="2"/>
      <c r="Z84" s="6">
        <f t="shared" si="26"/>
        <v>0.21054661139496758</v>
      </c>
    </row>
    <row r="85" spans="1:26" s="24" customFormat="1" hidden="1" outlineLevel="2" x14ac:dyDescent="0.25">
      <c r="A85" s="27"/>
      <c r="B85" s="11" t="str">
        <f>CONCATENATE("          ", "6115", " - ", "P.E.R.S.")</f>
        <v xml:space="preserve">          6115 - P.E.R.S.</v>
      </c>
      <c r="C85" s="11"/>
      <c r="D85" s="7">
        <v>1554.7</v>
      </c>
      <c r="E85" s="2"/>
      <c r="F85" s="6">
        <f t="shared" si="19"/>
        <v>8.8460544702333166E-3</v>
      </c>
      <c r="G85" s="2"/>
      <c r="H85" s="7">
        <v>621.85</v>
      </c>
      <c r="I85" s="2"/>
      <c r="J85" s="6">
        <f t="shared" si="20"/>
        <v>2.5128655808253305E-3</v>
      </c>
      <c r="K85" s="2"/>
      <c r="L85" s="7">
        <f t="shared" si="21"/>
        <v>932.85</v>
      </c>
      <c r="M85" s="2"/>
      <c r="N85" s="6">
        <f t="shared" si="22"/>
        <v>1.5001206078636327</v>
      </c>
      <c r="O85" s="11"/>
      <c r="P85" s="7">
        <v>9314.98</v>
      </c>
      <c r="Q85" s="2"/>
      <c r="R85" s="6">
        <f t="shared" si="23"/>
        <v>1.0518229005112512E-2</v>
      </c>
      <c r="S85" s="2"/>
      <c r="T85" s="7">
        <v>5221.1400000000003</v>
      </c>
      <c r="U85" s="2"/>
      <c r="V85" s="6">
        <f t="shared" si="24"/>
        <v>3.5591918706501793E-3</v>
      </c>
      <c r="W85" s="2"/>
      <c r="X85" s="7">
        <f t="shared" si="25"/>
        <v>4093.8399999999992</v>
      </c>
      <c r="Y85" s="2"/>
      <c r="Z85" s="6">
        <f t="shared" si="26"/>
        <v>0.78408929850569009</v>
      </c>
    </row>
    <row r="86" spans="1:26" s="24" customFormat="1" hidden="1" outlineLevel="2" x14ac:dyDescent="0.25">
      <c r="A86" s="27"/>
      <c r="B86" s="11" t="str">
        <f>CONCATENATE("          ", "6118", " - ", "VACATION")</f>
        <v xml:space="preserve">          6118 - VACATION</v>
      </c>
      <c r="C86" s="11"/>
      <c r="D86" s="7">
        <v>1290.6199999999999</v>
      </c>
      <c r="E86" s="2"/>
      <c r="F86" s="6">
        <f t="shared" si="19"/>
        <v>7.3434712937367475E-3</v>
      </c>
      <c r="G86" s="2"/>
      <c r="H86" s="7">
        <v>491.28</v>
      </c>
      <c r="I86" s="2"/>
      <c r="J86" s="6">
        <f t="shared" si="20"/>
        <v>1.9852385664515049E-3</v>
      </c>
      <c r="K86" s="2"/>
      <c r="L86" s="7">
        <f t="shared" si="21"/>
        <v>799.33999999999992</v>
      </c>
      <c r="M86" s="2"/>
      <c r="N86" s="6">
        <f t="shared" si="22"/>
        <v>1.6270558540954241</v>
      </c>
      <c r="O86" s="11"/>
      <c r="P86" s="7">
        <v>7121.11</v>
      </c>
      <c r="Q86" s="2"/>
      <c r="R86" s="6">
        <f t="shared" si="23"/>
        <v>8.0409690359610816E-3</v>
      </c>
      <c r="S86" s="2"/>
      <c r="T86" s="7">
        <v>4516.7299999999996</v>
      </c>
      <c r="U86" s="2"/>
      <c r="V86" s="6">
        <f t="shared" si="24"/>
        <v>3.0790035697035095E-3</v>
      </c>
      <c r="W86" s="2"/>
      <c r="X86" s="7">
        <f t="shared" si="25"/>
        <v>2604.38</v>
      </c>
      <c r="Y86" s="2"/>
      <c r="Z86" s="6">
        <f t="shared" si="26"/>
        <v>0.5766074128849854</v>
      </c>
    </row>
    <row r="87" spans="1:26" s="24" customFormat="1" hidden="1" outlineLevel="2" x14ac:dyDescent="0.25">
      <c r="A87" s="27"/>
      <c r="B87" s="11" t="str">
        <f>CONCATENATE("          ", "6119", " - ", "SICK LEAVE")</f>
        <v xml:space="preserve">          6119 - SICK LEAVE</v>
      </c>
      <c r="C87" s="11"/>
      <c r="D87" s="7">
        <v>889.54</v>
      </c>
      <c r="E87" s="2"/>
      <c r="F87" s="6">
        <f t="shared" si="19"/>
        <v>5.0613747304633335E-3</v>
      </c>
      <c r="G87" s="2"/>
      <c r="H87" s="7">
        <v>280.62</v>
      </c>
      <c r="I87" s="2"/>
      <c r="J87" s="6">
        <f t="shared" si="20"/>
        <v>1.1339717605390435E-3</v>
      </c>
      <c r="K87" s="2"/>
      <c r="L87" s="7">
        <f t="shared" si="21"/>
        <v>608.91999999999996</v>
      </c>
      <c r="M87" s="2"/>
      <c r="N87" s="6">
        <f t="shared" si="22"/>
        <v>2.1699094861378376</v>
      </c>
      <c r="O87" s="11"/>
      <c r="P87" s="7">
        <v>5124.2700000000004</v>
      </c>
      <c r="Q87" s="2"/>
      <c r="R87" s="6">
        <f t="shared" si="23"/>
        <v>5.7861901307386483E-3</v>
      </c>
      <c r="S87" s="2"/>
      <c r="T87" s="7">
        <v>4198.53</v>
      </c>
      <c r="U87" s="2"/>
      <c r="V87" s="6">
        <f t="shared" si="24"/>
        <v>2.8620902417251588E-3</v>
      </c>
      <c r="W87" s="2"/>
      <c r="X87" s="7">
        <f t="shared" si="25"/>
        <v>925.74000000000069</v>
      </c>
      <c r="Y87" s="2"/>
      <c r="Z87" s="6">
        <f t="shared" si="26"/>
        <v>0.22049145772448947</v>
      </c>
    </row>
    <row r="88" spans="1:26" s="24" customFormat="1" hidden="1" outlineLevel="2" x14ac:dyDescent="0.25">
      <c r="A88" s="27"/>
      <c r="B88" s="11" t="str">
        <f>CONCATENATE("          ", "6156", " - ", "EMPLOYEE MEALS")</f>
        <v xml:space="preserve">          6156 - EMPLOYEE MEALS</v>
      </c>
      <c r="C88" s="11"/>
      <c r="D88" s="7">
        <v>306.52</v>
      </c>
      <c r="E88" s="2"/>
      <c r="F88" s="6">
        <f t="shared" si="19"/>
        <v>1.7440616300353226E-3</v>
      </c>
      <c r="G88" s="2"/>
      <c r="H88" s="7">
        <v>126.1</v>
      </c>
      <c r="I88" s="2"/>
      <c r="J88" s="6">
        <f t="shared" si="20"/>
        <v>5.0956396195557475E-4</v>
      </c>
      <c r="K88" s="2"/>
      <c r="L88" s="7">
        <f t="shared" si="21"/>
        <v>180.42</v>
      </c>
      <c r="M88" s="2"/>
      <c r="N88" s="6">
        <f t="shared" si="22"/>
        <v>1.4307692307692308</v>
      </c>
      <c r="O88" s="11"/>
      <c r="P88" s="7">
        <v>1868.02</v>
      </c>
      <c r="Q88" s="2"/>
      <c r="R88" s="6">
        <f t="shared" si="23"/>
        <v>2.1093187689217017E-3</v>
      </c>
      <c r="S88" s="2"/>
      <c r="T88" s="7">
        <v>925.16</v>
      </c>
      <c r="U88" s="2"/>
      <c r="V88" s="6">
        <f t="shared" si="24"/>
        <v>6.3067107012083944E-4</v>
      </c>
      <c r="W88" s="2"/>
      <c r="X88" s="7">
        <f t="shared" si="25"/>
        <v>942.86</v>
      </c>
      <c r="Y88" s="2"/>
      <c r="Z88" s="6">
        <f t="shared" si="26"/>
        <v>1.0191318258463402</v>
      </c>
    </row>
    <row r="89" spans="1:26" s="25" customFormat="1" outlineLevel="1" collapsed="1" x14ac:dyDescent="0.25">
      <c r="A89" s="26"/>
      <c r="B89" s="13" t="str">
        <f>CONCATENATE("     ","*Payroll                                          ")</f>
        <v xml:space="preserve">     *Payroll                                          </v>
      </c>
      <c r="C89" s="13"/>
      <c r="D89" s="1">
        <f>SUM(OSRRefD22_1x_0)</f>
        <v>28873.84</v>
      </c>
      <c r="E89" s="1"/>
      <c r="F89" s="5">
        <f t="shared" ref="F89:F95" si="27">IF(D$12=0,0,D89/D$12)</f>
        <v>0.16428864823104236</v>
      </c>
      <c r="G89" s="1"/>
      <c r="H89" s="1">
        <f>SUM(OSRRefH22_1x_0)</f>
        <v>18497.89</v>
      </c>
      <c r="I89" s="1"/>
      <c r="J89" s="5">
        <f t="shared" ref="J89:J95" si="28">IF(H$12=0,0,H89/H$12)</f>
        <v>7.4749073086585308E-2</v>
      </c>
      <c r="K89" s="1"/>
      <c r="L89" s="1">
        <f t="shared" ref="L89:L95" si="29">+D89-H89</f>
        <v>10375.950000000001</v>
      </c>
      <c r="M89" s="1"/>
      <c r="N89" s="5">
        <f t="shared" ref="N89:N95" si="30">IF(H89=0,0,L89/H89)</f>
        <v>0.56092613806223313</v>
      </c>
      <c r="O89" s="13"/>
      <c r="P89" s="1">
        <f>SUM(OSRRefP22_1x_0)</f>
        <v>173372.85</v>
      </c>
      <c r="Q89" s="1"/>
      <c r="R89" s="5">
        <f t="shared" ref="R89:R95" si="31">IF(P$12=0,0,P89/P$12)</f>
        <v>0.19576803595595704</v>
      </c>
      <c r="S89" s="1"/>
      <c r="T89" s="1">
        <f>SUM(OSRRefT22_1x_0)</f>
        <v>146846.65999999997</v>
      </c>
      <c r="U89" s="1"/>
      <c r="V89" s="5">
        <f t="shared" ref="V89:V95" si="32">IF(T$12=0,0,T89/T$12)</f>
        <v>0.10010370120397667</v>
      </c>
      <c r="W89" s="1"/>
      <c r="X89" s="1">
        <f t="shared" ref="X89:X95" si="33">+P89-T89</f>
        <v>26526.190000000031</v>
      </c>
      <c r="Y89" s="1"/>
      <c r="Z89" s="5">
        <f t="shared" ref="Z89:Z95" si="34">IF(T89=0,0,X89/T89)</f>
        <v>0.18063870162249543</v>
      </c>
    </row>
    <row r="90" spans="1:26" s="24" customFormat="1" hidden="1" outlineLevel="2" x14ac:dyDescent="0.25">
      <c r="A90" s="27"/>
      <c r="B90" s="11" t="str">
        <f>CONCATENATE("          ", "6002", " - ", "STAFF SALARIES")</f>
        <v xml:space="preserve">          6002 - STAFF SALARIES</v>
      </c>
      <c r="C90" s="11"/>
      <c r="D90" s="7">
        <v>14255.41</v>
      </c>
      <c r="E90" s="2"/>
      <c r="F90" s="6">
        <f t="shared" si="27"/>
        <v>8.111155422622289E-2</v>
      </c>
      <c r="G90" s="2"/>
      <c r="H90" s="7">
        <v>4943.32</v>
      </c>
      <c r="I90" s="2"/>
      <c r="J90" s="6">
        <f t="shared" si="28"/>
        <v>1.9975715498923328E-2</v>
      </c>
      <c r="K90" s="2"/>
      <c r="L90" s="7">
        <f t="shared" si="29"/>
        <v>9312.09</v>
      </c>
      <c r="M90" s="2"/>
      <c r="N90" s="6">
        <f t="shared" si="30"/>
        <v>1.8837724444300592</v>
      </c>
      <c r="O90" s="11"/>
      <c r="P90" s="7">
        <v>75585.47</v>
      </c>
      <c r="Q90" s="2"/>
      <c r="R90" s="6">
        <f t="shared" si="31"/>
        <v>8.5349113247592756E-2</v>
      </c>
      <c r="S90" s="2"/>
      <c r="T90" s="7">
        <v>50147.64</v>
      </c>
      <c r="U90" s="2"/>
      <c r="V90" s="6">
        <f t="shared" si="32"/>
        <v>3.4185076941107069E-2</v>
      </c>
      <c r="W90" s="2"/>
      <c r="X90" s="7">
        <f t="shared" si="33"/>
        <v>25437.83</v>
      </c>
      <c r="Y90" s="2"/>
      <c r="Z90" s="6">
        <f t="shared" si="34"/>
        <v>0.50725876631482558</v>
      </c>
    </row>
    <row r="91" spans="1:26" s="24" customFormat="1" hidden="1" outlineLevel="2" x14ac:dyDescent="0.25">
      <c r="A91" s="27"/>
      <c r="B91" s="11" t="str">
        <f>CONCATENATE("          ", "6004", " - ", "STAFF HOURLY")</f>
        <v xml:space="preserve">          6004 - STAFF HOURLY</v>
      </c>
      <c r="C91" s="11"/>
      <c r="D91" s="7">
        <v>3113.48</v>
      </c>
      <c r="E91" s="2"/>
      <c r="F91" s="6">
        <f t="shared" si="27"/>
        <v>1.7715323645707871E-2</v>
      </c>
      <c r="G91" s="2"/>
      <c r="H91" s="7"/>
      <c r="I91" s="2"/>
      <c r="J91" s="6">
        <f t="shared" si="28"/>
        <v>0</v>
      </c>
      <c r="K91" s="2"/>
      <c r="L91" s="7">
        <f t="shared" si="29"/>
        <v>3113.48</v>
      </c>
      <c r="M91" s="2"/>
      <c r="N91" s="6">
        <f t="shared" si="30"/>
        <v>0</v>
      </c>
      <c r="O91" s="11"/>
      <c r="P91" s="7">
        <v>38800.54</v>
      </c>
      <c r="Q91" s="2"/>
      <c r="R91" s="6">
        <f t="shared" si="31"/>
        <v>4.3812543370144459E-2</v>
      </c>
      <c r="S91" s="2"/>
      <c r="T91" s="7">
        <v>-912.61</v>
      </c>
      <c r="U91" s="2"/>
      <c r="V91" s="6">
        <f t="shared" si="32"/>
        <v>-6.2211587758115273E-4</v>
      </c>
      <c r="W91" s="2"/>
      <c r="X91" s="7">
        <f t="shared" si="33"/>
        <v>39713.15</v>
      </c>
      <c r="Y91" s="2"/>
      <c r="Z91" s="6">
        <f t="shared" si="34"/>
        <v>-43.516014507840154</v>
      </c>
    </row>
    <row r="92" spans="1:26" s="24" customFormat="1" hidden="1" outlineLevel="2" x14ac:dyDescent="0.25">
      <c r="A92" s="27"/>
      <c r="B92" s="11" t="str">
        <f>CONCATENATE("          ", "6005", " - ", "TEMPORARY WAGES-HOURLY")</f>
        <v xml:space="preserve">          6005 - TEMPORARY WAGES-HOURLY</v>
      </c>
      <c r="C92" s="11"/>
      <c r="D92" s="7">
        <v>4075.45</v>
      </c>
      <c r="E92" s="2"/>
      <c r="F92" s="6">
        <f t="shared" si="27"/>
        <v>2.3188816292990525E-2</v>
      </c>
      <c r="G92" s="2"/>
      <c r="H92" s="7">
        <v>3172.1</v>
      </c>
      <c r="I92" s="2"/>
      <c r="J92" s="6">
        <f t="shared" si="28"/>
        <v>1.2818301694839641E-2</v>
      </c>
      <c r="K92" s="2"/>
      <c r="L92" s="7">
        <f t="shared" si="29"/>
        <v>903.34999999999991</v>
      </c>
      <c r="M92" s="2"/>
      <c r="N92" s="6">
        <f t="shared" si="30"/>
        <v>0.28477979887141008</v>
      </c>
      <c r="O92" s="11"/>
      <c r="P92" s="7">
        <v>23614.69</v>
      </c>
      <c r="Q92" s="2"/>
      <c r="R92" s="6">
        <f t="shared" si="31"/>
        <v>2.666508326424108E-2</v>
      </c>
      <c r="S92" s="2"/>
      <c r="T92" s="7">
        <v>21833.18</v>
      </c>
      <c r="U92" s="2"/>
      <c r="V92" s="6">
        <f t="shared" si="32"/>
        <v>1.4883430968417257E-2</v>
      </c>
      <c r="W92" s="2"/>
      <c r="X92" s="7">
        <f t="shared" si="33"/>
        <v>1781.5099999999984</v>
      </c>
      <c r="Y92" s="2"/>
      <c r="Z92" s="6">
        <f t="shared" si="34"/>
        <v>8.15964509063727E-2</v>
      </c>
    </row>
    <row r="93" spans="1:26" s="24" customFormat="1" hidden="1" outlineLevel="2" x14ac:dyDescent="0.25">
      <c r="A93" s="27"/>
      <c r="B93" s="11" t="str">
        <f>CONCATENATE("          ", "6006", " - ", "TEMPORARY PART TIME")</f>
        <v xml:space="preserve">          6006 - TEMPORARY PART TIME</v>
      </c>
      <c r="C93" s="11"/>
      <c r="D93" s="7"/>
      <c r="E93" s="2"/>
      <c r="F93" s="6">
        <f t="shared" si="27"/>
        <v>0</v>
      </c>
      <c r="G93" s="2"/>
      <c r="H93" s="7"/>
      <c r="I93" s="2"/>
      <c r="J93" s="6">
        <f t="shared" si="28"/>
        <v>0</v>
      </c>
      <c r="K93" s="2"/>
      <c r="L93" s="7">
        <f t="shared" si="29"/>
        <v>0</v>
      </c>
      <c r="M93" s="2"/>
      <c r="N93" s="6">
        <f t="shared" si="30"/>
        <v>0</v>
      </c>
      <c r="O93" s="11"/>
      <c r="P93" s="7"/>
      <c r="Q93" s="2"/>
      <c r="R93" s="6">
        <f t="shared" si="31"/>
        <v>0</v>
      </c>
      <c r="S93" s="2"/>
      <c r="T93" s="7">
        <v>66.5</v>
      </c>
      <c r="U93" s="2"/>
      <c r="V93" s="6">
        <f t="shared" si="32"/>
        <v>4.5332295130610731E-5</v>
      </c>
      <c r="W93" s="2"/>
      <c r="X93" s="7">
        <f t="shared" si="33"/>
        <v>-66.5</v>
      </c>
      <c r="Y93" s="2"/>
      <c r="Z93" s="6">
        <f t="shared" si="34"/>
        <v>-1</v>
      </c>
    </row>
    <row r="94" spans="1:26" s="24" customFormat="1" hidden="1" outlineLevel="2" x14ac:dyDescent="0.25">
      <c r="A94" s="27"/>
      <c r="B94" s="11" t="str">
        <f>CONCATENATE("          ", "6007", " - ", "STUDENT HOURLY")</f>
        <v xml:space="preserve">          6007 - STUDENT HOURLY</v>
      </c>
      <c r="C94" s="11"/>
      <c r="D94" s="7">
        <v>6799</v>
      </c>
      <c r="E94" s="2"/>
      <c r="F94" s="6">
        <f t="shared" si="27"/>
        <v>3.8685485523326894E-2</v>
      </c>
      <c r="G94" s="2"/>
      <c r="H94" s="7">
        <v>10382.469999999999</v>
      </c>
      <c r="I94" s="2"/>
      <c r="J94" s="6">
        <f t="shared" si="28"/>
        <v>4.1955055892822335E-2</v>
      </c>
      <c r="K94" s="2"/>
      <c r="L94" s="7">
        <f t="shared" si="29"/>
        <v>-3583.4699999999993</v>
      </c>
      <c r="M94" s="2"/>
      <c r="N94" s="6">
        <f t="shared" si="30"/>
        <v>-0.34514619353583487</v>
      </c>
      <c r="O94" s="11"/>
      <c r="P94" s="7">
        <v>32159.129999999997</v>
      </c>
      <c r="Q94" s="2"/>
      <c r="R94" s="6">
        <f t="shared" si="31"/>
        <v>3.6313238884590614E-2</v>
      </c>
      <c r="S94" s="2"/>
      <c r="T94" s="7">
        <v>75516.95</v>
      </c>
      <c r="U94" s="2"/>
      <c r="V94" s="6">
        <f t="shared" si="32"/>
        <v>5.1479047590429684E-2</v>
      </c>
      <c r="W94" s="2"/>
      <c r="X94" s="7">
        <f t="shared" si="33"/>
        <v>-43357.82</v>
      </c>
      <c r="Y94" s="2"/>
      <c r="Z94" s="6">
        <f t="shared" si="34"/>
        <v>-0.57414686371735091</v>
      </c>
    </row>
    <row r="95" spans="1:26" s="24" customFormat="1" hidden="1" outlineLevel="2" x14ac:dyDescent="0.25">
      <c r="A95" s="27"/>
      <c r="B95" s="11" t="str">
        <f>CONCATENATE("          ", "6008", " - ", "STUDENT HOURLY-FICA EXEMPT")</f>
        <v xml:space="preserve">          6008 - STUDENT HOURLY-FICA EXEMPT</v>
      </c>
      <c r="C95" s="11"/>
      <c r="D95" s="7">
        <v>630.5</v>
      </c>
      <c r="E95" s="2"/>
      <c r="F95" s="6">
        <f t="shared" si="27"/>
        <v>3.5874685427941763E-3</v>
      </c>
      <c r="G95" s="2"/>
      <c r="H95" s="7"/>
      <c r="I95" s="2"/>
      <c r="J95" s="6">
        <f t="shared" si="28"/>
        <v>0</v>
      </c>
      <c r="K95" s="2"/>
      <c r="L95" s="7">
        <f t="shared" si="29"/>
        <v>630.5</v>
      </c>
      <c r="M95" s="2"/>
      <c r="N95" s="6">
        <f t="shared" si="30"/>
        <v>0</v>
      </c>
      <c r="O95" s="11"/>
      <c r="P95" s="7">
        <v>3213.02</v>
      </c>
      <c r="Q95" s="2"/>
      <c r="R95" s="6">
        <f t="shared" si="31"/>
        <v>3.6280571893881255E-3</v>
      </c>
      <c r="S95" s="2"/>
      <c r="T95" s="7">
        <v>195</v>
      </c>
      <c r="U95" s="2"/>
      <c r="V95" s="6">
        <f t="shared" si="32"/>
        <v>1.3292928647321944E-4</v>
      </c>
      <c r="W95" s="2"/>
      <c r="X95" s="7">
        <f t="shared" si="33"/>
        <v>3018.02</v>
      </c>
      <c r="Y95" s="2"/>
      <c r="Z95" s="6">
        <f t="shared" si="34"/>
        <v>15.477025641025641</v>
      </c>
    </row>
    <row r="96" spans="1:26" s="25" customFormat="1" outlineLevel="1" collapsed="1" x14ac:dyDescent="0.25">
      <c r="A96" s="26"/>
      <c r="B96" s="13" t="str">
        <f>CONCATENATE("     ","Advertising/Promo                                 ")</f>
        <v xml:space="preserve">     Advertising/Promo                                 </v>
      </c>
      <c r="C96" s="13"/>
      <c r="D96" s="1">
        <f>SUM(OSRRefD22_2x_0)</f>
        <v>220.5</v>
      </c>
      <c r="E96" s="1"/>
      <c r="F96" s="5">
        <f t="shared" ref="F96:F100" si="35">IF(D$12=0,0,D96/D$12)</f>
        <v>1.2546182611992323E-3</v>
      </c>
      <c r="G96" s="1"/>
      <c r="H96" s="1">
        <f>SUM(OSRRefH22_2x_0)</f>
        <v>2187.33</v>
      </c>
      <c r="I96" s="1"/>
      <c r="J96" s="5">
        <f t="shared" ref="J96:J100" si="36">IF(H$12=0,0,H96/H$12)</f>
        <v>8.8388940595106064E-3</v>
      </c>
      <c r="K96" s="1"/>
      <c r="L96" s="1">
        <f t="shared" ref="L96:L100" si="37">+D96-H96</f>
        <v>-1966.83</v>
      </c>
      <c r="M96" s="1"/>
      <c r="N96" s="5">
        <f t="shared" ref="N96:N100" si="38">IF(H96=0,0,L96/H96)</f>
        <v>-0.89919216579117001</v>
      </c>
      <c r="O96" s="13"/>
      <c r="P96" s="1">
        <f>SUM(OSRRefP22_2x_0)</f>
        <v>12023.15</v>
      </c>
      <c r="Q96" s="1"/>
      <c r="R96" s="5">
        <f t="shared" ref="R96:R100" si="39">IF(P$12=0,0,P96/P$12)</f>
        <v>1.357622292939099E-2</v>
      </c>
      <c r="S96" s="1"/>
      <c r="T96" s="1">
        <f>SUM(OSRRefT22_2x_0)</f>
        <v>11494.64</v>
      </c>
      <c r="U96" s="1"/>
      <c r="V96" s="5">
        <f t="shared" ref="V96:V100" si="40">IF(T$12=0,0,T96/T$12)</f>
        <v>7.8357656075206516E-3</v>
      </c>
      <c r="W96" s="1"/>
      <c r="X96" s="1">
        <f t="shared" ref="X96:X100" si="41">+P96-T96</f>
        <v>528.51000000000022</v>
      </c>
      <c r="Y96" s="1"/>
      <c r="Z96" s="5">
        <f t="shared" ref="Z96:Z100" si="42">IF(T96=0,0,X96/T96)</f>
        <v>4.5978821433294147E-2</v>
      </c>
    </row>
    <row r="97" spans="1:26" s="24" customFormat="1" hidden="1" outlineLevel="2" x14ac:dyDescent="0.25">
      <c r="A97" s="27"/>
      <c r="B97" s="11" t="str">
        <f>CONCATENATE("          ", "6362", " - ", "ADVERTISING EXPENSE")</f>
        <v xml:space="preserve">          6362 - ADVERTISING EXPENSE</v>
      </c>
      <c r="C97" s="11"/>
      <c r="D97" s="7">
        <v>220.5</v>
      </c>
      <c r="E97" s="2"/>
      <c r="F97" s="6">
        <f t="shared" si="35"/>
        <v>1.2546182611992323E-3</v>
      </c>
      <c r="G97" s="2"/>
      <c r="H97" s="7">
        <v>2187.33</v>
      </c>
      <c r="I97" s="2"/>
      <c r="J97" s="6">
        <f t="shared" si="36"/>
        <v>8.8388940595106064E-3</v>
      </c>
      <c r="K97" s="2"/>
      <c r="L97" s="7">
        <f t="shared" si="37"/>
        <v>-1966.83</v>
      </c>
      <c r="M97" s="2"/>
      <c r="N97" s="6">
        <f t="shared" si="38"/>
        <v>-0.89919216579117001</v>
      </c>
      <c r="O97" s="11"/>
      <c r="P97" s="7">
        <v>12023.15</v>
      </c>
      <c r="Q97" s="2"/>
      <c r="R97" s="6">
        <f t="shared" si="39"/>
        <v>1.357622292939099E-2</v>
      </c>
      <c r="S97" s="2"/>
      <c r="T97" s="7">
        <v>11494.64</v>
      </c>
      <c r="U97" s="2"/>
      <c r="V97" s="6">
        <f t="shared" si="40"/>
        <v>7.8357656075206516E-3</v>
      </c>
      <c r="W97" s="2"/>
      <c r="X97" s="7">
        <f t="shared" si="41"/>
        <v>528.51000000000022</v>
      </c>
      <c r="Y97" s="2"/>
      <c r="Z97" s="6">
        <f t="shared" si="42"/>
        <v>4.5978821433294147E-2</v>
      </c>
    </row>
    <row r="98" spans="1:26" s="25" customFormat="1" outlineLevel="1" collapsed="1" x14ac:dyDescent="0.25">
      <c r="A98" s="26"/>
      <c r="B98" s="13" t="str">
        <f>CONCATENATE("     ","Discounts and Markdowns                           ")</f>
        <v xml:space="preserve">     Discounts and Markdowns                           </v>
      </c>
      <c r="C98" s="13"/>
      <c r="D98" s="1">
        <f>SUM(OSRRefD22_3x_0)</f>
        <v>0</v>
      </c>
      <c r="E98" s="1"/>
      <c r="F98" s="5">
        <f t="shared" si="35"/>
        <v>0</v>
      </c>
      <c r="G98" s="1"/>
      <c r="H98" s="1">
        <f>SUM(OSRRefH22_3x_0)</f>
        <v>27822.57</v>
      </c>
      <c r="I98" s="1"/>
      <c r="J98" s="5">
        <f t="shared" si="36"/>
        <v>0.11242965107840061</v>
      </c>
      <c r="K98" s="1"/>
      <c r="L98" s="1">
        <f t="shared" si="37"/>
        <v>-27822.57</v>
      </c>
      <c r="M98" s="1"/>
      <c r="N98" s="5">
        <f t="shared" si="38"/>
        <v>-1</v>
      </c>
      <c r="O98" s="13"/>
      <c r="P98" s="1">
        <f>SUM(OSRRefP22_3x_0)</f>
        <v>0</v>
      </c>
      <c r="Q98" s="1"/>
      <c r="R98" s="5">
        <f t="shared" si="39"/>
        <v>0</v>
      </c>
      <c r="S98" s="1"/>
      <c r="T98" s="1">
        <f>SUM(OSRRefT22_3x_0)</f>
        <v>130678.95999999999</v>
      </c>
      <c r="U98" s="1"/>
      <c r="V98" s="5">
        <f t="shared" si="40"/>
        <v>8.9082363640319906E-2</v>
      </c>
      <c r="W98" s="1"/>
      <c r="X98" s="1">
        <f t="shared" si="41"/>
        <v>-130678.95999999999</v>
      </c>
      <c r="Y98" s="1"/>
      <c r="Z98" s="5">
        <f t="shared" si="42"/>
        <v>-1</v>
      </c>
    </row>
    <row r="99" spans="1:26" s="24" customFormat="1" hidden="1" outlineLevel="2" x14ac:dyDescent="0.25">
      <c r="A99" s="27"/>
      <c r="B99" s="11" t="str">
        <f>CONCATENATE("          ", "6382", " - ", "DISCOUNTS/MARK DOWNS")</f>
        <v xml:space="preserve">          6382 - DISCOUNTS/MARK DOWNS</v>
      </c>
      <c r="C99" s="11"/>
      <c r="D99" s="7"/>
      <c r="E99" s="2"/>
      <c r="F99" s="6">
        <f t="shared" si="35"/>
        <v>0</v>
      </c>
      <c r="G99" s="2"/>
      <c r="H99" s="7">
        <v>27834.489999999998</v>
      </c>
      <c r="I99" s="2"/>
      <c r="J99" s="6">
        <f t="shared" si="36"/>
        <v>0.1124778192181826</v>
      </c>
      <c r="K99" s="2"/>
      <c r="L99" s="7">
        <f t="shared" si="37"/>
        <v>-27834.489999999998</v>
      </c>
      <c r="M99" s="2"/>
      <c r="N99" s="6">
        <f t="shared" si="38"/>
        <v>-1</v>
      </c>
      <c r="O99" s="11"/>
      <c r="P99" s="7"/>
      <c r="Q99" s="2"/>
      <c r="R99" s="6">
        <f t="shared" si="39"/>
        <v>0</v>
      </c>
      <c r="S99" s="2"/>
      <c r="T99" s="7">
        <v>130698.34999999999</v>
      </c>
      <c r="U99" s="2"/>
      <c r="V99" s="6">
        <f t="shared" si="40"/>
        <v>8.9095581583215885E-2</v>
      </c>
      <c r="W99" s="2"/>
      <c r="X99" s="7">
        <f t="shared" si="41"/>
        <v>-130698.34999999999</v>
      </c>
      <c r="Y99" s="2"/>
      <c r="Z99" s="6">
        <f t="shared" si="42"/>
        <v>-1</v>
      </c>
    </row>
    <row r="100" spans="1:26" s="24" customFormat="1" hidden="1" outlineLevel="2" x14ac:dyDescent="0.25">
      <c r="A100" s="27"/>
      <c r="B100" s="11" t="str">
        <f>CONCATENATE("          ", "9175", " - ", "EARNED DISCOUNTS")</f>
        <v xml:space="preserve">          9175 - EARNED DISCOUNTS</v>
      </c>
      <c r="C100" s="11"/>
      <c r="D100" s="7"/>
      <c r="E100" s="2"/>
      <c r="F100" s="6">
        <f t="shared" si="35"/>
        <v>0</v>
      </c>
      <c r="G100" s="2"/>
      <c r="H100" s="7">
        <v>-11.92</v>
      </c>
      <c r="I100" s="2"/>
      <c r="J100" s="6">
        <f t="shared" si="36"/>
        <v>-4.8168139782001997E-5</v>
      </c>
      <c r="K100" s="2"/>
      <c r="L100" s="7">
        <f t="shared" si="37"/>
        <v>11.92</v>
      </c>
      <c r="M100" s="2"/>
      <c r="N100" s="6">
        <f t="shared" si="38"/>
        <v>-1</v>
      </c>
      <c r="O100" s="11"/>
      <c r="P100" s="7"/>
      <c r="Q100" s="2"/>
      <c r="R100" s="6">
        <f t="shared" si="39"/>
        <v>0</v>
      </c>
      <c r="S100" s="2"/>
      <c r="T100" s="7">
        <v>-19.39</v>
      </c>
      <c r="U100" s="2"/>
      <c r="V100" s="6">
        <f t="shared" si="40"/>
        <v>-1.3217942895978076E-5</v>
      </c>
      <c r="W100" s="2"/>
      <c r="X100" s="7">
        <f t="shared" si="41"/>
        <v>19.39</v>
      </c>
      <c r="Y100" s="2"/>
      <c r="Z100" s="6">
        <f t="shared" si="42"/>
        <v>-1</v>
      </c>
    </row>
    <row r="101" spans="1:26" s="25" customFormat="1" outlineLevel="1" collapsed="1" x14ac:dyDescent="0.25">
      <c r="A101" s="26"/>
      <c r="B101" s="13" t="str">
        <f>CONCATENATE("     ","Employees' Appreciation                           ")</f>
        <v xml:space="preserve">     Employees' Appreciation                           </v>
      </c>
      <c r="C101" s="13"/>
      <c r="D101" s="1">
        <f>SUM(OSRRefD22_4x_0)</f>
        <v>0</v>
      </c>
      <c r="E101" s="1"/>
      <c r="F101" s="5">
        <f t="shared" ref="F101:F105" si="43">IF(D$12=0,0,D101/D$12)</f>
        <v>0</v>
      </c>
      <c r="G101" s="1"/>
      <c r="H101" s="1">
        <f>SUM(OSRRefH22_4x_0)</f>
        <v>0</v>
      </c>
      <c r="I101" s="1"/>
      <c r="J101" s="5">
        <f t="shared" ref="J101:J105" si="44">IF(H$12=0,0,H101/H$12)</f>
        <v>0</v>
      </c>
      <c r="K101" s="1"/>
      <c r="L101" s="1">
        <f t="shared" ref="L101:L105" si="45">+D101-H101</f>
        <v>0</v>
      </c>
      <c r="M101" s="1"/>
      <c r="N101" s="5">
        <f t="shared" ref="N101:N105" si="46">IF(H101=0,0,L101/H101)</f>
        <v>0</v>
      </c>
      <c r="O101" s="13"/>
      <c r="P101" s="1">
        <f>SUM(OSRRefP22_4x_0)</f>
        <v>0</v>
      </c>
      <c r="Q101" s="1"/>
      <c r="R101" s="5">
        <f t="shared" ref="R101:R105" si="47">IF(P$12=0,0,P101/P$12)</f>
        <v>0</v>
      </c>
      <c r="S101" s="1"/>
      <c r="T101" s="1">
        <f>SUM(OSRRefT22_4x_0)</f>
        <v>209.48</v>
      </c>
      <c r="U101" s="1"/>
      <c r="V101" s="5">
        <f t="shared" ref="V101:V105" si="48">IF(T$12=0,0,T101/T$12)</f>
        <v>1.428001381046667E-4</v>
      </c>
      <c r="W101" s="1"/>
      <c r="X101" s="1">
        <f t="shared" ref="X101:X105" si="49">+P101-T101</f>
        <v>-209.48</v>
      </c>
      <c r="Y101" s="1"/>
      <c r="Z101" s="5">
        <f t="shared" ref="Z101:Z105" si="50">IF(T101=0,0,X101/T101)</f>
        <v>-1</v>
      </c>
    </row>
    <row r="102" spans="1:26" s="24" customFormat="1" hidden="1" outlineLevel="2" x14ac:dyDescent="0.25">
      <c r="A102" s="27"/>
      <c r="B102" s="11" t="str">
        <f>CONCATENATE("          ", "6277", " - ", "EMPLOYEE APPRECIATION")</f>
        <v xml:space="preserve">          6277 - EMPLOYEE APPRECIATION</v>
      </c>
      <c r="C102" s="11"/>
      <c r="D102" s="7"/>
      <c r="E102" s="2"/>
      <c r="F102" s="6">
        <f t="shared" si="43"/>
        <v>0</v>
      </c>
      <c r="G102" s="2"/>
      <c r="H102" s="7"/>
      <c r="I102" s="2"/>
      <c r="J102" s="6">
        <f t="shared" si="44"/>
        <v>0</v>
      </c>
      <c r="K102" s="2"/>
      <c r="L102" s="7">
        <f t="shared" si="45"/>
        <v>0</v>
      </c>
      <c r="M102" s="2"/>
      <c r="N102" s="6">
        <f t="shared" si="46"/>
        <v>0</v>
      </c>
      <c r="O102" s="11"/>
      <c r="P102" s="7"/>
      <c r="Q102" s="2"/>
      <c r="R102" s="6">
        <f t="shared" si="47"/>
        <v>0</v>
      </c>
      <c r="S102" s="2"/>
      <c r="T102" s="7">
        <v>209.48</v>
      </c>
      <c r="U102" s="2"/>
      <c r="V102" s="6">
        <f t="shared" si="48"/>
        <v>1.428001381046667E-4</v>
      </c>
      <c r="W102" s="2"/>
      <c r="X102" s="7">
        <f t="shared" si="49"/>
        <v>-209.48</v>
      </c>
      <c r="Y102" s="2"/>
      <c r="Z102" s="6">
        <f t="shared" si="50"/>
        <v>-1</v>
      </c>
    </row>
    <row r="103" spans="1:26" s="25" customFormat="1" outlineLevel="1" collapsed="1" x14ac:dyDescent="0.25">
      <c r="A103" s="26"/>
      <c r="B103" s="13" t="str">
        <f>CONCATENATE("     ","Freight out/Postage                               ")</f>
        <v xml:space="preserve">     Freight out/Postage                               </v>
      </c>
      <c r="C103" s="13"/>
      <c r="D103" s="1">
        <f>SUM(OSRRefD22_5x_0)</f>
        <v>15.280000000000001</v>
      </c>
      <c r="E103" s="1"/>
      <c r="F103" s="5">
        <f t="shared" si="43"/>
        <v>8.6941347079928661E-5</v>
      </c>
      <c r="G103" s="1"/>
      <c r="H103" s="1">
        <f>SUM(OSRRefH22_5x_0)</f>
        <v>0</v>
      </c>
      <c r="I103" s="1"/>
      <c r="J103" s="5">
        <f t="shared" si="44"/>
        <v>0</v>
      </c>
      <c r="K103" s="1"/>
      <c r="L103" s="1">
        <f t="shared" si="45"/>
        <v>15.280000000000001</v>
      </c>
      <c r="M103" s="1"/>
      <c r="N103" s="5">
        <f t="shared" si="46"/>
        <v>0</v>
      </c>
      <c r="O103" s="13"/>
      <c r="P103" s="1">
        <f>SUM(OSRRefP22_5x_0)</f>
        <v>107.24</v>
      </c>
      <c r="Q103" s="1"/>
      <c r="R103" s="5">
        <f t="shared" si="47"/>
        <v>1.2109257116046042E-4</v>
      </c>
      <c r="S103" s="1"/>
      <c r="T103" s="1">
        <f>SUM(OSRRefT22_5x_0)</f>
        <v>70.5</v>
      </c>
      <c r="U103" s="1"/>
      <c r="V103" s="5">
        <f t="shared" si="48"/>
        <v>4.8059049724933184E-5</v>
      </c>
      <c r="W103" s="1"/>
      <c r="X103" s="1">
        <f t="shared" si="49"/>
        <v>36.739999999999995</v>
      </c>
      <c r="Y103" s="1"/>
      <c r="Z103" s="5">
        <f t="shared" si="50"/>
        <v>0.52113475177304958</v>
      </c>
    </row>
    <row r="104" spans="1:26" s="24" customFormat="1" hidden="1" outlineLevel="2" x14ac:dyDescent="0.25">
      <c r="A104" s="27"/>
      <c r="B104" s="11" t="str">
        <f>CONCATENATE("          ", "6305", " - ", "FREIGHT OUT")</f>
        <v xml:space="preserve">          6305 - FREIGHT OUT</v>
      </c>
      <c r="C104" s="11"/>
      <c r="D104" s="7">
        <v>21.28</v>
      </c>
      <c r="E104" s="2"/>
      <c r="F104" s="6">
        <f t="shared" si="43"/>
        <v>1.2108061949351321E-4</v>
      </c>
      <c r="G104" s="2"/>
      <c r="H104" s="7"/>
      <c r="I104" s="2"/>
      <c r="J104" s="6">
        <f t="shared" si="44"/>
        <v>0</v>
      </c>
      <c r="K104" s="2"/>
      <c r="L104" s="7">
        <f t="shared" si="45"/>
        <v>21.28</v>
      </c>
      <c r="M104" s="2"/>
      <c r="N104" s="6">
        <f t="shared" si="46"/>
        <v>0</v>
      </c>
      <c r="O104" s="11"/>
      <c r="P104" s="7">
        <v>113.24</v>
      </c>
      <c r="Q104" s="2"/>
      <c r="R104" s="6">
        <f t="shared" si="47"/>
        <v>1.2786761244135153E-4</v>
      </c>
      <c r="S104" s="2"/>
      <c r="T104" s="7">
        <v>70</v>
      </c>
      <c r="U104" s="2"/>
      <c r="V104" s="6">
        <f t="shared" si="48"/>
        <v>4.7718205400642878E-5</v>
      </c>
      <c r="W104" s="2"/>
      <c r="X104" s="7">
        <f t="shared" si="49"/>
        <v>43.239999999999995</v>
      </c>
      <c r="Y104" s="2"/>
      <c r="Z104" s="6">
        <f t="shared" si="50"/>
        <v>0.61771428571428566</v>
      </c>
    </row>
    <row r="105" spans="1:26" s="24" customFormat="1" hidden="1" outlineLevel="2" x14ac:dyDescent="0.25">
      <c r="A105" s="27"/>
      <c r="B105" s="11" t="str">
        <f>CONCATENATE("          ", "6307", " - ", "POSTAGE")</f>
        <v xml:space="preserve">          6307 - POSTAGE</v>
      </c>
      <c r="C105" s="11"/>
      <c r="D105" s="7">
        <v>-6</v>
      </c>
      <c r="E105" s="2"/>
      <c r="F105" s="6">
        <f t="shared" si="43"/>
        <v>-3.4139272413584548E-5</v>
      </c>
      <c r="G105" s="2"/>
      <c r="H105" s="7"/>
      <c r="I105" s="2"/>
      <c r="J105" s="6">
        <f t="shared" si="44"/>
        <v>0</v>
      </c>
      <c r="K105" s="2"/>
      <c r="L105" s="7">
        <f t="shared" si="45"/>
        <v>-6</v>
      </c>
      <c r="M105" s="2"/>
      <c r="N105" s="6">
        <f t="shared" si="46"/>
        <v>0</v>
      </c>
      <c r="O105" s="11"/>
      <c r="P105" s="7">
        <v>-6</v>
      </c>
      <c r="Q105" s="2"/>
      <c r="R105" s="6">
        <f t="shared" si="47"/>
        <v>-6.7750412808911093E-6</v>
      </c>
      <c r="S105" s="2"/>
      <c r="T105" s="7">
        <v>0.5</v>
      </c>
      <c r="U105" s="2"/>
      <c r="V105" s="6">
        <f t="shared" si="48"/>
        <v>3.4084432429030624E-7</v>
      </c>
      <c r="W105" s="2"/>
      <c r="X105" s="7">
        <f t="shared" si="49"/>
        <v>-6.5</v>
      </c>
      <c r="Y105" s="2"/>
      <c r="Z105" s="6">
        <f t="shared" si="50"/>
        <v>-13</v>
      </c>
    </row>
    <row r="106" spans="1:26" s="25" customFormat="1" outlineLevel="1" collapsed="1" x14ac:dyDescent="0.25">
      <c r="A106" s="26"/>
      <c r="B106" s="13" t="str">
        <f>CONCATENATE("     ","Inventory Adjustment                              ")</f>
        <v xml:space="preserve">     Inventory Adjustment                              </v>
      </c>
      <c r="C106" s="13"/>
      <c r="D106" s="1">
        <f>SUM(OSRRefD22_6x_0)</f>
        <v>1000</v>
      </c>
      <c r="E106" s="1"/>
      <c r="F106" s="5">
        <f t="shared" ref="F106:F110" si="51">IF(D$12=0,0,D106/D$12)</f>
        <v>5.6898787355974248E-3</v>
      </c>
      <c r="G106" s="1"/>
      <c r="H106" s="1">
        <f>SUM(OSRRefH22_6x_0)</f>
        <v>2850</v>
      </c>
      <c r="I106" s="1"/>
      <c r="J106" s="5">
        <f t="shared" ref="J106:J110" si="52">IF(H$12=0,0,H106/H$12)</f>
        <v>1.1516711273381349E-2</v>
      </c>
      <c r="K106" s="1"/>
      <c r="L106" s="1">
        <f t="shared" ref="L106:L110" si="53">+D106-H106</f>
        <v>-1850</v>
      </c>
      <c r="M106" s="1"/>
      <c r="N106" s="5">
        <f t="shared" ref="N106:N110" si="54">IF(H106=0,0,L106/H106)</f>
        <v>-0.64912280701754388</v>
      </c>
      <c r="O106" s="13"/>
      <c r="P106" s="1">
        <f>SUM(OSRRefP22_6x_0)</f>
        <v>6000</v>
      </c>
      <c r="Q106" s="1"/>
      <c r="R106" s="5">
        <f t="shared" ref="R106:R110" si="55">IF(P$12=0,0,P106/P$12)</f>
        <v>6.7750412808911097E-3</v>
      </c>
      <c r="S106" s="1"/>
      <c r="T106" s="1">
        <f>SUM(OSRRefT22_6x_0)</f>
        <v>17100</v>
      </c>
      <c r="U106" s="1"/>
      <c r="V106" s="5">
        <f t="shared" ref="V106:V110" si="56">IF(T$12=0,0,T106/T$12)</f>
        <v>1.1656875890728474E-2</v>
      </c>
      <c r="W106" s="1"/>
      <c r="X106" s="1">
        <f t="shared" ref="X106:X110" si="57">+P106-T106</f>
        <v>-11100</v>
      </c>
      <c r="Y106" s="1"/>
      <c r="Z106" s="5">
        <f t="shared" ref="Z106:Z110" si="58">IF(T106=0,0,X106/T106)</f>
        <v>-0.64912280701754388</v>
      </c>
    </row>
    <row r="107" spans="1:26" s="24" customFormat="1" hidden="1" outlineLevel="2" x14ac:dyDescent="0.25">
      <c r="A107" s="27"/>
      <c r="B107" s="11" t="str">
        <f>CONCATENATE("          ", "6408", " - ", "INVENTORY ADJUSTMENT")</f>
        <v xml:space="preserve">          6408 - INVENTORY ADJUSTMENT</v>
      </c>
      <c r="C107" s="11"/>
      <c r="D107" s="7">
        <v>1000</v>
      </c>
      <c r="E107" s="2"/>
      <c r="F107" s="6">
        <f t="shared" si="51"/>
        <v>5.6898787355974248E-3</v>
      </c>
      <c r="G107" s="2"/>
      <c r="H107" s="7">
        <v>2850</v>
      </c>
      <c r="I107" s="2"/>
      <c r="J107" s="6">
        <f t="shared" si="52"/>
        <v>1.1516711273381349E-2</v>
      </c>
      <c r="K107" s="2"/>
      <c r="L107" s="7">
        <f t="shared" si="53"/>
        <v>-1850</v>
      </c>
      <c r="M107" s="2"/>
      <c r="N107" s="6">
        <f t="shared" si="54"/>
        <v>-0.64912280701754388</v>
      </c>
      <c r="O107" s="11"/>
      <c r="P107" s="7">
        <v>6000</v>
      </c>
      <c r="Q107" s="2"/>
      <c r="R107" s="6">
        <f t="shared" si="55"/>
        <v>6.7750412808911097E-3</v>
      </c>
      <c r="S107" s="2"/>
      <c r="T107" s="7">
        <v>17100</v>
      </c>
      <c r="U107" s="2"/>
      <c r="V107" s="6">
        <f t="shared" si="56"/>
        <v>1.1656875890728474E-2</v>
      </c>
      <c r="W107" s="2"/>
      <c r="X107" s="7">
        <f t="shared" si="57"/>
        <v>-11100</v>
      </c>
      <c r="Y107" s="2"/>
      <c r="Z107" s="6">
        <f t="shared" si="58"/>
        <v>-0.64912280701754388</v>
      </c>
    </row>
    <row r="108" spans="1:26" s="25" customFormat="1" outlineLevel="1" collapsed="1" x14ac:dyDescent="0.25">
      <c r="A108" s="26"/>
      <c r="B108" s="13" t="str">
        <f>CONCATENATE("     ","Royalty &amp; Commissions                             ")</f>
        <v xml:space="preserve">     Royalty &amp; Commissions                             </v>
      </c>
      <c r="C108" s="13"/>
      <c r="D108" s="1">
        <f>SUM(OSRRefD22_7x_0)</f>
        <v>0</v>
      </c>
      <c r="E108" s="1"/>
      <c r="F108" s="5">
        <f t="shared" si="51"/>
        <v>0</v>
      </c>
      <c r="G108" s="1"/>
      <c r="H108" s="1">
        <f>SUM(OSRRefH22_7x_0)</f>
        <v>262.72000000000003</v>
      </c>
      <c r="I108" s="1"/>
      <c r="J108" s="5">
        <f t="shared" si="52"/>
        <v>1.0616387318395609E-3</v>
      </c>
      <c r="K108" s="1"/>
      <c r="L108" s="1">
        <f t="shared" si="53"/>
        <v>-262.72000000000003</v>
      </c>
      <c r="M108" s="1"/>
      <c r="N108" s="5">
        <f t="shared" si="54"/>
        <v>-1</v>
      </c>
      <c r="O108" s="13"/>
      <c r="P108" s="1">
        <f>SUM(OSRRefP22_7x_0)</f>
        <v>18411.8</v>
      </c>
      <c r="Q108" s="1"/>
      <c r="R108" s="5">
        <f t="shared" si="55"/>
        <v>2.0790117509251822E-2</v>
      </c>
      <c r="S108" s="1"/>
      <c r="T108" s="1">
        <f>SUM(OSRRefT22_7x_0)</f>
        <v>6930.79</v>
      </c>
      <c r="U108" s="1"/>
      <c r="V108" s="5">
        <f t="shared" si="56"/>
        <v>4.7246408686960235E-3</v>
      </c>
      <c r="W108" s="1"/>
      <c r="X108" s="1">
        <f t="shared" si="57"/>
        <v>11481.009999999998</v>
      </c>
      <c r="Y108" s="1"/>
      <c r="Z108" s="5">
        <f t="shared" si="58"/>
        <v>1.6565225609201835</v>
      </c>
    </row>
    <row r="109" spans="1:26" s="24" customFormat="1" hidden="1" outlineLevel="2" x14ac:dyDescent="0.25">
      <c r="A109" s="27"/>
      <c r="B109" s="11" t="str">
        <f>CONCATENATE("          ", "6253", " - ", "ROYALTY DUE ATHLETICS-LRG")</f>
        <v xml:space="preserve">          6253 - ROYALTY DUE ATHLETICS-LRG</v>
      </c>
      <c r="C109" s="11"/>
      <c r="D109" s="7"/>
      <c r="E109" s="2"/>
      <c r="F109" s="6">
        <f t="shared" si="51"/>
        <v>0</v>
      </c>
      <c r="G109" s="2"/>
      <c r="H109" s="7"/>
      <c r="I109" s="2"/>
      <c r="J109" s="6">
        <f t="shared" si="52"/>
        <v>0</v>
      </c>
      <c r="K109" s="2"/>
      <c r="L109" s="7">
        <f t="shared" si="53"/>
        <v>0</v>
      </c>
      <c r="M109" s="2"/>
      <c r="N109" s="6">
        <f t="shared" si="54"/>
        <v>0</v>
      </c>
      <c r="O109" s="11"/>
      <c r="P109" s="7">
        <v>18411.8</v>
      </c>
      <c r="Q109" s="2"/>
      <c r="R109" s="6">
        <f t="shared" si="55"/>
        <v>2.0790117509251822E-2</v>
      </c>
      <c r="S109" s="2"/>
      <c r="T109" s="7">
        <v>4366.95</v>
      </c>
      <c r="U109" s="2"/>
      <c r="V109" s="6">
        <f t="shared" si="56"/>
        <v>2.9769002439191056E-3</v>
      </c>
      <c r="W109" s="2"/>
      <c r="X109" s="7">
        <f t="shared" si="57"/>
        <v>14044.849999999999</v>
      </c>
      <c r="Y109" s="2"/>
      <c r="Z109" s="6">
        <f t="shared" si="58"/>
        <v>3.216169179862375</v>
      </c>
    </row>
    <row r="110" spans="1:26" s="24" customFormat="1" hidden="1" outlineLevel="2" x14ac:dyDescent="0.25">
      <c r="A110" s="27"/>
      <c r="B110" s="11" t="str">
        <f>CONCATENATE("          ", "6254", " - ", "ROYALTY &amp; COMMISSIONS")</f>
        <v xml:space="preserve">          6254 - ROYALTY &amp; COMMISSIONS</v>
      </c>
      <c r="C110" s="11"/>
      <c r="D110" s="7"/>
      <c r="E110" s="2"/>
      <c r="F110" s="6">
        <f t="shared" si="51"/>
        <v>0</v>
      </c>
      <c r="G110" s="2"/>
      <c r="H110" s="7">
        <v>262.72000000000003</v>
      </c>
      <c r="I110" s="2"/>
      <c r="J110" s="6">
        <f t="shared" si="52"/>
        <v>1.0616387318395609E-3</v>
      </c>
      <c r="K110" s="2"/>
      <c r="L110" s="7">
        <f t="shared" si="53"/>
        <v>-262.72000000000003</v>
      </c>
      <c r="M110" s="2"/>
      <c r="N110" s="6">
        <f t="shared" si="54"/>
        <v>-1</v>
      </c>
      <c r="O110" s="11"/>
      <c r="P110" s="7"/>
      <c r="Q110" s="2"/>
      <c r="R110" s="6">
        <f t="shared" si="55"/>
        <v>0</v>
      </c>
      <c r="S110" s="2"/>
      <c r="T110" s="7">
        <v>2563.84</v>
      </c>
      <c r="U110" s="2"/>
      <c r="V110" s="6">
        <f t="shared" si="56"/>
        <v>1.7477406247769177E-3</v>
      </c>
      <c r="W110" s="2"/>
      <c r="X110" s="7">
        <f t="shared" si="57"/>
        <v>-2563.84</v>
      </c>
      <c r="Y110" s="2"/>
      <c r="Z110" s="6">
        <f t="shared" si="58"/>
        <v>-1</v>
      </c>
    </row>
    <row r="111" spans="1:26" s="25" customFormat="1" outlineLevel="1" collapsed="1" x14ac:dyDescent="0.25">
      <c r="A111" s="26"/>
      <c r="B111" s="13" t="str">
        <f>CONCATENATE("     ","Subscriptions &amp; Dues                              ")</f>
        <v xml:space="preserve">     Subscriptions &amp; Dues                              </v>
      </c>
      <c r="C111" s="13"/>
      <c r="D111" s="1">
        <f>SUM(OSRRefD22_8x_0)</f>
        <v>0</v>
      </c>
      <c r="E111" s="1"/>
      <c r="F111" s="5">
        <f t="shared" ref="F111:F113" si="59">IF(D$12=0,0,D111/D$12)</f>
        <v>0</v>
      </c>
      <c r="G111" s="1"/>
      <c r="H111" s="1">
        <f>SUM(OSRRefH22_8x_0)</f>
        <v>0</v>
      </c>
      <c r="I111" s="1"/>
      <c r="J111" s="5">
        <f t="shared" ref="J111:J113" si="60">IF(H$12=0,0,H111/H$12)</f>
        <v>0</v>
      </c>
      <c r="K111" s="1"/>
      <c r="L111" s="1">
        <f t="shared" ref="L111:L113" si="61">+D111-H111</f>
        <v>0</v>
      </c>
      <c r="M111" s="1"/>
      <c r="N111" s="5">
        <f t="shared" ref="N111:N113" si="62">IF(H111=0,0,L111/H111)</f>
        <v>0</v>
      </c>
      <c r="O111" s="13"/>
      <c r="P111" s="1">
        <f>SUM(OSRRefP22_8x_0)</f>
        <v>-365.27</v>
      </c>
      <c r="Q111" s="1"/>
      <c r="R111" s="5">
        <f t="shared" ref="R111:R113" si="63">IF(P$12=0,0,P111/P$12)</f>
        <v>-4.1245322144518257E-4</v>
      </c>
      <c r="S111" s="1"/>
      <c r="T111" s="1">
        <f>SUM(OSRRefT22_8x_0)</f>
        <v>296.64</v>
      </c>
      <c r="U111" s="1"/>
      <c r="V111" s="5">
        <f t="shared" ref="V111:V113" si="64">IF(T$12=0,0,T111/T$12)</f>
        <v>2.0221612071495289E-4</v>
      </c>
      <c r="W111" s="1"/>
      <c r="X111" s="1">
        <f t="shared" ref="X111:X113" si="65">+P111-T111</f>
        <v>-661.91</v>
      </c>
      <c r="Y111" s="1"/>
      <c r="Z111" s="5">
        <f t="shared" ref="Z111:Z113" si="66">IF(T111=0,0,X111/T111)</f>
        <v>-2.2313578748651564</v>
      </c>
    </row>
    <row r="112" spans="1:26" s="24" customFormat="1" hidden="1" outlineLevel="2" x14ac:dyDescent="0.25">
      <c r="A112" s="27"/>
      <c r="B112" s="11" t="str">
        <f>CONCATENATE("          ", "6258", " - ", "MEMBERSHIP DUES")</f>
        <v xml:space="preserve">          6258 - MEMBERSHIP DUES</v>
      </c>
      <c r="C112" s="11"/>
      <c r="D112" s="7"/>
      <c r="E112" s="2"/>
      <c r="F112" s="6">
        <f t="shared" si="59"/>
        <v>0</v>
      </c>
      <c r="G112" s="2"/>
      <c r="H112" s="7"/>
      <c r="I112" s="2"/>
      <c r="J112" s="6">
        <f t="shared" si="60"/>
        <v>0</v>
      </c>
      <c r="K112" s="2"/>
      <c r="L112" s="7">
        <f t="shared" si="61"/>
        <v>0</v>
      </c>
      <c r="M112" s="2"/>
      <c r="N112" s="6">
        <f t="shared" si="62"/>
        <v>0</v>
      </c>
      <c r="O112" s="11"/>
      <c r="P112" s="7">
        <v>-441</v>
      </c>
      <c r="Q112" s="2"/>
      <c r="R112" s="6">
        <f t="shared" si="63"/>
        <v>-4.9796553414549656E-4</v>
      </c>
      <c r="S112" s="2"/>
      <c r="T112" s="7"/>
      <c r="U112" s="2"/>
      <c r="V112" s="6">
        <f t="shared" si="64"/>
        <v>0</v>
      </c>
      <c r="W112" s="2"/>
      <c r="X112" s="7">
        <f t="shared" si="65"/>
        <v>-441</v>
      </c>
      <c r="Y112" s="2"/>
      <c r="Z112" s="6">
        <f t="shared" si="66"/>
        <v>0</v>
      </c>
    </row>
    <row r="113" spans="1:26" s="24" customFormat="1" hidden="1" outlineLevel="2" x14ac:dyDescent="0.25">
      <c r="A113" s="27"/>
      <c r="B113" s="11" t="str">
        <f>CONCATENATE("          ", "6275", " - ", "SUBSCRIPTIONS")</f>
        <v xml:space="preserve">          6275 - SUBSCRIPTIONS</v>
      </c>
      <c r="C113" s="11"/>
      <c r="D113" s="7"/>
      <c r="E113" s="2"/>
      <c r="F113" s="6">
        <f t="shared" si="59"/>
        <v>0</v>
      </c>
      <c r="G113" s="2"/>
      <c r="H113" s="7"/>
      <c r="I113" s="2"/>
      <c r="J113" s="6">
        <f t="shared" si="60"/>
        <v>0</v>
      </c>
      <c r="K113" s="2"/>
      <c r="L113" s="7">
        <f t="shared" si="61"/>
        <v>0</v>
      </c>
      <c r="M113" s="2"/>
      <c r="N113" s="6">
        <f t="shared" si="62"/>
        <v>0</v>
      </c>
      <c r="O113" s="11"/>
      <c r="P113" s="7">
        <v>75.73</v>
      </c>
      <c r="Q113" s="2"/>
      <c r="R113" s="6">
        <f t="shared" si="63"/>
        <v>8.5512312700313956E-5</v>
      </c>
      <c r="S113" s="2"/>
      <c r="T113" s="7">
        <v>296.64</v>
      </c>
      <c r="U113" s="2"/>
      <c r="V113" s="6">
        <f t="shared" si="64"/>
        <v>2.0221612071495289E-4</v>
      </c>
      <c r="W113" s="2"/>
      <c r="X113" s="7">
        <f t="shared" si="65"/>
        <v>-220.90999999999997</v>
      </c>
      <c r="Y113" s="2"/>
      <c r="Z113" s="6">
        <f t="shared" si="66"/>
        <v>-0.74470738942826309</v>
      </c>
    </row>
    <row r="114" spans="1:26" s="25" customFormat="1" outlineLevel="1" collapsed="1" x14ac:dyDescent="0.25">
      <c r="A114" s="26"/>
      <c r="B114" s="13" t="str">
        <f>CONCATENATE("     ","Supplies                                          ")</f>
        <v xml:space="preserve">     Supplies                                          </v>
      </c>
      <c r="C114" s="13"/>
      <c r="D114" s="1">
        <f>SUM(OSRRefD22_9x_0)</f>
        <v>46.59</v>
      </c>
      <c r="E114" s="1"/>
      <c r="F114" s="5">
        <f t="shared" ref="F114:F119" si="67">IF(D$12=0,0,D114/D$12)</f>
        <v>2.6509145029148402E-4</v>
      </c>
      <c r="G114" s="1"/>
      <c r="H114" s="1">
        <f>SUM(OSRRefH22_9x_0)</f>
        <v>126.66</v>
      </c>
      <c r="I114" s="1"/>
      <c r="J114" s="5">
        <f t="shared" ref="J114:J119" si="68">IF(H$12=0,0,H114/H$12)</f>
        <v>5.1182689469701109E-4</v>
      </c>
      <c r="K114" s="1"/>
      <c r="L114" s="1">
        <f t="shared" ref="L114:L119" si="69">+D114-H114</f>
        <v>-80.069999999999993</v>
      </c>
      <c r="M114" s="1"/>
      <c r="N114" s="5">
        <f t="shared" ref="N114:N119" si="70">IF(H114=0,0,L114/H114)</f>
        <v>-0.6321648507816201</v>
      </c>
      <c r="O114" s="13"/>
      <c r="P114" s="1">
        <f>SUM(OSRRefP22_9x_0)</f>
        <v>1691.29</v>
      </c>
      <c r="Q114" s="1"/>
      <c r="R114" s="5">
        <f t="shared" ref="R114:R119" si="71">IF(P$12=0,0,P114/P$12)</f>
        <v>1.9097599279930542E-3</v>
      </c>
      <c r="S114" s="1"/>
      <c r="T114" s="1">
        <f>SUM(OSRRefT22_9x_0)</f>
        <v>1807.25</v>
      </c>
      <c r="U114" s="1"/>
      <c r="V114" s="5">
        <f t="shared" ref="V114:V119" si="72">IF(T$12=0,0,T114/T$12)</f>
        <v>1.2319818101473119E-3</v>
      </c>
      <c r="W114" s="1"/>
      <c r="X114" s="1">
        <f t="shared" ref="X114:X119" si="73">+P114-T114</f>
        <v>-115.96000000000004</v>
      </c>
      <c r="Y114" s="1"/>
      <c r="Z114" s="5">
        <f t="shared" ref="Z114:Z119" si="74">IF(T114=0,0,X114/T114)</f>
        <v>-6.4163784755844541E-2</v>
      </c>
    </row>
    <row r="115" spans="1:26" s="24" customFormat="1" hidden="1" outlineLevel="2" x14ac:dyDescent="0.25">
      <c r="A115" s="27"/>
      <c r="B115" s="11" t="str">
        <f>CONCATENATE("          ", "6234", " - ", "EXPENDABLE SUPPLIES &amp; EQUIPMEN")</f>
        <v xml:space="preserve">          6234 - EXPENDABLE SUPPLIES &amp; EQUIPMEN</v>
      </c>
      <c r="C115" s="11"/>
      <c r="D115" s="7"/>
      <c r="E115" s="2"/>
      <c r="F115" s="6">
        <f t="shared" si="67"/>
        <v>0</v>
      </c>
      <c r="G115" s="2"/>
      <c r="H115" s="7"/>
      <c r="I115" s="2"/>
      <c r="J115" s="6">
        <f t="shared" si="68"/>
        <v>0</v>
      </c>
      <c r="K115" s="2"/>
      <c r="L115" s="7">
        <f t="shared" si="69"/>
        <v>0</v>
      </c>
      <c r="M115" s="2"/>
      <c r="N115" s="6">
        <f t="shared" si="70"/>
        <v>0</v>
      </c>
      <c r="O115" s="11"/>
      <c r="P115" s="7"/>
      <c r="Q115" s="2"/>
      <c r="R115" s="6">
        <f t="shared" si="71"/>
        <v>0</v>
      </c>
      <c r="S115" s="2"/>
      <c r="T115" s="7">
        <v>20.36</v>
      </c>
      <c r="U115" s="2"/>
      <c r="V115" s="6">
        <f t="shared" si="72"/>
        <v>1.387918088510127E-5</v>
      </c>
      <c r="W115" s="2"/>
      <c r="X115" s="7">
        <f t="shared" si="73"/>
        <v>-20.36</v>
      </c>
      <c r="Y115" s="2"/>
      <c r="Z115" s="6">
        <f t="shared" si="74"/>
        <v>-1</v>
      </c>
    </row>
    <row r="116" spans="1:26" s="24" customFormat="1" hidden="1" outlineLevel="2" x14ac:dyDescent="0.25">
      <c r="A116" s="27"/>
      <c r="B116" s="11" t="str">
        <f>CONCATENATE("          ", "6235", " - ", "COVID-19 EXPENSES")</f>
        <v xml:space="preserve">          6235 - COVID-19 EXPENSES</v>
      </c>
      <c r="C116" s="11"/>
      <c r="D116" s="7"/>
      <c r="E116" s="2"/>
      <c r="F116" s="6">
        <f t="shared" si="67"/>
        <v>0</v>
      </c>
      <c r="G116" s="2"/>
      <c r="H116" s="7"/>
      <c r="I116" s="2"/>
      <c r="J116" s="6">
        <f t="shared" si="68"/>
        <v>0</v>
      </c>
      <c r="K116" s="2"/>
      <c r="L116" s="7">
        <f t="shared" si="69"/>
        <v>0</v>
      </c>
      <c r="M116" s="2"/>
      <c r="N116" s="6">
        <f t="shared" si="70"/>
        <v>0</v>
      </c>
      <c r="O116" s="11"/>
      <c r="P116" s="7">
        <v>1026.43</v>
      </c>
      <c r="Q116" s="2"/>
      <c r="R116" s="6">
        <f t="shared" si="71"/>
        <v>1.1590176036575103E-3</v>
      </c>
      <c r="S116" s="2"/>
      <c r="T116" s="7"/>
      <c r="U116" s="2"/>
      <c r="V116" s="6">
        <f t="shared" si="72"/>
        <v>0</v>
      </c>
      <c r="W116" s="2"/>
      <c r="X116" s="7">
        <f t="shared" si="73"/>
        <v>1026.43</v>
      </c>
      <c r="Y116" s="2"/>
      <c r="Z116" s="6">
        <f t="shared" si="74"/>
        <v>0</v>
      </c>
    </row>
    <row r="117" spans="1:26" s="24" customFormat="1" hidden="1" outlineLevel="2" x14ac:dyDescent="0.25">
      <c r="A117" s="27"/>
      <c r="B117" s="11" t="str">
        <f>CONCATENATE("          ", "6241", " - ", "OFFICE EXPENSE")</f>
        <v xml:space="preserve">          6241 - OFFICE EXPENSE</v>
      </c>
      <c r="C117" s="11"/>
      <c r="D117" s="7">
        <v>39.840000000000003</v>
      </c>
      <c r="E117" s="2"/>
      <c r="F117" s="6">
        <f t="shared" si="67"/>
        <v>2.2668476882620143E-4</v>
      </c>
      <c r="G117" s="2"/>
      <c r="H117" s="7">
        <v>126.66</v>
      </c>
      <c r="I117" s="2"/>
      <c r="J117" s="6">
        <f t="shared" si="68"/>
        <v>5.1182689469701109E-4</v>
      </c>
      <c r="K117" s="2"/>
      <c r="L117" s="7">
        <f t="shared" si="69"/>
        <v>-86.82</v>
      </c>
      <c r="M117" s="2"/>
      <c r="N117" s="6">
        <f t="shared" si="70"/>
        <v>-0.68545712932259584</v>
      </c>
      <c r="O117" s="11"/>
      <c r="P117" s="7">
        <v>471.4</v>
      </c>
      <c r="Q117" s="2"/>
      <c r="R117" s="6">
        <f t="shared" si="71"/>
        <v>5.3229240996867811E-4</v>
      </c>
      <c r="S117" s="2"/>
      <c r="T117" s="7">
        <v>2082.2199999999998</v>
      </c>
      <c r="U117" s="2"/>
      <c r="V117" s="6">
        <f t="shared" si="72"/>
        <v>1.4194257378475229E-3</v>
      </c>
      <c r="W117" s="2"/>
      <c r="X117" s="7">
        <f t="shared" si="73"/>
        <v>-1610.8199999999997</v>
      </c>
      <c r="Y117" s="2"/>
      <c r="Z117" s="6">
        <f t="shared" si="74"/>
        <v>-0.77360701558913081</v>
      </c>
    </row>
    <row r="118" spans="1:26" s="24" customFormat="1" hidden="1" outlineLevel="2" x14ac:dyDescent="0.25">
      <c r="A118" s="27"/>
      <c r="B118" s="11" t="str">
        <f>CONCATENATE("          ", "6245", " - ", "PRINTING")</f>
        <v xml:space="preserve">          6245 - PRINTING</v>
      </c>
      <c r="C118" s="11"/>
      <c r="D118" s="7"/>
      <c r="E118" s="2"/>
      <c r="F118" s="6">
        <f t="shared" si="67"/>
        <v>0</v>
      </c>
      <c r="G118" s="2"/>
      <c r="H118" s="7"/>
      <c r="I118" s="2"/>
      <c r="J118" s="6">
        <f t="shared" si="68"/>
        <v>0</v>
      </c>
      <c r="K118" s="2"/>
      <c r="L118" s="7">
        <f t="shared" si="69"/>
        <v>0</v>
      </c>
      <c r="M118" s="2"/>
      <c r="N118" s="6">
        <f t="shared" si="70"/>
        <v>0</v>
      </c>
      <c r="O118" s="11"/>
      <c r="P118" s="7"/>
      <c r="Q118" s="2"/>
      <c r="R118" s="6">
        <f t="shared" si="71"/>
        <v>0</v>
      </c>
      <c r="S118" s="2"/>
      <c r="T118" s="7">
        <v>-617.17999999999995</v>
      </c>
      <c r="U118" s="2"/>
      <c r="V118" s="6">
        <f t="shared" si="72"/>
        <v>-4.2072460013098238E-4</v>
      </c>
      <c r="W118" s="2"/>
      <c r="X118" s="7">
        <f t="shared" si="73"/>
        <v>617.17999999999995</v>
      </c>
      <c r="Y118" s="2"/>
      <c r="Z118" s="6">
        <f t="shared" si="74"/>
        <v>-1</v>
      </c>
    </row>
    <row r="119" spans="1:26" s="24" customFormat="1" hidden="1" outlineLevel="2" x14ac:dyDescent="0.25">
      <c r="A119" s="27"/>
      <c r="B119" s="11" t="str">
        <f>CONCATENATE("          ", "6247", " - ", "STORE SUPPLIES")</f>
        <v xml:space="preserve">          6247 - STORE SUPPLIES</v>
      </c>
      <c r="C119" s="11"/>
      <c r="D119" s="7">
        <v>6.75</v>
      </c>
      <c r="E119" s="2"/>
      <c r="F119" s="6">
        <f t="shared" si="67"/>
        <v>3.8406681465282619E-5</v>
      </c>
      <c r="G119" s="2"/>
      <c r="H119" s="7"/>
      <c r="I119" s="2"/>
      <c r="J119" s="6">
        <f t="shared" si="68"/>
        <v>0</v>
      </c>
      <c r="K119" s="2"/>
      <c r="L119" s="7">
        <f t="shared" si="69"/>
        <v>6.75</v>
      </c>
      <c r="M119" s="2"/>
      <c r="N119" s="6">
        <f t="shared" si="70"/>
        <v>0</v>
      </c>
      <c r="O119" s="11"/>
      <c r="P119" s="7">
        <v>193.46</v>
      </c>
      <c r="Q119" s="2"/>
      <c r="R119" s="6">
        <f t="shared" si="71"/>
        <v>2.1844991436686568E-4</v>
      </c>
      <c r="S119" s="2"/>
      <c r="T119" s="7">
        <v>321.85000000000002</v>
      </c>
      <c r="U119" s="2"/>
      <c r="V119" s="6">
        <f t="shared" si="72"/>
        <v>2.1940149154567014E-4</v>
      </c>
      <c r="W119" s="2"/>
      <c r="X119" s="7">
        <f t="shared" si="73"/>
        <v>-128.39000000000001</v>
      </c>
      <c r="Y119" s="2"/>
      <c r="Z119" s="6">
        <f t="shared" si="74"/>
        <v>-0.39891253689606959</v>
      </c>
    </row>
    <row r="120" spans="1:26" s="25" customFormat="1" outlineLevel="1" collapsed="1" x14ac:dyDescent="0.25">
      <c r="A120" s="26"/>
      <c r="B120" s="13" t="str">
        <f>CONCATENATE("     ","Telephone/Data Lines                              ")</f>
        <v xml:space="preserve">     Telephone/Data Lines                              </v>
      </c>
      <c r="C120" s="13"/>
      <c r="D120" s="1">
        <f>SUM(OSRRefD22_10x_0)</f>
        <v>262.10000000000002</v>
      </c>
      <c r="E120" s="1"/>
      <c r="F120" s="5">
        <f t="shared" ref="F120:F126" si="75">IF(D$12=0,0,D120/D$12)</f>
        <v>1.4913172166000851E-3</v>
      </c>
      <c r="G120" s="1"/>
      <c r="H120" s="1">
        <f>SUM(OSRRefH22_10x_0)</f>
        <v>324.69</v>
      </c>
      <c r="I120" s="1"/>
      <c r="J120" s="5">
        <f t="shared" ref="J120:J126" si="76">IF(H$12=0,0,H120/H$12)</f>
        <v>1.3120564853874351E-3</v>
      </c>
      <c r="K120" s="1"/>
      <c r="L120" s="1">
        <f t="shared" ref="L120:L126" si="77">+D120-H120</f>
        <v>-62.589999999999975</v>
      </c>
      <c r="M120" s="1"/>
      <c r="N120" s="5">
        <f t="shared" ref="N120:N126" si="78">IF(H120=0,0,L120/H120)</f>
        <v>-0.19276848686439366</v>
      </c>
      <c r="O120" s="13"/>
      <c r="P120" s="1">
        <f>SUM(OSRRefP22_10x_0)</f>
        <v>2563.98</v>
      </c>
      <c r="Q120" s="1"/>
      <c r="R120" s="5">
        <f t="shared" ref="R120:R126" si="79">IF(P$12=0,0,P120/P$12)</f>
        <v>2.8951783905631981E-3</v>
      </c>
      <c r="S120" s="1"/>
      <c r="T120" s="1">
        <f>SUM(OSRRefT22_10x_0)</f>
        <v>3498.56</v>
      </c>
      <c r="U120" s="1"/>
      <c r="V120" s="5">
        <f t="shared" ref="V120:V126" si="80">IF(T$12=0,0,T120/T$12)</f>
        <v>2.3849286383781877E-3</v>
      </c>
      <c r="W120" s="1"/>
      <c r="X120" s="1">
        <f t="shared" ref="X120:X126" si="81">+P120-T120</f>
        <v>-934.57999999999993</v>
      </c>
      <c r="Y120" s="1"/>
      <c r="Z120" s="5">
        <f t="shared" ref="Z120:Z126" si="82">IF(T120=0,0,X120/T120)</f>
        <v>-0.26713276319399981</v>
      </c>
    </row>
    <row r="121" spans="1:26" s="24" customFormat="1" hidden="1" outlineLevel="2" x14ac:dyDescent="0.25">
      <c r="A121" s="27"/>
      <c r="B121" s="11" t="str">
        <f>CONCATENATE("          ", "6309", " - ", "TELEPHONE")</f>
        <v xml:space="preserve">          6309 - TELEPHONE</v>
      </c>
      <c r="C121" s="11"/>
      <c r="D121" s="7">
        <v>262.10000000000002</v>
      </c>
      <c r="E121" s="2"/>
      <c r="F121" s="6">
        <f t="shared" si="75"/>
        <v>1.4913172166000851E-3</v>
      </c>
      <c r="G121" s="2"/>
      <c r="H121" s="7">
        <v>324.69</v>
      </c>
      <c r="I121" s="2"/>
      <c r="J121" s="6">
        <f t="shared" si="76"/>
        <v>1.3120564853874351E-3</v>
      </c>
      <c r="K121" s="2"/>
      <c r="L121" s="7">
        <f t="shared" si="77"/>
        <v>-62.589999999999975</v>
      </c>
      <c r="M121" s="2"/>
      <c r="N121" s="6">
        <f t="shared" si="78"/>
        <v>-0.19276848686439366</v>
      </c>
      <c r="O121" s="11"/>
      <c r="P121" s="7">
        <v>2563.98</v>
      </c>
      <c r="Q121" s="2"/>
      <c r="R121" s="6">
        <f t="shared" si="79"/>
        <v>2.8951783905631981E-3</v>
      </c>
      <c r="S121" s="2"/>
      <c r="T121" s="7">
        <v>3498.56</v>
      </c>
      <c r="U121" s="2"/>
      <c r="V121" s="6">
        <f t="shared" si="80"/>
        <v>2.3849286383781877E-3</v>
      </c>
      <c r="W121" s="2"/>
      <c r="X121" s="7">
        <f t="shared" si="81"/>
        <v>-934.57999999999993</v>
      </c>
      <c r="Y121" s="2"/>
      <c r="Z121" s="6">
        <f t="shared" si="82"/>
        <v>-0.26713276319399981</v>
      </c>
    </row>
    <row r="122" spans="1:26" s="25" customFormat="1" outlineLevel="1" collapsed="1" x14ac:dyDescent="0.25">
      <c r="A122" s="26"/>
      <c r="B122" s="13" t="str">
        <f>CONCATENATE("     ","Training                                          ")</f>
        <v xml:space="preserve">     Training                                          </v>
      </c>
      <c r="C122" s="13"/>
      <c r="D122" s="1">
        <f>SUM(OSRRefD22_11x_0)</f>
        <v>0</v>
      </c>
      <c r="E122" s="1"/>
      <c r="F122" s="5">
        <f t="shared" si="75"/>
        <v>0</v>
      </c>
      <c r="G122" s="1"/>
      <c r="H122" s="1">
        <f>SUM(OSRRefH22_11x_0)</f>
        <v>0</v>
      </c>
      <c r="I122" s="1"/>
      <c r="J122" s="5">
        <f t="shared" si="76"/>
        <v>0</v>
      </c>
      <c r="K122" s="1"/>
      <c r="L122" s="1">
        <f t="shared" si="77"/>
        <v>0</v>
      </c>
      <c r="M122" s="1"/>
      <c r="N122" s="5">
        <f t="shared" si="78"/>
        <v>0</v>
      </c>
      <c r="O122" s="13"/>
      <c r="P122" s="1">
        <f>SUM(OSRRefP22_11x_0)</f>
        <v>0</v>
      </c>
      <c r="Q122" s="1"/>
      <c r="R122" s="5">
        <f t="shared" si="79"/>
        <v>0</v>
      </c>
      <c r="S122" s="1"/>
      <c r="T122" s="1">
        <f>SUM(OSRRefT22_11x_0)</f>
        <v>1379.18</v>
      </c>
      <c r="U122" s="1"/>
      <c r="V122" s="5">
        <f t="shared" si="80"/>
        <v>9.4017135034940916E-4</v>
      </c>
      <c r="W122" s="1"/>
      <c r="X122" s="1">
        <f t="shared" si="81"/>
        <v>-1379.18</v>
      </c>
      <c r="Y122" s="1"/>
      <c r="Z122" s="5">
        <f t="shared" si="82"/>
        <v>-1</v>
      </c>
    </row>
    <row r="123" spans="1:26" s="24" customFormat="1" hidden="1" outlineLevel="2" x14ac:dyDescent="0.25">
      <c r="A123" s="27"/>
      <c r="B123" s="11" t="str">
        <f>CONCATENATE("          ", "6376", " - ", "TRAINING")</f>
        <v xml:space="preserve">          6376 - TRAINING</v>
      </c>
      <c r="C123" s="11"/>
      <c r="D123" s="7"/>
      <c r="E123" s="2"/>
      <c r="F123" s="6">
        <f t="shared" si="75"/>
        <v>0</v>
      </c>
      <c r="G123" s="2"/>
      <c r="H123" s="7"/>
      <c r="I123" s="2"/>
      <c r="J123" s="6">
        <f t="shared" si="76"/>
        <v>0</v>
      </c>
      <c r="K123" s="2"/>
      <c r="L123" s="7">
        <f t="shared" si="77"/>
        <v>0</v>
      </c>
      <c r="M123" s="2"/>
      <c r="N123" s="6">
        <f t="shared" si="78"/>
        <v>0</v>
      </c>
      <c r="O123" s="11"/>
      <c r="P123" s="7"/>
      <c r="Q123" s="2"/>
      <c r="R123" s="6">
        <f t="shared" si="79"/>
        <v>0</v>
      </c>
      <c r="S123" s="2"/>
      <c r="T123" s="7">
        <v>1379.18</v>
      </c>
      <c r="U123" s="2"/>
      <c r="V123" s="6">
        <f t="shared" si="80"/>
        <v>9.4017135034940916E-4</v>
      </c>
      <c r="W123" s="2"/>
      <c r="X123" s="7">
        <f t="shared" si="81"/>
        <v>-1379.18</v>
      </c>
      <c r="Y123" s="2"/>
      <c r="Z123" s="6">
        <f t="shared" si="82"/>
        <v>-1</v>
      </c>
    </row>
    <row r="124" spans="1:26" s="25" customFormat="1" outlineLevel="1" collapsed="1" x14ac:dyDescent="0.25">
      <c r="A124" s="26"/>
      <c r="B124" s="13" t="str">
        <f>CONCATENATE("     ","Travel                                            ")</f>
        <v xml:space="preserve">     Travel                                            </v>
      </c>
      <c r="C124" s="13"/>
      <c r="D124" s="1">
        <f>SUM(OSRRefD22_12x_0)</f>
        <v>0</v>
      </c>
      <c r="E124" s="1"/>
      <c r="F124" s="5">
        <f t="shared" si="75"/>
        <v>0</v>
      </c>
      <c r="G124" s="1"/>
      <c r="H124" s="1">
        <f>SUM(OSRRefH22_12x_0)</f>
        <v>15.66</v>
      </c>
      <c r="I124" s="1"/>
      <c r="J124" s="5">
        <f t="shared" si="76"/>
        <v>6.3281297733737519E-5</v>
      </c>
      <c r="K124" s="1"/>
      <c r="L124" s="1">
        <f t="shared" si="77"/>
        <v>-15.66</v>
      </c>
      <c r="M124" s="1"/>
      <c r="N124" s="5">
        <f t="shared" si="78"/>
        <v>-1</v>
      </c>
      <c r="O124" s="13"/>
      <c r="P124" s="1">
        <f>SUM(OSRRefP22_12x_0)</f>
        <v>0</v>
      </c>
      <c r="Q124" s="1"/>
      <c r="R124" s="5">
        <f t="shared" si="79"/>
        <v>0</v>
      </c>
      <c r="S124" s="1"/>
      <c r="T124" s="1">
        <f>SUM(OSRRefT22_12x_0)</f>
        <v>319.84000000000003</v>
      </c>
      <c r="U124" s="1"/>
      <c r="V124" s="5">
        <f t="shared" si="80"/>
        <v>2.1803129736202312E-4</v>
      </c>
      <c r="W124" s="1"/>
      <c r="X124" s="1">
        <f t="shared" si="81"/>
        <v>-319.84000000000003</v>
      </c>
      <c r="Y124" s="1"/>
      <c r="Z124" s="5">
        <f t="shared" si="82"/>
        <v>-1</v>
      </c>
    </row>
    <row r="125" spans="1:26" s="24" customFormat="1" hidden="1" outlineLevel="2" x14ac:dyDescent="0.25">
      <c r="A125" s="27"/>
      <c r="B125" s="11" t="str">
        <f>CONCATENATE("          ", "6292", " - ", "TRAVEL/CONFERENCE")</f>
        <v xml:space="preserve">          6292 - TRAVEL/CONFERENCE</v>
      </c>
      <c r="C125" s="11"/>
      <c r="D125" s="7"/>
      <c r="E125" s="2"/>
      <c r="F125" s="6">
        <f t="shared" si="75"/>
        <v>0</v>
      </c>
      <c r="G125" s="2"/>
      <c r="H125" s="7"/>
      <c r="I125" s="2"/>
      <c r="J125" s="6">
        <f t="shared" si="76"/>
        <v>0</v>
      </c>
      <c r="K125" s="2"/>
      <c r="L125" s="7">
        <f t="shared" si="77"/>
        <v>0</v>
      </c>
      <c r="M125" s="2"/>
      <c r="N125" s="6">
        <f t="shared" si="78"/>
        <v>0</v>
      </c>
      <c r="O125" s="11"/>
      <c r="P125" s="7"/>
      <c r="Q125" s="2"/>
      <c r="R125" s="6">
        <f t="shared" si="79"/>
        <v>0</v>
      </c>
      <c r="S125" s="2"/>
      <c r="T125" s="7">
        <v>107.04</v>
      </c>
      <c r="U125" s="2"/>
      <c r="V125" s="6">
        <f t="shared" si="80"/>
        <v>7.2967952944068769E-5</v>
      </c>
      <c r="W125" s="2"/>
      <c r="X125" s="7">
        <f t="shared" si="81"/>
        <v>-107.04</v>
      </c>
      <c r="Y125" s="2"/>
      <c r="Z125" s="6">
        <f t="shared" si="82"/>
        <v>-1</v>
      </c>
    </row>
    <row r="126" spans="1:26" s="24" customFormat="1" hidden="1" outlineLevel="2" x14ac:dyDescent="0.25">
      <c r="A126" s="27"/>
      <c r="B126" s="11" t="str">
        <f>CONCATENATE("          ", "6294", " - ", "TRAVEL OPERATIONAL")</f>
        <v xml:space="preserve">          6294 - TRAVEL OPERATIONAL</v>
      </c>
      <c r="C126" s="11"/>
      <c r="D126" s="7"/>
      <c r="E126" s="2"/>
      <c r="F126" s="6">
        <f t="shared" si="75"/>
        <v>0</v>
      </c>
      <c r="G126" s="2"/>
      <c r="H126" s="7">
        <v>15.66</v>
      </c>
      <c r="I126" s="2"/>
      <c r="J126" s="6">
        <f t="shared" si="76"/>
        <v>6.3281297733737519E-5</v>
      </c>
      <c r="K126" s="2"/>
      <c r="L126" s="7">
        <f t="shared" si="77"/>
        <v>-15.66</v>
      </c>
      <c r="M126" s="2"/>
      <c r="N126" s="6">
        <f t="shared" si="78"/>
        <v>-1</v>
      </c>
      <c r="O126" s="11"/>
      <c r="P126" s="7"/>
      <c r="Q126" s="2"/>
      <c r="R126" s="6">
        <f t="shared" si="79"/>
        <v>0</v>
      </c>
      <c r="S126" s="2"/>
      <c r="T126" s="7">
        <v>212.8</v>
      </c>
      <c r="U126" s="2"/>
      <c r="V126" s="6">
        <f t="shared" si="80"/>
        <v>1.4506334441795435E-4</v>
      </c>
      <c r="W126" s="2"/>
      <c r="X126" s="7">
        <f t="shared" si="81"/>
        <v>-212.8</v>
      </c>
      <c r="Y126" s="2"/>
      <c r="Z126" s="6">
        <f t="shared" si="82"/>
        <v>-1</v>
      </c>
    </row>
    <row r="127" spans="1:26" s="55" customFormat="1" x14ac:dyDescent="0.25">
      <c r="A127" s="37"/>
      <c r="B127" s="37"/>
      <c r="C127" s="37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7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collapsed="1" x14ac:dyDescent="0.25">
      <c r="A128" s="10"/>
      <c r="B128" s="29" t="s">
        <v>0</v>
      </c>
      <c r="C128" s="10"/>
      <c r="D128" s="4">
        <f>SUM(OSRRefD25x_0)</f>
        <v>-1666.87</v>
      </c>
      <c r="E128" s="4"/>
      <c r="F128" s="12">
        <f t="shared" ref="F128:F130" si="83">IF(D$12=0,0,D128/D$12)</f>
        <v>-9.4842881680052785E-3</v>
      </c>
      <c r="G128" s="4"/>
      <c r="H128" s="4">
        <f>SUM(OSRRefH25x_0)</f>
        <v>0</v>
      </c>
      <c r="I128" s="4"/>
      <c r="J128" s="12">
        <f t="shared" ref="J128:J130" si="84">IF(H$12=0,0,H128/H$12)</f>
        <v>0</v>
      </c>
      <c r="K128" s="4"/>
      <c r="L128" s="4">
        <f t="shared" ref="L128:L130" si="85">+D128-H128</f>
        <v>-1666.87</v>
      </c>
      <c r="M128" s="4"/>
      <c r="N128" s="12">
        <f t="shared" ref="N128:N130" si="86">IF(H128=0,0,L128/H128)</f>
        <v>0</v>
      </c>
      <c r="O128" s="10"/>
      <c r="P128" s="4">
        <f>SUM(OSRRefP25x_0)</f>
        <v>206207.58</v>
      </c>
      <c r="Q128" s="4"/>
      <c r="R128" s="12">
        <f t="shared" ref="R128:R130" si="87">IF(P$12=0,0,P128/P$12)</f>
        <v>0.23284414448877599</v>
      </c>
      <c r="S128" s="4"/>
      <c r="T128" s="4">
        <f>SUM(OSRRefT25x_0)</f>
        <v>14830.16</v>
      </c>
      <c r="U128" s="4"/>
      <c r="V128" s="12">
        <f t="shared" ref="V128:V130" si="88">IF(T$12=0,0,T128/T$12)</f>
        <v>1.0109551728634257E-2</v>
      </c>
      <c r="W128" s="4"/>
      <c r="X128" s="4">
        <f t="shared" ref="X128:X130" si="89">+P128-T128</f>
        <v>191377.41999999998</v>
      </c>
      <c r="Y128" s="4"/>
      <c r="Z128" s="12">
        <f t="shared" ref="Z128:Z130" si="90">IF(T128=0,0,X128/T128)</f>
        <v>12.904609255732911</v>
      </c>
    </row>
    <row r="129" spans="1:26" s="24" customFormat="1" hidden="1" outlineLevel="1" x14ac:dyDescent="0.25">
      <c r="A129" s="44"/>
      <c r="B129" s="11" t="str">
        <f>CONCATENATE("          ", "9150", " - ", "MISC. INCOME")</f>
        <v xml:space="preserve">          9150 - MISC. INCOME</v>
      </c>
      <c r="C129" s="11"/>
      <c r="D129" s="2">
        <f>-1666.87</f>
        <v>-1666.87</v>
      </c>
      <c r="E129" s="2"/>
      <c r="F129" s="19">
        <f t="shared" si="83"/>
        <v>-9.4842881680052785E-3</v>
      </c>
      <c r="G129" s="2"/>
      <c r="H129" s="2">
        <f t="shared" ref="H129:H130" si="91">0</f>
        <v>0</v>
      </c>
      <c r="I129" s="2"/>
      <c r="J129" s="19">
        <f t="shared" si="84"/>
        <v>0</v>
      </c>
      <c r="K129" s="2"/>
      <c r="L129" s="2">
        <f t="shared" si="85"/>
        <v>-1666.87</v>
      </c>
      <c r="M129" s="2"/>
      <c r="N129" s="19">
        <f t="shared" si="86"/>
        <v>0</v>
      </c>
      <c r="O129" s="11"/>
      <c r="P129" s="2">
        <f>--30801.74</f>
        <v>30801.74</v>
      </c>
      <c r="Q129" s="2"/>
      <c r="R129" s="19">
        <f t="shared" si="87"/>
        <v>3.4780510003879155E-2</v>
      </c>
      <c r="S129" s="2"/>
      <c r="T129" s="2">
        <f>--14830.16</f>
        <v>14830.16</v>
      </c>
      <c r="U129" s="2"/>
      <c r="V129" s="19">
        <f t="shared" si="88"/>
        <v>1.0109551728634257E-2</v>
      </c>
      <c r="W129" s="2"/>
      <c r="X129" s="2">
        <f t="shared" si="89"/>
        <v>15971.580000000002</v>
      </c>
      <c r="Y129" s="2"/>
      <c r="Z129" s="19">
        <f t="shared" si="90"/>
        <v>1.0769661284841163</v>
      </c>
    </row>
    <row r="130" spans="1:26" s="24" customFormat="1" hidden="1" outlineLevel="1" x14ac:dyDescent="0.25">
      <c r="A130" s="44"/>
      <c r="B130" s="11" t="str">
        <f>CONCATENATE("          ", "9163", " - ", "MISC. INCOME")</f>
        <v xml:space="preserve">          9163 - MISC. INCOME</v>
      </c>
      <c r="C130" s="11"/>
      <c r="D130" s="2">
        <f>0</f>
        <v>0</v>
      </c>
      <c r="E130" s="2"/>
      <c r="F130" s="19">
        <f t="shared" si="83"/>
        <v>0</v>
      </c>
      <c r="G130" s="2"/>
      <c r="H130" s="2">
        <f t="shared" si="91"/>
        <v>0</v>
      </c>
      <c r="I130" s="2"/>
      <c r="J130" s="19">
        <f t="shared" si="84"/>
        <v>0</v>
      </c>
      <c r="K130" s="2"/>
      <c r="L130" s="2">
        <f t="shared" si="85"/>
        <v>0</v>
      </c>
      <c r="M130" s="2"/>
      <c r="N130" s="19">
        <f t="shared" si="86"/>
        <v>0</v>
      </c>
      <c r="O130" s="11"/>
      <c r="P130" s="2">
        <f>--175405.84</f>
        <v>175405.84</v>
      </c>
      <c r="Q130" s="2"/>
      <c r="R130" s="19">
        <f t="shared" si="87"/>
        <v>0.19806363448489683</v>
      </c>
      <c r="S130" s="2"/>
      <c r="T130" s="2">
        <f>0</f>
        <v>0</v>
      </c>
      <c r="U130" s="2"/>
      <c r="V130" s="19">
        <f t="shared" si="88"/>
        <v>0</v>
      </c>
      <c r="W130" s="2"/>
      <c r="X130" s="2">
        <f t="shared" si="89"/>
        <v>175405.84</v>
      </c>
      <c r="Y130" s="2"/>
      <c r="Z130" s="19">
        <f t="shared" si="90"/>
        <v>0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10"/>
      <c r="B132" s="28" t="s">
        <v>3</v>
      </c>
      <c r="C132" s="28"/>
      <c r="D132" s="20">
        <f>+D77-D79+D128</f>
        <v>30187.109999999975</v>
      </c>
      <c r="E132" s="14"/>
      <c r="F132" s="21">
        <f>IF(D$12=0,0,D132/D$12)</f>
        <v>0.17176099527814023</v>
      </c>
      <c r="G132" s="14"/>
      <c r="H132" s="20">
        <f>+H77-H79+H128</f>
        <v>74275.649999999994</v>
      </c>
      <c r="I132" s="14"/>
      <c r="J132" s="21">
        <f>IF(H$12=0,0,H132/H$12)</f>
        <v>0.30014428620797451</v>
      </c>
      <c r="K132" s="15"/>
      <c r="L132" s="20">
        <f>+D132-H132</f>
        <v>-44088.540000000023</v>
      </c>
      <c r="M132" s="15"/>
      <c r="N132" s="21">
        <f>IF(H132=0,0,L132/H132)</f>
        <v>-0.59357999559748087</v>
      </c>
      <c r="O132" s="29"/>
      <c r="P132" s="20">
        <f>+P77-P79+P128</f>
        <v>281484.9800000001</v>
      </c>
      <c r="Q132" s="14"/>
      <c r="R132" s="21">
        <f>IF(P$12=0,0,P132/P$12)</f>
        <v>0.3178453932418015</v>
      </c>
      <c r="S132" s="14"/>
      <c r="T132" s="20">
        <f>+T77-T79+T128</f>
        <v>436367.97000000003</v>
      </c>
      <c r="U132" s="14"/>
      <c r="V132" s="21">
        <f>IF(T$12=0,0,T132/T$12)</f>
        <v>0.29746709175316527</v>
      </c>
      <c r="W132" s="15"/>
      <c r="X132" s="20">
        <f>+P132-T132</f>
        <v>-154882.98999999993</v>
      </c>
      <c r="Y132" s="15"/>
      <c r="Z132" s="21">
        <f>IF(T132=0,0,X132/T132)</f>
        <v>-0.35493666045195738</v>
      </c>
    </row>
    <row r="133" spans="1:26" x14ac:dyDescent="0.25">
      <c r="A133" s="9"/>
      <c r="B133" s="10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51"/>
      <c r="B134" s="10" t="s">
        <v>13</v>
      </c>
      <c r="C134" s="10"/>
      <c r="D134" s="4">
        <v>56796.39</v>
      </c>
      <c r="E134" s="4"/>
      <c r="F134" s="12">
        <f>IF(D$12=0,0,D134/D$12)</f>
        <v>0.3231645717196982</v>
      </c>
      <c r="G134" s="4"/>
      <c r="H134" s="4">
        <v>29306.84</v>
      </c>
      <c r="I134" s="4"/>
      <c r="J134" s="12">
        <f>IF(H$12=0,0,H134/H$12)</f>
        <v>0.11842751390006437</v>
      </c>
      <c r="K134" s="4"/>
      <c r="L134" s="4">
        <f>+D134-H134</f>
        <v>27489.55</v>
      </c>
      <c r="M134" s="4"/>
      <c r="N134" s="12">
        <f>IF(H134=0,0,L134/H134)</f>
        <v>0.93799092635029913</v>
      </c>
      <c r="O134" s="10"/>
      <c r="P134" s="4">
        <v>169592.01</v>
      </c>
      <c r="Q134" s="4"/>
      <c r="R134" s="12">
        <f>IF(P$12=0,0,P134/P$12)</f>
        <v>0.19149881144321632</v>
      </c>
      <c r="S134" s="4"/>
      <c r="T134" s="4">
        <v>158441.4</v>
      </c>
      <c r="U134" s="4"/>
      <c r="V134" s="12">
        <f>IF(T$12=0,0,T134/T$12)</f>
        <v>0.10800770384522025</v>
      </c>
      <c r="W134" s="4"/>
      <c r="X134" s="4">
        <f>+P134-T134</f>
        <v>11150.610000000015</v>
      </c>
      <c r="Y134" s="4"/>
      <c r="Z134" s="12">
        <f>IF(T134=0,0,X134/T134)</f>
        <v>7.0376871196543428E-2</v>
      </c>
    </row>
    <row r="135" spans="1:26" x14ac:dyDescent="0.2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8" t="s">
        <v>4</v>
      </c>
      <c r="C136" s="28"/>
      <c r="D136" s="33">
        <f>+D132-D134</f>
        <v>-26609.280000000024</v>
      </c>
      <c r="E136" s="14"/>
      <c r="F136" s="34">
        <f>IF(D$12=0,0,D136/D$12)</f>
        <v>-0.15140357644155797</v>
      </c>
      <c r="G136" s="14"/>
      <c r="H136" s="33">
        <f>+H132-H134</f>
        <v>44968.81</v>
      </c>
      <c r="I136" s="14"/>
      <c r="J136" s="34">
        <f>IF(H$12=0,0,H136/H$12)</f>
        <v>0.18171677230791014</v>
      </c>
      <c r="K136" s="15"/>
      <c r="L136" s="33">
        <f>D136-H136</f>
        <v>-71578.090000000026</v>
      </c>
      <c r="M136" s="15"/>
      <c r="N136" s="34">
        <f>IF(H136=0,0,L136/H136)</f>
        <v>-1.5917274662149172</v>
      </c>
      <c r="O136" s="29"/>
      <c r="P136" s="33">
        <f>+P132-P134</f>
        <v>111892.97000000009</v>
      </c>
      <c r="Q136" s="14"/>
      <c r="R136" s="34">
        <f>IF(P$12=0,0,P136/P$12)</f>
        <v>0.12634658179858518</v>
      </c>
      <c r="S136" s="14"/>
      <c r="T136" s="33">
        <f>+T132-T134</f>
        <v>277926.57000000007</v>
      </c>
      <c r="U136" s="14"/>
      <c r="V136" s="34">
        <f>IF(T$12=0,0,T136/T$12)</f>
        <v>0.18945938790794503</v>
      </c>
      <c r="W136" s="15"/>
      <c r="X136" s="33">
        <f>P136-T136</f>
        <v>-166033.59999999998</v>
      </c>
      <c r="Y136" s="15"/>
      <c r="Z136" s="34">
        <f>IF(T136=0,0,X136/T136)</f>
        <v>-0.5974009609804487</v>
      </c>
    </row>
    <row r="137" spans="1:26" ht="15.75" thickTop="1" x14ac:dyDescent="0.25">
      <c r="A137" s="9"/>
      <c r="B137" s="9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x14ac:dyDescent="0.25">
      <c r="A138" s="9"/>
      <c r="B138" s="9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ht="15.75" thickBot="1" x14ac:dyDescent="0.3">
      <c r="A139" s="10"/>
      <c r="B139" s="28" t="s">
        <v>5</v>
      </c>
      <c r="C139" s="28"/>
      <c r="D139" s="30">
        <f>SUM(D136:D138)</f>
        <v>-26609.280000000024</v>
      </c>
      <c r="E139" s="14"/>
      <c r="F139" s="32">
        <f>IF(D$12=0,0,D139/D$12)</f>
        <v>-0.15140357644155797</v>
      </c>
      <c r="G139" s="14"/>
      <c r="H139" s="30">
        <f>SUM(H136:H138)</f>
        <v>44968.81</v>
      </c>
      <c r="I139" s="14"/>
      <c r="J139" s="32">
        <f>IF(H$12=0,0,H139/H$12)</f>
        <v>0.18171677230791014</v>
      </c>
      <c r="K139" s="15"/>
      <c r="L139" s="30">
        <f>+D139-H139</f>
        <v>-71578.090000000026</v>
      </c>
      <c r="M139" s="15"/>
      <c r="N139" s="32">
        <f>IF(H139=0,0,L139/H139)</f>
        <v>-1.5917274662149172</v>
      </c>
      <c r="O139" s="29"/>
      <c r="P139" s="30">
        <f>SUM(P136:P138)</f>
        <v>111892.97000000009</v>
      </c>
      <c r="Q139" s="14"/>
      <c r="R139" s="32">
        <f>IF(P$12=0,0,P139/P$12)</f>
        <v>0.12634658179858518</v>
      </c>
      <c r="S139" s="14"/>
      <c r="T139" s="30">
        <f>SUM(T136:T138)</f>
        <v>277926.57000000007</v>
      </c>
      <c r="U139" s="14"/>
      <c r="V139" s="32">
        <f>IF(T$12=0,0,T139/T$12)</f>
        <v>0.18945938790794503</v>
      </c>
      <c r="W139" s="15"/>
      <c r="X139" s="30">
        <f>+P139-T139</f>
        <v>-166033.59999999998</v>
      </c>
      <c r="Y139" s="15"/>
      <c r="Z139" s="32">
        <f>IF(T139=0,0,X139/T139)</f>
        <v>-0.5974009609804487</v>
      </c>
    </row>
    <row r="140" spans="1:26" ht="15.75" thickTop="1" x14ac:dyDescent="0.25">
      <c r="A140" s="9"/>
      <c r="C140" s="9"/>
      <c r="D140" s="17"/>
      <c r="E140" s="17"/>
      <c r="G140" s="17"/>
      <c r="H140" s="17"/>
      <c r="I140" s="17"/>
      <c r="J140" s="43"/>
      <c r="K140" s="17"/>
      <c r="L140" s="17"/>
      <c r="M140" s="17"/>
      <c r="P140" s="17"/>
      <c r="Q140" s="17"/>
      <c r="R140" s="43"/>
      <c r="S140" s="17"/>
      <c r="T140" s="17"/>
      <c r="U140" s="17"/>
      <c r="V140" s="43"/>
      <c r="W140" s="17"/>
      <c r="X140" s="17"/>
    </row>
    <row r="141" spans="1:26" x14ac:dyDescent="0.25">
      <c r="A141" s="9"/>
      <c r="B141" s="58">
        <v>44209.52181554398</v>
      </c>
      <c r="D141" s="17"/>
      <c r="E141" s="17"/>
      <c r="G141" s="17"/>
      <c r="H141" s="17"/>
      <c r="I141" s="17"/>
      <c r="J141" s="43"/>
      <c r="K141" s="17"/>
      <c r="L141" s="17"/>
      <c r="M141" s="17"/>
      <c r="P141" s="17"/>
      <c r="Q141" s="17"/>
      <c r="R141" s="43"/>
      <c r="S141" s="17"/>
      <c r="T141" s="17"/>
      <c r="U141" s="17"/>
      <c r="V141" s="43"/>
      <c r="W141" s="17"/>
      <c r="X141" s="17"/>
    </row>
    <row r="142" spans="1:26" x14ac:dyDescent="0.25">
      <c r="A142" s="9"/>
      <c r="B142" s="61" t="s">
        <v>313</v>
      </c>
      <c r="D142" s="17"/>
      <c r="E142" s="17"/>
      <c r="G142" s="17"/>
      <c r="H142" s="17"/>
      <c r="I142" s="17"/>
      <c r="J142" s="43"/>
      <c r="K142" s="17"/>
      <c r="L142" s="17"/>
      <c r="M142" s="17"/>
      <c r="P142" s="17"/>
      <c r="Q142" s="17"/>
      <c r="R142" s="43"/>
      <c r="S142" s="17"/>
      <c r="T142" s="17"/>
      <c r="U142" s="17"/>
      <c r="V142" s="43"/>
      <c r="W142" s="17"/>
      <c r="X142" s="17"/>
    </row>
    <row r="143" spans="1:26" x14ac:dyDescent="0.25">
      <c r="A143" s="9"/>
      <c r="B143" s="57"/>
      <c r="D143" s="17"/>
      <c r="E143" s="17"/>
      <c r="G143" s="17"/>
      <c r="H143" s="17"/>
      <c r="I143" s="17"/>
      <c r="J143" s="43"/>
      <c r="K143" s="17"/>
      <c r="L143" s="17"/>
      <c r="M143" s="17"/>
      <c r="P143" s="17"/>
      <c r="Q143" s="17"/>
      <c r="R143" s="43"/>
      <c r="S143" s="17"/>
      <c r="T143" s="17"/>
      <c r="U143" s="17"/>
      <c r="V143" s="43"/>
      <c r="W143" s="17"/>
      <c r="X143" s="17"/>
    </row>
    <row r="144" spans="1:26" x14ac:dyDescent="0.25">
      <c r="D144" s="17"/>
      <c r="E144" s="17"/>
      <c r="G144" s="17"/>
      <c r="H144" s="17"/>
      <c r="I144" s="17"/>
      <c r="J144" s="43"/>
      <c r="K144" s="17"/>
      <c r="L144" s="17"/>
      <c r="M144" s="17"/>
      <c r="P144" s="17"/>
      <c r="Q144" s="17"/>
      <c r="R144" s="43"/>
      <c r="S144" s="17"/>
      <c r="T144" s="17"/>
      <c r="U144" s="17"/>
      <c r="V144" s="43"/>
      <c r="W144" s="17"/>
      <c r="X144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","326", " - ", "2nd Street Store")</f>
        <v>Department 326 - 2nd Street Store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38901.969999999987</v>
      </c>
      <c r="E12" s="4"/>
      <c r="F12" s="12"/>
      <c r="G12" s="4"/>
      <c r="H12" s="4">
        <f>SUM(OSRRefH13x_0)</f>
        <v>52055.679999999993</v>
      </c>
      <c r="I12" s="4"/>
      <c r="J12" s="12"/>
      <c r="K12" s="4"/>
      <c r="L12" s="4">
        <f t="shared" ref="L12:L37" si="0">+D12-H12</f>
        <v>-13153.710000000006</v>
      </c>
      <c r="M12" s="4"/>
      <c r="N12" s="12">
        <f t="shared" ref="N12:N37" si="1">IF(H12=0,0,L12/H12)</f>
        <v>-0.25268539379372257</v>
      </c>
      <c r="O12" s="10"/>
      <c r="P12" s="4">
        <f>SUM(OSRRefP13x_0)</f>
        <v>144917.09</v>
      </c>
      <c r="Q12" s="4"/>
      <c r="R12" s="12"/>
      <c r="S12" s="4"/>
      <c r="T12" s="4">
        <f>SUM(OSRRefT13x_0)</f>
        <v>284363.12000000005</v>
      </c>
      <c r="U12" s="4"/>
      <c r="V12" s="12"/>
      <c r="W12" s="4"/>
      <c r="X12" s="4">
        <f t="shared" ref="X12:X37" si="2">+P12-T12</f>
        <v>-139446.03000000006</v>
      </c>
      <c r="Y12" s="4"/>
      <c r="Z12" s="12">
        <f t="shared" ref="Z12:Z37" si="3">IF(T12=0,0,X12/T12)</f>
        <v>-0.49038015196907403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-499.35</f>
        <v>-499.35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-499.35</v>
      </c>
      <c r="M13" s="2"/>
      <c r="N13" s="19">
        <f t="shared" si="1"/>
        <v>0</v>
      </c>
      <c r="O13" s="11"/>
      <c r="P13" s="2">
        <f>-3343.71</f>
        <v>-3343.71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-3343.71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--75.18</f>
        <v>75.180000000000007</v>
      </c>
      <c r="E14" s="2"/>
      <c r="F14" s="19"/>
      <c r="G14" s="2"/>
      <c r="H14" s="2">
        <f>--26.46</f>
        <v>26.46</v>
      </c>
      <c r="I14" s="2"/>
      <c r="J14" s="19"/>
      <c r="K14" s="2"/>
      <c r="L14" s="2">
        <f t="shared" si="0"/>
        <v>48.720000000000006</v>
      </c>
      <c r="M14" s="2"/>
      <c r="N14" s="19">
        <f t="shared" si="1"/>
        <v>1.8412698412698414</v>
      </c>
      <c r="O14" s="11"/>
      <c r="P14" s="2">
        <f>--132.88</f>
        <v>132.88</v>
      </c>
      <c r="Q14" s="2"/>
      <c r="R14" s="19"/>
      <c r="S14" s="2"/>
      <c r="T14" s="2">
        <f>--149.65</f>
        <v>149.65</v>
      </c>
      <c r="U14" s="2"/>
      <c r="V14" s="19"/>
      <c r="W14" s="2"/>
      <c r="X14" s="2">
        <f t="shared" si="2"/>
        <v>-16.77000000000001</v>
      </c>
      <c r="Y14" s="2"/>
      <c r="Z14" s="19">
        <f t="shared" si="3"/>
        <v>-0.11206147677915142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--180.43</f>
        <v>180.43</v>
      </c>
      <c r="E15" s="2"/>
      <c r="F15" s="19"/>
      <c r="G15" s="2"/>
      <c r="H15" s="2">
        <f t="shared" ref="H15:H16" si="4">0</f>
        <v>0</v>
      </c>
      <c r="I15" s="2"/>
      <c r="J15" s="19"/>
      <c r="K15" s="2"/>
      <c r="L15" s="2">
        <f t="shared" si="0"/>
        <v>180.43</v>
      </c>
      <c r="M15" s="2"/>
      <c r="N15" s="19">
        <f t="shared" si="1"/>
        <v>0</v>
      </c>
      <c r="O15" s="11"/>
      <c r="P15" s="2">
        <f>--230.67</f>
        <v>230.67</v>
      </c>
      <c r="Q15" s="2"/>
      <c r="R15" s="19"/>
      <c r="S15" s="2"/>
      <c r="T15" s="2">
        <f>--47.91</f>
        <v>47.91</v>
      </c>
      <c r="U15" s="2"/>
      <c r="V15" s="19"/>
      <c r="W15" s="2"/>
      <c r="X15" s="2">
        <f t="shared" si="2"/>
        <v>182.76</v>
      </c>
      <c r="Y15" s="2"/>
      <c r="Z15" s="19">
        <f t="shared" si="3"/>
        <v>3.8146524733876017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--26.24</f>
        <v>26.24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26.24</v>
      </c>
      <c r="M16" s="2"/>
      <c r="N16" s="19">
        <f t="shared" si="1"/>
        <v>0</v>
      </c>
      <c r="O16" s="11"/>
      <c r="P16" s="2">
        <f>--26.24</f>
        <v>26.24</v>
      </c>
      <c r="Q16" s="2"/>
      <c r="R16" s="19"/>
      <c r="S16" s="2"/>
      <c r="T16" s="2">
        <f>0</f>
        <v>0</v>
      </c>
      <c r="U16" s="2"/>
      <c r="V16" s="19"/>
      <c r="W16" s="2"/>
      <c r="X16" s="2">
        <f t="shared" si="2"/>
        <v>26.24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--30322.95</f>
        <v>30322.95</v>
      </c>
      <c r="E17" s="2"/>
      <c r="F17" s="19"/>
      <c r="G17" s="2"/>
      <c r="H17" s="2">
        <f>--41648.03</f>
        <v>41648.03</v>
      </c>
      <c r="I17" s="2"/>
      <c r="J17" s="19"/>
      <c r="K17" s="2"/>
      <c r="L17" s="2">
        <f t="shared" si="0"/>
        <v>-11325.079999999998</v>
      </c>
      <c r="M17" s="2"/>
      <c r="N17" s="19">
        <f t="shared" si="1"/>
        <v>-0.2719235459636386</v>
      </c>
      <c r="O17" s="11"/>
      <c r="P17" s="2">
        <f>--118863.94</f>
        <v>118863.94</v>
      </c>
      <c r="Q17" s="2"/>
      <c r="R17" s="19"/>
      <c r="S17" s="2"/>
      <c r="T17" s="2">
        <f>--238414.6</f>
        <v>238414.6</v>
      </c>
      <c r="U17" s="2"/>
      <c r="V17" s="19"/>
      <c r="W17" s="2"/>
      <c r="X17" s="2">
        <f t="shared" si="2"/>
        <v>-119550.66</v>
      </c>
      <c r="Y17" s="2"/>
      <c r="Z17" s="19">
        <f t="shared" si="3"/>
        <v>-0.5014401802574171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--5245.23</f>
        <v>5245.23</v>
      </c>
      <c r="E18" s="2"/>
      <c r="F18" s="19"/>
      <c r="G18" s="2"/>
      <c r="H18" s="2">
        <f>--5926.96</f>
        <v>5926.96</v>
      </c>
      <c r="I18" s="2"/>
      <c r="J18" s="19"/>
      <c r="K18" s="2"/>
      <c r="L18" s="2">
        <f t="shared" si="0"/>
        <v>-681.73000000000047</v>
      </c>
      <c r="M18" s="2"/>
      <c r="N18" s="19">
        <f t="shared" si="1"/>
        <v>-0.11502186618435091</v>
      </c>
      <c r="O18" s="11"/>
      <c r="P18" s="2">
        <f>--18947.42</f>
        <v>18947.419999999998</v>
      </c>
      <c r="Q18" s="2"/>
      <c r="R18" s="19"/>
      <c r="S18" s="2"/>
      <c r="T18" s="2">
        <f>--30974.74</f>
        <v>30974.74</v>
      </c>
      <c r="U18" s="2"/>
      <c r="V18" s="19"/>
      <c r="W18" s="2"/>
      <c r="X18" s="2">
        <f t="shared" si="2"/>
        <v>-12027.320000000003</v>
      </c>
      <c r="Y18" s="2"/>
      <c r="Z18" s="19">
        <f t="shared" si="3"/>
        <v>-0.38829446187441774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--1146.09</f>
        <v>1146.0899999999999</v>
      </c>
      <c r="E19" s="2"/>
      <c r="F19" s="19"/>
      <c r="G19" s="2"/>
      <c r="H19" s="2">
        <f>--5671.67</f>
        <v>5671.67</v>
      </c>
      <c r="I19" s="2"/>
      <c r="J19" s="19"/>
      <c r="K19" s="2"/>
      <c r="L19" s="2">
        <f t="shared" si="0"/>
        <v>-4525.58</v>
      </c>
      <c r="M19" s="2"/>
      <c r="N19" s="19">
        <f t="shared" si="1"/>
        <v>-0.79792724188819164</v>
      </c>
      <c r="O19" s="11"/>
      <c r="P19" s="2">
        <f>--6153.94</f>
        <v>6153.94</v>
      </c>
      <c r="Q19" s="2"/>
      <c r="R19" s="19"/>
      <c r="S19" s="2"/>
      <c r="T19" s="2">
        <f>--21578.38</f>
        <v>21578.38</v>
      </c>
      <c r="U19" s="2"/>
      <c r="V19" s="19"/>
      <c r="W19" s="2"/>
      <c r="X19" s="2">
        <f t="shared" si="2"/>
        <v>-15424.440000000002</v>
      </c>
      <c r="Y19" s="2"/>
      <c r="Z19" s="19">
        <f t="shared" si="3"/>
        <v>-0.71480991622169976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--3369.25</f>
        <v>3369.25</v>
      </c>
      <c r="E20" s="2"/>
      <c r="F20" s="19"/>
      <c r="G20" s="2"/>
      <c r="H20" s="2">
        <f>--247.74</f>
        <v>247.74</v>
      </c>
      <c r="I20" s="2"/>
      <c r="J20" s="19"/>
      <c r="K20" s="2"/>
      <c r="L20" s="2">
        <f t="shared" si="0"/>
        <v>3121.51</v>
      </c>
      <c r="M20" s="2"/>
      <c r="N20" s="19">
        <f t="shared" si="1"/>
        <v>12.599943489141843</v>
      </c>
      <c r="O20" s="11"/>
      <c r="P20" s="2">
        <f>--6240.23</f>
        <v>6240.23</v>
      </c>
      <c r="Q20" s="2"/>
      <c r="R20" s="19"/>
      <c r="S20" s="2"/>
      <c r="T20" s="2">
        <f>--279.72</f>
        <v>279.72000000000003</v>
      </c>
      <c r="U20" s="2"/>
      <c r="V20" s="19"/>
      <c r="W20" s="2"/>
      <c r="X20" s="2">
        <f t="shared" si="2"/>
        <v>5960.5099999999993</v>
      </c>
      <c r="Y20" s="2"/>
      <c r="Z20" s="19">
        <f t="shared" si="3"/>
        <v>21.308844558844555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--612.52</f>
        <v>612.52</v>
      </c>
      <c r="E21" s="2"/>
      <c r="F21" s="19"/>
      <c r="G21" s="2"/>
      <c r="H21" s="2">
        <f>--601.71</f>
        <v>601.71</v>
      </c>
      <c r="I21" s="2"/>
      <c r="J21" s="19"/>
      <c r="K21" s="2"/>
      <c r="L21" s="2">
        <f t="shared" si="0"/>
        <v>10.809999999999945</v>
      </c>
      <c r="M21" s="2"/>
      <c r="N21" s="19">
        <f t="shared" si="1"/>
        <v>1.7965465091156776E-2</v>
      </c>
      <c r="O21" s="11"/>
      <c r="P21" s="2">
        <f>--1840.86</f>
        <v>1840.86</v>
      </c>
      <c r="Q21" s="2"/>
      <c r="R21" s="19"/>
      <c r="S21" s="2"/>
      <c r="T21" s="2">
        <f>--2539.05</f>
        <v>2539.0500000000002</v>
      </c>
      <c r="U21" s="2"/>
      <c r="V21" s="19"/>
      <c r="W21" s="2"/>
      <c r="X21" s="2">
        <f t="shared" si="2"/>
        <v>-698.19000000000028</v>
      </c>
      <c r="Y21" s="2"/>
      <c r="Z21" s="19">
        <f t="shared" si="3"/>
        <v>-0.27498079990547653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>--39.9</f>
        <v>39.9</v>
      </c>
      <c r="E22" s="2"/>
      <c r="F22" s="19"/>
      <c r="G22" s="2"/>
      <c r="H22" s="2">
        <f t="shared" ref="H22:H23" si="5">0</f>
        <v>0</v>
      </c>
      <c r="I22" s="2"/>
      <c r="J22" s="19"/>
      <c r="K22" s="2"/>
      <c r="L22" s="2">
        <f t="shared" si="0"/>
        <v>39.9</v>
      </c>
      <c r="M22" s="2"/>
      <c r="N22" s="19">
        <f t="shared" si="1"/>
        <v>0</v>
      </c>
      <c r="O22" s="11"/>
      <c r="P22" s="2">
        <f>--326.37</f>
        <v>326.37</v>
      </c>
      <c r="Q22" s="2"/>
      <c r="R22" s="19"/>
      <c r="S22" s="2"/>
      <c r="T22" s="2">
        <f>--457.61</f>
        <v>457.61</v>
      </c>
      <c r="U22" s="2"/>
      <c r="V22" s="19"/>
      <c r="W22" s="2"/>
      <c r="X22" s="2">
        <f t="shared" si="2"/>
        <v>-131.24</v>
      </c>
      <c r="Y22" s="2"/>
      <c r="Z22" s="19">
        <f t="shared" si="3"/>
        <v>-0.28679443193986148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 t="shared" ref="D23:D24" si="6">0</f>
        <v>0</v>
      </c>
      <c r="E23" s="2"/>
      <c r="F23" s="19"/>
      <c r="G23" s="2"/>
      <c r="H23" s="2">
        <f t="shared" si="5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7">0</f>
        <v>0</v>
      </c>
      <c r="Q23" s="2"/>
      <c r="R23" s="19"/>
      <c r="S23" s="2"/>
      <c r="T23" s="2">
        <f>-39.95</f>
        <v>-39.950000000000003</v>
      </c>
      <c r="U23" s="2"/>
      <c r="V23" s="19"/>
      <c r="W23" s="2"/>
      <c r="X23" s="2">
        <f t="shared" si="2"/>
        <v>39.950000000000003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 t="shared" si="6"/>
        <v>0</v>
      </c>
      <c r="E24" s="2"/>
      <c r="F24" s="19"/>
      <c r="G24" s="2"/>
      <c r="H24" s="2">
        <f>--0.99</f>
        <v>0.99</v>
      </c>
      <c r="I24" s="2"/>
      <c r="J24" s="19"/>
      <c r="K24" s="2"/>
      <c r="L24" s="2">
        <f t="shared" si="0"/>
        <v>-0.99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--28.71</f>
        <v>28.71</v>
      </c>
      <c r="U24" s="2"/>
      <c r="V24" s="19"/>
      <c r="W24" s="2"/>
      <c r="X24" s="2">
        <f t="shared" si="2"/>
        <v>-28.71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"4131", " - ", "NON-TAXABLE SALES-FOOD")</f>
        <v xml:space="preserve">          4131 - NON-TAXABLE SALES-FOOD</v>
      </c>
      <c r="C25" s="11"/>
      <c r="D25" s="2">
        <f>--1.5</f>
        <v>1.5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1.5</v>
      </c>
      <c r="M25" s="2"/>
      <c r="N25" s="19">
        <f t="shared" si="1"/>
        <v>0</v>
      </c>
      <c r="O25" s="11"/>
      <c r="P25" s="2">
        <f>--37.5</f>
        <v>37.5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37.5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"4137", " - ", "NON-TAXABLE SALES-WATER")</f>
        <v xml:space="preserve">          4137 - NON-TAXABLE SALES-WATER</v>
      </c>
      <c r="C26" s="11"/>
      <c r="D26" s="2">
        <f t="shared" ref="D26:D30" si="8">0</f>
        <v>0</v>
      </c>
      <c r="E26" s="2"/>
      <c r="F26" s="19"/>
      <c r="G26" s="2"/>
      <c r="H26" s="2">
        <f>--6</f>
        <v>6</v>
      </c>
      <c r="I26" s="2"/>
      <c r="J26" s="19"/>
      <c r="K26" s="2"/>
      <c r="L26" s="2">
        <f t="shared" si="0"/>
        <v>-6</v>
      </c>
      <c r="M26" s="2"/>
      <c r="N26" s="19">
        <f t="shared" si="1"/>
        <v>-1</v>
      </c>
      <c r="O26" s="11"/>
      <c r="P26" s="2">
        <f>--9</f>
        <v>9</v>
      </c>
      <c r="Q26" s="2"/>
      <c r="R26" s="19"/>
      <c r="S26" s="2"/>
      <c r="T26" s="2">
        <f>--93</f>
        <v>93</v>
      </c>
      <c r="U26" s="2"/>
      <c r="V26" s="19"/>
      <c r="W26" s="2"/>
      <c r="X26" s="2">
        <f t="shared" si="2"/>
        <v>-84</v>
      </c>
      <c r="Y26" s="2"/>
      <c r="Z26" s="19">
        <f t="shared" si="3"/>
        <v>-0.90322580645161288</v>
      </c>
    </row>
    <row r="27" spans="1:26" s="24" customFormat="1" hidden="1" outlineLevel="1" x14ac:dyDescent="0.25">
      <c r="A27" s="44"/>
      <c r="B27" s="11" t="str">
        <f>CONCATENATE("          ", "4140", " - ", "NON-TAXABLE SALES-LOGO CLOTHIN")</f>
        <v xml:space="preserve">          4140 - NON-TAXABLE SALES-LOGO CLOTHIN</v>
      </c>
      <c r="C27" s="11"/>
      <c r="D27" s="2">
        <f t="shared" si="8"/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--165.78</f>
        <v>165.78</v>
      </c>
      <c r="Q27" s="2"/>
      <c r="R27" s="19"/>
      <c r="S27" s="2"/>
      <c r="T27" s="2">
        <f>0</f>
        <v>0</v>
      </c>
      <c r="U27" s="2"/>
      <c r="V27" s="19"/>
      <c r="W27" s="2"/>
      <c r="X27" s="2">
        <f t="shared" si="2"/>
        <v>165.78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"4142", " - ", "NON-TAXABLE SALES-EVERYDAY GIF")</f>
        <v xml:space="preserve">          4142 - NON-TAXABLE SALES-EVERYDAY GIF</v>
      </c>
      <c r="C28" s="11"/>
      <c r="D28" s="2">
        <f t="shared" si="8"/>
        <v>0</v>
      </c>
      <c r="E28" s="2"/>
      <c r="F28" s="19"/>
      <c r="G28" s="2"/>
      <c r="H28" s="2">
        <f>--134.2</f>
        <v>134.19999999999999</v>
      </c>
      <c r="I28" s="2"/>
      <c r="J28" s="19"/>
      <c r="K28" s="2"/>
      <c r="L28" s="2">
        <f t="shared" si="0"/>
        <v>-134.19999999999999</v>
      </c>
      <c r="M28" s="2"/>
      <c r="N28" s="19">
        <f t="shared" si="1"/>
        <v>-1</v>
      </c>
      <c r="O28" s="11"/>
      <c r="P28" s="2">
        <f>0</f>
        <v>0</v>
      </c>
      <c r="Q28" s="2"/>
      <c r="R28" s="19"/>
      <c r="S28" s="2"/>
      <c r="T28" s="2">
        <f>--293.03</f>
        <v>293.02999999999997</v>
      </c>
      <c r="U28" s="2"/>
      <c r="V28" s="19"/>
      <c r="W28" s="2"/>
      <c r="X28" s="2">
        <f t="shared" si="2"/>
        <v>-293.02999999999997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"4145", " - ", "NON-TAXABLE SALES-SPECIAL ORDE")</f>
        <v xml:space="preserve">          4145 - NON-TAXABLE SALES-SPECIAL ORDE</v>
      </c>
      <c r="C29" s="11"/>
      <c r="D29" s="2">
        <f t="shared" si="8"/>
        <v>0</v>
      </c>
      <c r="E29" s="2"/>
      <c r="F29" s="19"/>
      <c r="G29" s="2"/>
      <c r="H29" s="2">
        <f t="shared" ref="H29:H31" si="9"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--7</f>
        <v>7</v>
      </c>
      <c r="Q29" s="2"/>
      <c r="R29" s="19"/>
      <c r="S29" s="2"/>
      <c r="T29" s="2">
        <f>0</f>
        <v>0</v>
      </c>
      <c r="U29" s="2"/>
      <c r="V29" s="19"/>
      <c r="W29" s="2"/>
      <c r="X29" s="2">
        <f t="shared" si="2"/>
        <v>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"4226", " - ", "SALES RETURN TAXABLE-WRITING I")</f>
        <v xml:space="preserve">          4226 - SALES RETURN TAXABLE-WRITING I</v>
      </c>
      <c r="C30" s="11"/>
      <c r="D30" s="2">
        <f t="shared" si="8"/>
        <v>0</v>
      </c>
      <c r="E30" s="2"/>
      <c r="F30" s="19"/>
      <c r="G30" s="2"/>
      <c r="H30" s="2">
        <f t="shared" si="9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-27.85</f>
        <v>-27.85</v>
      </c>
      <c r="Q30" s="2"/>
      <c r="R30" s="19"/>
      <c r="S30" s="2"/>
      <c r="T30" s="2">
        <f>-134.8</f>
        <v>-134.80000000000001</v>
      </c>
      <c r="U30" s="2"/>
      <c r="V30" s="19"/>
      <c r="W30" s="2"/>
      <c r="X30" s="2">
        <f t="shared" si="2"/>
        <v>106.95000000000002</v>
      </c>
      <c r="Y30" s="2"/>
      <c r="Z30" s="19">
        <f t="shared" si="3"/>
        <v>-0.79339762611275966</v>
      </c>
    </row>
    <row r="31" spans="1:26" s="24" customFormat="1" hidden="1" outlineLevel="1" x14ac:dyDescent="0.25">
      <c r="A31" s="44"/>
      <c r="B31" s="11" t="str">
        <f>CONCATENATE("          ", "4227", " - ", "SALES RETURN TAXABLE-SCHOOL SU")</f>
        <v xml:space="preserve">          4227 - SALES RETURN TAXABLE-SCHOOL SU</v>
      </c>
      <c r="C31" s="11"/>
      <c r="D31" s="2">
        <f>-9.22</f>
        <v>-9.2200000000000006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-9.2200000000000006</v>
      </c>
      <c r="M31" s="2"/>
      <c r="N31" s="19">
        <f t="shared" si="1"/>
        <v>0</v>
      </c>
      <c r="O31" s="11"/>
      <c r="P31" s="2">
        <f>-39.22</f>
        <v>-39.22</v>
      </c>
      <c r="Q31" s="2"/>
      <c r="R31" s="19"/>
      <c r="S31" s="2"/>
      <c r="T31" s="2">
        <f>0</f>
        <v>0</v>
      </c>
      <c r="U31" s="2"/>
      <c r="V31" s="19"/>
      <c r="W31" s="2"/>
      <c r="X31" s="2">
        <f t="shared" si="2"/>
        <v>-39.22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"4240", " - ", "SALES RETURN TAXABLE-LOGO CLOT")</f>
        <v xml:space="preserve">          4240 - SALES RETURN TAXABLE-LOGO CLOT</v>
      </c>
      <c r="C32" s="11"/>
      <c r="D32" s="2">
        <f>-1318.44</f>
        <v>-1318.44</v>
      </c>
      <c r="E32" s="2"/>
      <c r="F32" s="19"/>
      <c r="G32" s="2"/>
      <c r="H32" s="2">
        <f>-1800.06</f>
        <v>-1800.06</v>
      </c>
      <c r="I32" s="2"/>
      <c r="J32" s="19"/>
      <c r="K32" s="2"/>
      <c r="L32" s="2">
        <f t="shared" si="0"/>
        <v>481.61999999999989</v>
      </c>
      <c r="M32" s="2"/>
      <c r="N32" s="19">
        <f t="shared" si="1"/>
        <v>-0.26755774807506411</v>
      </c>
      <c r="O32" s="11"/>
      <c r="P32" s="2">
        <f>-4091.47</f>
        <v>-4091.47</v>
      </c>
      <c r="Q32" s="2"/>
      <c r="R32" s="19"/>
      <c r="S32" s="2"/>
      <c r="T32" s="2">
        <f>-8451.16</f>
        <v>-8451.16</v>
      </c>
      <c r="U32" s="2"/>
      <c r="V32" s="19"/>
      <c r="W32" s="2"/>
      <c r="X32" s="2">
        <f t="shared" si="2"/>
        <v>4359.6900000000005</v>
      </c>
      <c r="Y32" s="2"/>
      <c r="Z32" s="19">
        <f t="shared" si="3"/>
        <v>-0.51586882747457163</v>
      </c>
    </row>
    <row r="33" spans="1:26" s="24" customFormat="1" hidden="1" outlineLevel="1" x14ac:dyDescent="0.25">
      <c r="A33" s="44"/>
      <c r="B33" s="11" t="str">
        <f>CONCATENATE("          ", "4241", " - ", "SALES RETURN TAXABLE-LOGO GIFT")</f>
        <v xml:space="preserve">          4241 - SALES RETURN TAXABLE-LOGO GIFT</v>
      </c>
      <c r="C33" s="11"/>
      <c r="D33" s="2">
        <f>-124.01</f>
        <v>-124.01</v>
      </c>
      <c r="E33" s="2"/>
      <c r="F33" s="19"/>
      <c r="G33" s="2"/>
      <c r="H33" s="2">
        <f>-99.7</f>
        <v>-99.7</v>
      </c>
      <c r="I33" s="2"/>
      <c r="J33" s="19"/>
      <c r="K33" s="2"/>
      <c r="L33" s="2">
        <f t="shared" si="0"/>
        <v>-24.310000000000002</v>
      </c>
      <c r="M33" s="2"/>
      <c r="N33" s="19">
        <f t="shared" si="1"/>
        <v>0.24383149448345037</v>
      </c>
      <c r="O33" s="11"/>
      <c r="P33" s="2">
        <f>-274.41</f>
        <v>-274.41000000000003</v>
      </c>
      <c r="Q33" s="2"/>
      <c r="R33" s="19"/>
      <c r="S33" s="2"/>
      <c r="T33" s="2">
        <f>-969.11</f>
        <v>-969.11</v>
      </c>
      <c r="U33" s="2"/>
      <c r="V33" s="19"/>
      <c r="W33" s="2"/>
      <c r="X33" s="2">
        <f t="shared" si="2"/>
        <v>694.7</v>
      </c>
      <c r="Y33" s="2"/>
      <c r="Z33" s="19">
        <f t="shared" si="3"/>
        <v>-0.71684328920349605</v>
      </c>
    </row>
    <row r="34" spans="1:26" s="24" customFormat="1" hidden="1" outlineLevel="1" x14ac:dyDescent="0.25">
      <c r="A34" s="44"/>
      <c r="B34" s="11" t="str">
        <f>CONCATENATE("          ", "4242", " - ", "SALES RETURN TAXABLE-EVERYDAY")</f>
        <v xml:space="preserve">          4242 - SALES RETURN TAXABLE-EVERYDAY</v>
      </c>
      <c r="C34" s="11"/>
      <c r="D34" s="2">
        <f>-136.37</f>
        <v>-136.37</v>
      </c>
      <c r="E34" s="2"/>
      <c r="F34" s="19"/>
      <c r="G34" s="2"/>
      <c r="H34" s="2">
        <f>-243.37</f>
        <v>-243.37</v>
      </c>
      <c r="I34" s="2"/>
      <c r="J34" s="19"/>
      <c r="K34" s="2"/>
      <c r="L34" s="2">
        <f t="shared" si="0"/>
        <v>107</v>
      </c>
      <c r="M34" s="2"/>
      <c r="N34" s="19">
        <f t="shared" si="1"/>
        <v>-0.43965977729383243</v>
      </c>
      <c r="O34" s="11"/>
      <c r="P34" s="2">
        <f>-251.15</f>
        <v>-251.15</v>
      </c>
      <c r="Q34" s="2"/>
      <c r="R34" s="19"/>
      <c r="S34" s="2"/>
      <c r="T34" s="2">
        <f>-758.46</f>
        <v>-758.46</v>
      </c>
      <c r="U34" s="2"/>
      <c r="V34" s="19"/>
      <c r="W34" s="2"/>
      <c r="X34" s="2">
        <f t="shared" si="2"/>
        <v>507.31000000000006</v>
      </c>
      <c r="Y34" s="2"/>
      <c r="Z34" s="19">
        <f t="shared" si="3"/>
        <v>-0.66886849669066273</v>
      </c>
    </row>
    <row r="35" spans="1:26" s="24" customFormat="1" hidden="1" outlineLevel="1" x14ac:dyDescent="0.25">
      <c r="A35" s="44"/>
      <c r="B35" s="11" t="str">
        <f>CONCATENATE("          ", "4244", " - ", "SALES RETURN TAXABLE-ACCESSORI")</f>
        <v xml:space="preserve">          4244 - SALES RETURN TAXABLE-ACCESSORI</v>
      </c>
      <c r="C35" s="11"/>
      <c r="D35" s="2">
        <f>-29.93</f>
        <v>-29.93</v>
      </c>
      <c r="E35" s="2"/>
      <c r="F35" s="19"/>
      <c r="G35" s="2"/>
      <c r="H35" s="2">
        <f>-64.95</f>
        <v>-64.95</v>
      </c>
      <c r="I35" s="2"/>
      <c r="J35" s="19"/>
      <c r="K35" s="2"/>
      <c r="L35" s="2">
        <f t="shared" si="0"/>
        <v>35.020000000000003</v>
      </c>
      <c r="M35" s="2"/>
      <c r="N35" s="19">
        <f t="shared" si="1"/>
        <v>-0.53918398768283293</v>
      </c>
      <c r="O35" s="11"/>
      <c r="P35" s="2">
        <f>-29.93</f>
        <v>-29.93</v>
      </c>
      <c r="Q35" s="2"/>
      <c r="R35" s="19"/>
      <c r="S35" s="2"/>
      <c r="T35" s="2">
        <f>-130.8</f>
        <v>-130.80000000000001</v>
      </c>
      <c r="U35" s="2"/>
      <c r="V35" s="19"/>
      <c r="W35" s="2"/>
      <c r="X35" s="2">
        <f t="shared" si="2"/>
        <v>100.87</v>
      </c>
      <c r="Y35" s="2"/>
      <c r="Z35" s="19">
        <f t="shared" si="3"/>
        <v>-0.77117737003058096</v>
      </c>
    </row>
    <row r="36" spans="1:26" s="24" customFormat="1" hidden="1" outlineLevel="1" x14ac:dyDescent="0.25">
      <c r="A36" s="44"/>
      <c r="B36" s="11" t="str">
        <f>CONCATENATE("          ", "4245", " - ", "SALES RETURN TAXABLE-SPECIAL O")</f>
        <v xml:space="preserve">          4245 - SALES RETURN TAXABLE-SPECIAL O</v>
      </c>
      <c r="C36" s="11"/>
      <c r="D36" s="2">
        <f t="shared" ref="D36:D37" si="10">0</f>
        <v>0</v>
      </c>
      <c r="E36" s="2"/>
      <c r="F36" s="19"/>
      <c r="G36" s="2"/>
      <c r="H36" s="2">
        <f t="shared" ref="H36:H37" si="11"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-7</f>
        <v>-7</v>
      </c>
      <c r="Q36" s="2"/>
      <c r="R36" s="19"/>
      <c r="S36" s="2"/>
      <c r="T36" s="2">
        <f>-9.99</f>
        <v>-9.99</v>
      </c>
      <c r="U36" s="2"/>
      <c r="V36" s="19"/>
      <c r="W36" s="2"/>
      <c r="X36" s="2">
        <f t="shared" si="2"/>
        <v>2.99</v>
      </c>
      <c r="Y36" s="2"/>
      <c r="Z36" s="19">
        <f t="shared" si="3"/>
        <v>-0.29929929929929933</v>
      </c>
    </row>
    <row r="37" spans="1:26" s="24" customFormat="1" hidden="1" outlineLevel="1" x14ac:dyDescent="0.25">
      <c r="A37" s="44"/>
      <c r="B37" s="11" t="str">
        <f>CONCATENATE("          ", "4295", " - ", "SALES RETURN TAXABLE-CUSTOMER")</f>
        <v xml:space="preserve">          4295 - SALES RETURN TAXABLE-CUSTOMER</v>
      </c>
      <c r="C37" s="11"/>
      <c r="D37" s="2">
        <f t="shared" si="10"/>
        <v>0</v>
      </c>
      <c r="E37" s="2"/>
      <c r="F37" s="19"/>
      <c r="G37" s="2"/>
      <c r="H37" s="2">
        <f t="shared" si="11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0</f>
        <v>0</v>
      </c>
      <c r="Q37" s="2"/>
      <c r="R37" s="19"/>
      <c r="S37" s="2"/>
      <c r="T37" s="2">
        <f>--0.99</f>
        <v>0.99</v>
      </c>
      <c r="U37" s="2"/>
      <c r="V37" s="19"/>
      <c r="W37" s="2"/>
      <c r="X37" s="2">
        <f t="shared" si="2"/>
        <v>-0.99</v>
      </c>
      <c r="Y37" s="2"/>
      <c r="Z37" s="19">
        <f t="shared" si="3"/>
        <v>-1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collapsed="1" x14ac:dyDescent="0.25">
      <c r="A39" s="10"/>
      <c r="B39" s="29" t="s">
        <v>8</v>
      </c>
      <c r="C39" s="10"/>
      <c r="D39" s="4">
        <f>SUM(OSRRefD16x_0)</f>
        <v>19926</v>
      </c>
      <c r="E39" s="4"/>
      <c r="F39" s="12">
        <f t="shared" ref="F39:F53" si="12">IF(D$12=0,0,D39/D$12)</f>
        <v>0.51221056414366695</v>
      </c>
      <c r="G39" s="4"/>
      <c r="H39" s="4">
        <f>SUM(OSRRefH16x_0)</f>
        <v>22460.799999999996</v>
      </c>
      <c r="I39" s="4"/>
      <c r="J39" s="12">
        <f t="shared" ref="J39:J53" si="13">IF(H$12=0,0,H39/H$12)</f>
        <v>0.4314764498321797</v>
      </c>
      <c r="K39" s="4"/>
      <c r="L39" s="4">
        <f t="shared" ref="L39:L53" si="14">+D39-H39</f>
        <v>-2534.7999999999956</v>
      </c>
      <c r="M39" s="4"/>
      <c r="N39" s="12">
        <f t="shared" ref="N39:N53" si="15">IF(H39=0,0,L39/H39)</f>
        <v>-0.11285439521299313</v>
      </c>
      <c r="O39" s="10"/>
      <c r="P39" s="4">
        <f>SUM(OSRRefP16x_0)</f>
        <v>63540</v>
      </c>
      <c r="Q39" s="4"/>
      <c r="R39" s="12">
        <f t="shared" ref="R39:R53" si="16">IF(P$12=0,0,P39/P$12)</f>
        <v>0.43845760358560887</v>
      </c>
      <c r="S39" s="4"/>
      <c r="T39" s="4">
        <f>SUM(OSRRefT16x_0)</f>
        <v>121022.86999999997</v>
      </c>
      <c r="U39" s="4"/>
      <c r="V39" s="12">
        <f t="shared" ref="V39:V53" si="17">IF(T$12=0,0,T39/T$12)</f>
        <v>0.42559270695862367</v>
      </c>
      <c r="W39" s="4"/>
      <c r="X39" s="4">
        <f t="shared" ref="X39:X53" si="18">+P39-T39</f>
        <v>-57482.869999999966</v>
      </c>
      <c r="Y39" s="4"/>
      <c r="Z39" s="12">
        <f t="shared" ref="Z39:Z53" si="19">IF(T39=0,0,X39/T39)</f>
        <v>-0.47497526707142196</v>
      </c>
    </row>
    <row r="40" spans="1:26" s="24" customFormat="1" hidden="1" outlineLevel="1" x14ac:dyDescent="0.25">
      <c r="A40" s="44"/>
      <c r="B40" s="11" t="str">
        <f>CONCATENATE("          ", "5026", " - ", "PURCHASES @ COST-WRITING INSTR")</f>
        <v xml:space="preserve">          5026 - PURCHASES @ COST-WRITING INSTR</v>
      </c>
      <c r="C40" s="11"/>
      <c r="D40" s="2"/>
      <c r="E40" s="2"/>
      <c r="F40" s="19">
        <f t="shared" si="12"/>
        <v>0</v>
      </c>
      <c r="G40" s="2"/>
      <c r="H40" s="2">
        <v>16.03</v>
      </c>
      <c r="I40" s="2"/>
      <c r="J40" s="19">
        <f t="shared" si="13"/>
        <v>3.0793949862916023E-4</v>
      </c>
      <c r="K40" s="2"/>
      <c r="L40" s="2">
        <f t="shared" si="14"/>
        <v>-16.03</v>
      </c>
      <c r="M40" s="2"/>
      <c r="N40" s="19">
        <f t="shared" si="15"/>
        <v>-1</v>
      </c>
      <c r="O40" s="11"/>
      <c r="P40" s="2"/>
      <c r="Q40" s="2"/>
      <c r="R40" s="19">
        <f t="shared" si="16"/>
        <v>0</v>
      </c>
      <c r="S40" s="2"/>
      <c r="T40" s="2">
        <v>-21.24</v>
      </c>
      <c r="U40" s="2"/>
      <c r="V40" s="19">
        <f t="shared" si="17"/>
        <v>-7.469323026136439E-5</v>
      </c>
      <c r="W40" s="2"/>
      <c r="X40" s="2">
        <f t="shared" si="18"/>
        <v>21.24</v>
      </c>
      <c r="Y40" s="2"/>
      <c r="Z40" s="19">
        <f t="shared" si="19"/>
        <v>-1</v>
      </c>
    </row>
    <row r="41" spans="1:26" s="24" customFormat="1" hidden="1" outlineLevel="1" x14ac:dyDescent="0.25">
      <c r="A41" s="44"/>
      <c r="B41" s="11" t="str">
        <f>CONCATENATE("          ", "5027", " - ", "PURCHASES @ COST-SCHOOL SUPPLI")</f>
        <v xml:space="preserve">          5027 - PURCHASES @ COST-SCHOOL SUPPLI</v>
      </c>
      <c r="C41" s="11"/>
      <c r="D41" s="2"/>
      <c r="E41" s="2"/>
      <c r="F41" s="19">
        <f t="shared" si="12"/>
        <v>0</v>
      </c>
      <c r="G41" s="2"/>
      <c r="H41" s="2"/>
      <c r="I41" s="2"/>
      <c r="J41" s="19">
        <f t="shared" si="13"/>
        <v>0</v>
      </c>
      <c r="K41" s="2"/>
      <c r="L41" s="2">
        <f t="shared" si="14"/>
        <v>0</v>
      </c>
      <c r="M41" s="2"/>
      <c r="N41" s="19">
        <f t="shared" si="15"/>
        <v>0</v>
      </c>
      <c r="O41" s="11"/>
      <c r="P41" s="2"/>
      <c r="Q41" s="2"/>
      <c r="R41" s="19">
        <f t="shared" si="16"/>
        <v>0</v>
      </c>
      <c r="S41" s="2"/>
      <c r="T41" s="2">
        <v>51.29</v>
      </c>
      <c r="U41" s="2"/>
      <c r="V41" s="19">
        <f t="shared" si="17"/>
        <v>1.8036797458123257E-4</v>
      </c>
      <c r="W41" s="2"/>
      <c r="X41" s="2">
        <f t="shared" si="18"/>
        <v>-51.29</v>
      </c>
      <c r="Y41" s="2"/>
      <c r="Z41" s="19">
        <f t="shared" si="19"/>
        <v>-1</v>
      </c>
    </row>
    <row r="42" spans="1:26" s="24" customFormat="1" hidden="1" outlineLevel="1" x14ac:dyDescent="0.25">
      <c r="A42" s="44"/>
      <c r="B42" s="11" t="str">
        <f>CONCATENATE("          ", "5037", " - ", "PURCHASES @ COST-WATER")</f>
        <v xml:space="preserve">          5037 - PURCHASES @ COST-WATER</v>
      </c>
      <c r="C42" s="11"/>
      <c r="D42" s="2"/>
      <c r="E42" s="2"/>
      <c r="F42" s="19">
        <f t="shared" si="12"/>
        <v>0</v>
      </c>
      <c r="G42" s="2"/>
      <c r="H42" s="2"/>
      <c r="I42" s="2"/>
      <c r="J42" s="19">
        <f t="shared" si="13"/>
        <v>0</v>
      </c>
      <c r="K42" s="2"/>
      <c r="L42" s="2">
        <f t="shared" si="14"/>
        <v>0</v>
      </c>
      <c r="M42" s="2"/>
      <c r="N42" s="19">
        <f t="shared" si="15"/>
        <v>0</v>
      </c>
      <c r="O42" s="11"/>
      <c r="P42" s="2"/>
      <c r="Q42" s="2"/>
      <c r="R42" s="19">
        <f t="shared" si="16"/>
        <v>0</v>
      </c>
      <c r="S42" s="2"/>
      <c r="T42" s="2">
        <v>29.76</v>
      </c>
      <c r="U42" s="2"/>
      <c r="V42" s="19">
        <f t="shared" si="17"/>
        <v>1.0465492149614899E-4</v>
      </c>
      <c r="W42" s="2"/>
      <c r="X42" s="2">
        <f t="shared" si="18"/>
        <v>-29.76</v>
      </c>
      <c r="Y42" s="2"/>
      <c r="Z42" s="19">
        <f t="shared" si="19"/>
        <v>-1</v>
      </c>
    </row>
    <row r="43" spans="1:26" s="24" customFormat="1" hidden="1" outlineLevel="1" x14ac:dyDescent="0.25">
      <c r="A43" s="44"/>
      <c r="B43" s="11" t="str">
        <f>CONCATENATE("          ", "5040", " - ", "PURCHASES @ COST-LOGO CLOTHING")</f>
        <v xml:space="preserve">          5040 - PURCHASES @ COST-LOGO CLOTHING</v>
      </c>
      <c r="C43" s="11"/>
      <c r="D43" s="2"/>
      <c r="E43" s="2"/>
      <c r="F43" s="19">
        <f t="shared" si="12"/>
        <v>0</v>
      </c>
      <c r="G43" s="2"/>
      <c r="H43" s="2">
        <v>30675.16</v>
      </c>
      <c r="I43" s="2"/>
      <c r="J43" s="19">
        <f t="shared" si="13"/>
        <v>0.58927594452709109</v>
      </c>
      <c r="K43" s="2"/>
      <c r="L43" s="2">
        <f t="shared" si="14"/>
        <v>-30675.16</v>
      </c>
      <c r="M43" s="2"/>
      <c r="N43" s="19">
        <f t="shared" si="15"/>
        <v>-1</v>
      </c>
      <c r="O43" s="11"/>
      <c r="P43" s="2"/>
      <c r="Q43" s="2"/>
      <c r="R43" s="19">
        <f t="shared" si="16"/>
        <v>0</v>
      </c>
      <c r="S43" s="2"/>
      <c r="T43" s="2">
        <v>156047.34999999998</v>
      </c>
      <c r="U43" s="2"/>
      <c r="V43" s="19">
        <f t="shared" si="17"/>
        <v>0.54876085900309413</v>
      </c>
      <c r="W43" s="2"/>
      <c r="X43" s="2">
        <f t="shared" si="18"/>
        <v>-156047.34999999998</v>
      </c>
      <c r="Y43" s="2"/>
      <c r="Z43" s="19">
        <f t="shared" si="19"/>
        <v>-1</v>
      </c>
    </row>
    <row r="44" spans="1:26" s="24" customFormat="1" hidden="1" outlineLevel="1" x14ac:dyDescent="0.25">
      <c r="A44" s="44"/>
      <c r="B44" s="11" t="str">
        <f>CONCATENATE("          ", "5041", " - ", "PURCHASES @ COST-LOGO GIFTS")</f>
        <v xml:space="preserve">          5041 - PURCHASES @ COST-LOGO GIFTS</v>
      </c>
      <c r="C44" s="11"/>
      <c r="D44" s="2"/>
      <c r="E44" s="2"/>
      <c r="F44" s="19">
        <f t="shared" si="12"/>
        <v>0</v>
      </c>
      <c r="G44" s="2"/>
      <c r="H44" s="2">
        <v>5065.1099999999997</v>
      </c>
      <c r="I44" s="2"/>
      <c r="J44" s="19">
        <f t="shared" si="13"/>
        <v>9.7301773792984755E-2</v>
      </c>
      <c r="K44" s="2"/>
      <c r="L44" s="2">
        <f t="shared" si="14"/>
        <v>-5065.1099999999997</v>
      </c>
      <c r="M44" s="2"/>
      <c r="N44" s="19">
        <f t="shared" si="15"/>
        <v>-1</v>
      </c>
      <c r="O44" s="11"/>
      <c r="P44" s="2">
        <v>207.6</v>
      </c>
      <c r="Q44" s="2"/>
      <c r="R44" s="19">
        <f t="shared" si="16"/>
        <v>1.4325432562853698E-3</v>
      </c>
      <c r="S44" s="2"/>
      <c r="T44" s="2">
        <v>19779.47</v>
      </c>
      <c r="U44" s="2"/>
      <c r="V44" s="19">
        <f t="shared" si="17"/>
        <v>6.9557086024376144E-2</v>
      </c>
      <c r="W44" s="2"/>
      <c r="X44" s="2">
        <f t="shared" si="18"/>
        <v>-19571.870000000003</v>
      </c>
      <c r="Y44" s="2"/>
      <c r="Z44" s="19">
        <f t="shared" si="19"/>
        <v>-0.98950426882014542</v>
      </c>
    </row>
    <row r="45" spans="1:26" s="24" customFormat="1" hidden="1" outlineLevel="1" x14ac:dyDescent="0.25">
      <c r="A45" s="44"/>
      <c r="B45" s="11" t="str">
        <f>CONCATENATE("          ", "5042", " - ", "PURCHASES @ COST-EVERYDAY GIFT")</f>
        <v xml:space="preserve">          5042 - PURCHASES @ COST-EVERYDAY GIFT</v>
      </c>
      <c r="C45" s="11"/>
      <c r="D45" s="2"/>
      <c r="E45" s="2"/>
      <c r="F45" s="19">
        <f t="shared" si="12"/>
        <v>0</v>
      </c>
      <c r="G45" s="2"/>
      <c r="H45" s="2">
        <v>2694.09</v>
      </c>
      <c r="I45" s="2"/>
      <c r="J45" s="19">
        <f t="shared" si="13"/>
        <v>5.1754006479216109E-2</v>
      </c>
      <c r="K45" s="2"/>
      <c r="L45" s="2">
        <f t="shared" si="14"/>
        <v>-2694.09</v>
      </c>
      <c r="M45" s="2"/>
      <c r="N45" s="19">
        <f t="shared" si="15"/>
        <v>-1</v>
      </c>
      <c r="O45" s="11"/>
      <c r="P45" s="2">
        <v>7946.04</v>
      </c>
      <c r="Q45" s="2"/>
      <c r="R45" s="19">
        <f t="shared" si="16"/>
        <v>5.4831628208929672E-2</v>
      </c>
      <c r="S45" s="2"/>
      <c r="T45" s="2">
        <v>16563.04</v>
      </c>
      <c r="U45" s="2"/>
      <c r="V45" s="19">
        <f t="shared" si="17"/>
        <v>5.8246090421289504E-2</v>
      </c>
      <c r="W45" s="2"/>
      <c r="X45" s="2">
        <f t="shared" si="18"/>
        <v>-8617</v>
      </c>
      <c r="Y45" s="2"/>
      <c r="Z45" s="19">
        <f t="shared" si="19"/>
        <v>-0.52025473584559356</v>
      </c>
    </row>
    <row r="46" spans="1:26" s="24" customFormat="1" hidden="1" outlineLevel="1" x14ac:dyDescent="0.25">
      <c r="A46" s="44"/>
      <c r="B46" s="11" t="str">
        <f>CONCATENATE("          ", "5043", " - ", "PURCHASES @ COST-CARDS")</f>
        <v xml:space="preserve">          5043 - PURCHASES @ COST-CARDS</v>
      </c>
      <c r="C46" s="11"/>
      <c r="D46" s="2"/>
      <c r="E46" s="2"/>
      <c r="F46" s="19">
        <f t="shared" si="12"/>
        <v>0</v>
      </c>
      <c r="G46" s="2"/>
      <c r="H46" s="2">
        <v>245.92</v>
      </c>
      <c r="I46" s="2"/>
      <c r="J46" s="19">
        <f t="shared" si="13"/>
        <v>4.7241722709222131E-3</v>
      </c>
      <c r="K46" s="2"/>
      <c r="L46" s="2">
        <f t="shared" si="14"/>
        <v>-245.92</v>
      </c>
      <c r="M46" s="2"/>
      <c r="N46" s="19">
        <f t="shared" si="15"/>
        <v>-1</v>
      </c>
      <c r="O46" s="11"/>
      <c r="P46" s="2"/>
      <c r="Q46" s="2"/>
      <c r="R46" s="19">
        <f t="shared" si="16"/>
        <v>0</v>
      </c>
      <c r="S46" s="2"/>
      <c r="T46" s="2">
        <v>339.32</v>
      </c>
      <c r="U46" s="2"/>
      <c r="V46" s="19">
        <f t="shared" si="17"/>
        <v>1.193263036359989E-3</v>
      </c>
      <c r="W46" s="2"/>
      <c r="X46" s="2">
        <f t="shared" si="18"/>
        <v>-339.32</v>
      </c>
      <c r="Y46" s="2"/>
      <c r="Z46" s="19">
        <f t="shared" si="19"/>
        <v>-1</v>
      </c>
    </row>
    <row r="47" spans="1:26" s="24" customFormat="1" hidden="1" outlineLevel="1" x14ac:dyDescent="0.25">
      <c r="A47" s="44"/>
      <c r="B47" s="11" t="str">
        <f>CONCATENATE("          ", "5044", " - ", "PURCHASES @ COST-ACCESSORIES")</f>
        <v xml:space="preserve">          5044 - PURCHASES @ COST-ACCESSORIES</v>
      </c>
      <c r="C47" s="11"/>
      <c r="D47" s="2"/>
      <c r="E47" s="2"/>
      <c r="F47" s="19">
        <f t="shared" si="12"/>
        <v>0</v>
      </c>
      <c r="G47" s="2"/>
      <c r="H47" s="2">
        <v>-589.26</v>
      </c>
      <c r="I47" s="2"/>
      <c r="J47" s="19">
        <f t="shared" si="13"/>
        <v>-1.1319802181049216E-2</v>
      </c>
      <c r="K47" s="2"/>
      <c r="L47" s="2">
        <f t="shared" si="14"/>
        <v>589.26</v>
      </c>
      <c r="M47" s="2"/>
      <c r="N47" s="19">
        <f t="shared" si="15"/>
        <v>-1</v>
      </c>
      <c r="O47" s="11"/>
      <c r="P47" s="2"/>
      <c r="Q47" s="2"/>
      <c r="R47" s="19">
        <f t="shared" si="16"/>
        <v>0</v>
      </c>
      <c r="S47" s="2"/>
      <c r="T47" s="2">
        <v>-5954.42</v>
      </c>
      <c r="U47" s="2"/>
      <c r="V47" s="19">
        <f t="shared" si="17"/>
        <v>-2.0939494544862214E-2</v>
      </c>
      <c r="W47" s="2"/>
      <c r="X47" s="2">
        <f t="shared" si="18"/>
        <v>5954.42</v>
      </c>
      <c r="Y47" s="2"/>
      <c r="Z47" s="19">
        <f t="shared" si="19"/>
        <v>-1</v>
      </c>
    </row>
    <row r="48" spans="1:26" s="24" customFormat="1" hidden="1" outlineLevel="1" x14ac:dyDescent="0.25">
      <c r="A48" s="44"/>
      <c r="B48" s="11" t="str">
        <f>CONCATENATE("          ", "5045", " - ", "PURCHASES @ COST-SPECIAL ORDER")</f>
        <v xml:space="preserve">          5045 - PURCHASES @ COST-SPECIAL ORDER</v>
      </c>
      <c r="C48" s="11"/>
      <c r="D48" s="2"/>
      <c r="E48" s="2"/>
      <c r="F48" s="19">
        <f t="shared" si="12"/>
        <v>0</v>
      </c>
      <c r="G48" s="2"/>
      <c r="H48" s="2">
        <v>11.75</v>
      </c>
      <c r="I48" s="2"/>
      <c r="J48" s="19">
        <f t="shared" si="13"/>
        <v>2.2571984459716983E-4</v>
      </c>
      <c r="K48" s="2"/>
      <c r="L48" s="2">
        <f t="shared" si="14"/>
        <v>-11.75</v>
      </c>
      <c r="M48" s="2"/>
      <c r="N48" s="19">
        <f t="shared" si="15"/>
        <v>-1</v>
      </c>
      <c r="O48" s="11"/>
      <c r="P48" s="2"/>
      <c r="Q48" s="2"/>
      <c r="R48" s="19">
        <f t="shared" si="16"/>
        <v>0</v>
      </c>
      <c r="S48" s="2"/>
      <c r="T48" s="2">
        <v>-971.45</v>
      </c>
      <c r="U48" s="2"/>
      <c r="V48" s="19">
        <f t="shared" si="17"/>
        <v>-3.4162306279379683E-3</v>
      </c>
      <c r="W48" s="2"/>
      <c r="X48" s="2">
        <f t="shared" si="18"/>
        <v>971.45</v>
      </c>
      <c r="Y48" s="2"/>
      <c r="Z48" s="19">
        <f t="shared" si="19"/>
        <v>-1</v>
      </c>
    </row>
    <row r="49" spans="1:26" s="24" customFormat="1" hidden="1" outlineLevel="1" x14ac:dyDescent="0.25">
      <c r="A49" s="44"/>
      <c r="B49" s="11" t="str">
        <f>CONCATENATE("          ", "5083", " - ", "PURCHASES @ COST-COMPUTER EQUI")</f>
        <v xml:space="preserve">          5083 - PURCHASES @ COST-COMPUTER EQUI</v>
      </c>
      <c r="C49" s="11"/>
      <c r="D49" s="2"/>
      <c r="E49" s="2"/>
      <c r="F49" s="19">
        <f t="shared" si="12"/>
        <v>0</v>
      </c>
      <c r="G49" s="2"/>
      <c r="H49" s="2"/>
      <c r="I49" s="2"/>
      <c r="J49" s="19">
        <f t="shared" si="13"/>
        <v>0</v>
      </c>
      <c r="K49" s="2"/>
      <c r="L49" s="2">
        <f t="shared" si="14"/>
        <v>0</v>
      </c>
      <c r="M49" s="2"/>
      <c r="N49" s="19">
        <f t="shared" si="15"/>
        <v>0</v>
      </c>
      <c r="O49" s="11"/>
      <c r="P49" s="2"/>
      <c r="Q49" s="2"/>
      <c r="R49" s="19">
        <f t="shared" si="16"/>
        <v>0</v>
      </c>
      <c r="S49" s="2"/>
      <c r="T49" s="2">
        <v>39.950000000000003</v>
      </c>
      <c r="U49" s="2"/>
      <c r="V49" s="19">
        <f t="shared" si="17"/>
        <v>1.4048938554338551E-4</v>
      </c>
      <c r="W49" s="2"/>
      <c r="X49" s="2">
        <f t="shared" si="18"/>
        <v>-39.950000000000003</v>
      </c>
      <c r="Y49" s="2"/>
      <c r="Z49" s="19">
        <f t="shared" si="19"/>
        <v>-1</v>
      </c>
    </row>
    <row r="50" spans="1:26" s="24" customFormat="1" hidden="1" outlineLevel="1" x14ac:dyDescent="0.25">
      <c r="A50" s="44"/>
      <c r="B50" s="11" t="str">
        <f>CONCATENATE("          ", "5092", " - ", "PURCHASES @ COST-GRAD MERCH")</f>
        <v xml:space="preserve">          5092 - PURCHASES @ COST-GRAD MERCH</v>
      </c>
      <c r="C50" s="11"/>
      <c r="D50" s="2"/>
      <c r="E50" s="2"/>
      <c r="F50" s="19">
        <f t="shared" si="12"/>
        <v>0</v>
      </c>
      <c r="G50" s="2"/>
      <c r="H50" s="2"/>
      <c r="I50" s="2"/>
      <c r="J50" s="19">
        <f t="shared" si="13"/>
        <v>0</v>
      </c>
      <c r="K50" s="2"/>
      <c r="L50" s="2">
        <f t="shared" si="14"/>
        <v>0</v>
      </c>
      <c r="M50" s="2"/>
      <c r="N50" s="19">
        <f t="shared" si="15"/>
        <v>0</v>
      </c>
      <c r="O50" s="11"/>
      <c r="P50" s="2"/>
      <c r="Q50" s="2"/>
      <c r="R50" s="19">
        <f t="shared" si="16"/>
        <v>0</v>
      </c>
      <c r="S50" s="2"/>
      <c r="T50" s="2">
        <v>-60.35</v>
      </c>
      <c r="U50" s="2"/>
      <c r="V50" s="19">
        <f t="shared" si="17"/>
        <v>-2.1222864624639083E-4</v>
      </c>
      <c r="W50" s="2"/>
      <c r="X50" s="2">
        <f t="shared" si="18"/>
        <v>60.35</v>
      </c>
      <c r="Y50" s="2"/>
      <c r="Z50" s="19">
        <f t="shared" si="19"/>
        <v>-1</v>
      </c>
    </row>
    <row r="51" spans="1:26" s="24" customFormat="1" hidden="1" outlineLevel="1" x14ac:dyDescent="0.25">
      <c r="A51" s="44"/>
      <c r="B51" s="11" t="str">
        <f>CONCATENATE("          ", "5095", " - ", "PURCHASES @ COST-CUSTOMER SERV")</f>
        <v xml:space="preserve">          5095 - PURCHASES @ COST-CUSTOMER SERV</v>
      </c>
      <c r="C51" s="11"/>
      <c r="D51" s="2"/>
      <c r="E51" s="2"/>
      <c r="F51" s="19">
        <f t="shared" si="12"/>
        <v>0</v>
      </c>
      <c r="G51" s="2"/>
      <c r="H51" s="2"/>
      <c r="I51" s="2"/>
      <c r="J51" s="19">
        <f t="shared" si="13"/>
        <v>0</v>
      </c>
      <c r="K51" s="2"/>
      <c r="L51" s="2">
        <f t="shared" si="14"/>
        <v>0</v>
      </c>
      <c r="M51" s="2"/>
      <c r="N51" s="19">
        <f t="shared" si="15"/>
        <v>0</v>
      </c>
      <c r="O51" s="11"/>
      <c r="P51" s="2"/>
      <c r="Q51" s="2"/>
      <c r="R51" s="19">
        <f t="shared" si="16"/>
        <v>0</v>
      </c>
      <c r="S51" s="2"/>
      <c r="T51" s="2">
        <v>-11.85</v>
      </c>
      <c r="U51" s="2"/>
      <c r="V51" s="19">
        <f t="shared" si="17"/>
        <v>-4.1672070555422226E-5</v>
      </c>
      <c r="W51" s="2"/>
      <c r="X51" s="2">
        <f t="shared" si="18"/>
        <v>11.85</v>
      </c>
      <c r="Y51" s="2"/>
      <c r="Z51" s="19">
        <f t="shared" si="19"/>
        <v>-1</v>
      </c>
    </row>
    <row r="52" spans="1:26" s="24" customFormat="1" hidden="1" outlineLevel="1" x14ac:dyDescent="0.25">
      <c r="A52" s="44"/>
      <c r="B52" s="11" t="str">
        <f>CONCATENATE("          ", "5200", " - ", "PURCHASES OFFSET")</f>
        <v xml:space="preserve">          5200 - PURCHASES OFFSET</v>
      </c>
      <c r="C52" s="11"/>
      <c r="D52" s="2"/>
      <c r="E52" s="2"/>
      <c r="F52" s="19">
        <f t="shared" si="12"/>
        <v>0</v>
      </c>
      <c r="G52" s="2"/>
      <c r="H52" s="2"/>
      <c r="I52" s="2"/>
      <c r="J52" s="19">
        <f t="shared" si="13"/>
        <v>0</v>
      </c>
      <c r="K52" s="2"/>
      <c r="L52" s="2">
        <f t="shared" si="14"/>
        <v>0</v>
      </c>
      <c r="M52" s="2"/>
      <c r="N52" s="19">
        <f t="shared" si="15"/>
        <v>0</v>
      </c>
      <c r="O52" s="11"/>
      <c r="P52" s="2">
        <v>-8153.64</v>
      </c>
      <c r="Q52" s="2"/>
      <c r="R52" s="19">
        <f t="shared" si="16"/>
        <v>-5.6264171465215042E-2</v>
      </c>
      <c r="S52" s="2"/>
      <c r="T52" s="2">
        <v>-147712</v>
      </c>
      <c r="U52" s="2"/>
      <c r="V52" s="19">
        <f t="shared" si="17"/>
        <v>-0.51944851357658461</v>
      </c>
      <c r="W52" s="2"/>
      <c r="X52" s="2">
        <f t="shared" si="18"/>
        <v>139558.35999999999</v>
      </c>
      <c r="Y52" s="2"/>
      <c r="Z52" s="19">
        <f t="shared" si="19"/>
        <v>-0.94480042244367413</v>
      </c>
    </row>
    <row r="53" spans="1:26" s="24" customFormat="1" hidden="1" outlineLevel="1" x14ac:dyDescent="0.25">
      <c r="A53" s="44"/>
      <c r="B53" s="11" t="str">
        <f>CONCATENATE("          ", "5300", " - ", "COG$ OFFSET")</f>
        <v xml:space="preserve">          5300 - COG$ OFFSET</v>
      </c>
      <c r="C53" s="11"/>
      <c r="D53" s="2">
        <v>19926</v>
      </c>
      <c r="E53" s="2"/>
      <c r="F53" s="19">
        <f t="shared" si="12"/>
        <v>0.51221056414366695</v>
      </c>
      <c r="G53" s="2"/>
      <c r="H53" s="2">
        <v>-15658</v>
      </c>
      <c r="I53" s="2"/>
      <c r="J53" s="19">
        <f t="shared" si="13"/>
        <v>-0.30079330440021151</v>
      </c>
      <c r="K53" s="2"/>
      <c r="L53" s="2">
        <f t="shared" si="14"/>
        <v>35584</v>
      </c>
      <c r="M53" s="2"/>
      <c r="N53" s="19">
        <f t="shared" si="15"/>
        <v>-2.2725763188146635</v>
      </c>
      <c r="O53" s="11"/>
      <c r="P53" s="2">
        <v>63540</v>
      </c>
      <c r="Q53" s="2"/>
      <c r="R53" s="19">
        <f t="shared" si="16"/>
        <v>0.43845760358560887</v>
      </c>
      <c r="S53" s="2"/>
      <c r="T53" s="2">
        <v>82904</v>
      </c>
      <c r="U53" s="2"/>
      <c r="V53" s="19">
        <f t="shared" si="17"/>
        <v>0.29154272888833116</v>
      </c>
      <c r="W53" s="2"/>
      <c r="X53" s="2">
        <f t="shared" si="18"/>
        <v>-19364</v>
      </c>
      <c r="Y53" s="2"/>
      <c r="Z53" s="19">
        <f t="shared" si="19"/>
        <v>-0.23357135964489048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8" t="s">
        <v>6</v>
      </c>
      <c r="C55" s="28"/>
      <c r="D55" s="20">
        <f>D12-D39</f>
        <v>18975.969999999987</v>
      </c>
      <c r="E55" s="14"/>
      <c r="F55" s="21">
        <f>IF(D$12=0,0,D55/D$12)</f>
        <v>0.48778943585633305</v>
      </c>
      <c r="G55" s="14"/>
      <c r="H55" s="20">
        <f>H12-H39</f>
        <v>29594.879999999997</v>
      </c>
      <c r="I55" s="14"/>
      <c r="J55" s="21">
        <f>IF(H$12=0,0,H55/H$12)</f>
        <v>0.5685235501678203</v>
      </c>
      <c r="K55" s="15"/>
      <c r="L55" s="20">
        <f>+D55-H55</f>
        <v>-10618.910000000011</v>
      </c>
      <c r="M55" s="15"/>
      <c r="N55" s="21">
        <f>IF(H55=0,0,L55/H55)</f>
        <v>-0.35880902372302276</v>
      </c>
      <c r="O55" s="29"/>
      <c r="P55" s="20">
        <f>P12-P39</f>
        <v>81377.09</v>
      </c>
      <c r="Q55" s="14"/>
      <c r="R55" s="21">
        <f>IF(P$12=0,0,P55/P$12)</f>
        <v>0.56154239641439119</v>
      </c>
      <c r="S55" s="14"/>
      <c r="T55" s="20">
        <f>T12-T39</f>
        <v>163340.25000000009</v>
      </c>
      <c r="U55" s="14"/>
      <c r="V55" s="21">
        <f>IF(T$12=0,0,T55/T$12)</f>
        <v>0.57440729304137628</v>
      </c>
      <c r="W55" s="15"/>
      <c r="X55" s="20">
        <f>+P55-T55</f>
        <v>-81963.160000000091</v>
      </c>
      <c r="Y55" s="15"/>
      <c r="Z55" s="21">
        <f>IF(T55=0,0,X55/T55)</f>
        <v>-0.50179401586565497</v>
      </c>
    </row>
    <row r="56" spans="1:26" x14ac:dyDescent="0.2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9" t="s">
        <v>9</v>
      </c>
      <c r="C57" s="10"/>
      <c r="D57" s="22">
        <f>SUM(OSRRefD22x_0)</f>
        <v>23595.63</v>
      </c>
      <c r="E57" s="22"/>
      <c r="F57" s="36">
        <f t="shared" ref="F57:F66" si="20">IF(D$12=0,0,D57/D$12)</f>
        <v>0.60654074845052852</v>
      </c>
      <c r="G57" s="22"/>
      <c r="H57" s="22">
        <f>SUM(OSRRefH22x_0)</f>
        <v>35034.880000000005</v>
      </c>
      <c r="I57" s="22"/>
      <c r="J57" s="36">
        <f t="shared" ref="J57:J66" si="21">IF(H$12=0,0,H57/H$12)</f>
        <v>0.67302703566642508</v>
      </c>
      <c r="K57" s="4"/>
      <c r="L57" s="22">
        <f t="shared" ref="L57:L66" si="22">+D57-H57</f>
        <v>-11439.250000000004</v>
      </c>
      <c r="M57" s="4"/>
      <c r="N57" s="36">
        <f t="shared" ref="N57:N66" si="23">IF(H57=0,0,L57/H57)</f>
        <v>-0.32651032342625413</v>
      </c>
      <c r="O57" s="10"/>
      <c r="P57" s="22">
        <f>SUM(OSRRefP22x_0)</f>
        <v>130021.42000000001</v>
      </c>
      <c r="Q57" s="22"/>
      <c r="R57" s="36">
        <f t="shared" ref="R57:R66" si="24">IF(P$12=0,0,P57/P$12)</f>
        <v>0.89721246817749389</v>
      </c>
      <c r="S57" s="22"/>
      <c r="T57" s="22">
        <f>SUM(OSRRefT22x_0)</f>
        <v>187718.76</v>
      </c>
      <c r="U57" s="22"/>
      <c r="V57" s="36">
        <f t="shared" ref="V57:V66" si="25">IF(T$12=0,0,T57/T$12)</f>
        <v>0.66013750306298502</v>
      </c>
      <c r="W57" s="4"/>
      <c r="X57" s="22">
        <f t="shared" ref="X57:X66" si="26">+P57-T57</f>
        <v>-57697.34</v>
      </c>
      <c r="Y57" s="4"/>
      <c r="Z57" s="36">
        <f t="shared" ref="Z57:Z66" si="27">IF(T57=0,0,X57/T57)</f>
        <v>-0.30736054297396803</v>
      </c>
    </row>
    <row r="58" spans="1:26" s="25" customFormat="1" outlineLevel="1" collapsed="1" x14ac:dyDescent="0.25">
      <c r="A58" s="26"/>
      <c r="B58" s="13" t="str">
        <f>CONCATENATE("     ","*Benefits                                         ")</f>
        <v xml:space="preserve">     *Benefits                                         </v>
      </c>
      <c r="C58" s="13"/>
      <c r="D58" s="1">
        <f>SUM(OSRRefD22_0x_0)</f>
        <v>5077.6499999999996</v>
      </c>
      <c r="E58" s="1"/>
      <c r="F58" s="5">
        <f t="shared" si="20"/>
        <v>0.13052423823266537</v>
      </c>
      <c r="G58" s="1"/>
      <c r="H58" s="1">
        <f>SUM(OSRRefH22_0x_0)</f>
        <v>2002.93</v>
      </c>
      <c r="I58" s="1"/>
      <c r="J58" s="5">
        <f t="shared" si="21"/>
        <v>3.8476684965022073E-2</v>
      </c>
      <c r="K58" s="1"/>
      <c r="L58" s="1">
        <f t="shared" si="22"/>
        <v>3074.7199999999993</v>
      </c>
      <c r="M58" s="1"/>
      <c r="N58" s="5">
        <f t="shared" si="23"/>
        <v>1.5351110622937394</v>
      </c>
      <c r="O58" s="13"/>
      <c r="P58" s="1">
        <f>SUM(OSRRefP22_0x_0)</f>
        <v>31127.069999999996</v>
      </c>
      <c r="Q58" s="1"/>
      <c r="R58" s="5">
        <f t="shared" si="24"/>
        <v>0.21479226501166976</v>
      </c>
      <c r="S58" s="1"/>
      <c r="T58" s="1">
        <f>SUM(OSRRefT22_0x_0)</f>
        <v>12671.240000000002</v>
      </c>
      <c r="U58" s="1"/>
      <c r="V58" s="5">
        <f t="shared" si="25"/>
        <v>4.4560068126977929E-2</v>
      </c>
      <c r="W58" s="1"/>
      <c r="X58" s="1">
        <f t="shared" si="26"/>
        <v>18455.829999999994</v>
      </c>
      <c r="Y58" s="1"/>
      <c r="Z58" s="5">
        <f t="shared" si="27"/>
        <v>1.4565133325546664</v>
      </c>
    </row>
    <row r="59" spans="1:26" s="24" customFormat="1" hidden="1" outlineLevel="2" x14ac:dyDescent="0.25">
      <c r="A59" s="27"/>
      <c r="B59" s="11" t="str">
        <f>CONCATENATE("          ", "6111", " - ", "F.I.C.A.")</f>
        <v xml:space="preserve">          6111 - F.I.C.A.</v>
      </c>
      <c r="C59" s="11"/>
      <c r="D59" s="7">
        <v>594.54</v>
      </c>
      <c r="E59" s="2"/>
      <c r="F59" s="6">
        <f t="shared" si="20"/>
        <v>1.5283030653717541E-2</v>
      </c>
      <c r="G59" s="2"/>
      <c r="H59" s="7">
        <v>316.92</v>
      </c>
      <c r="I59" s="2"/>
      <c r="J59" s="6">
        <f t="shared" si="21"/>
        <v>6.0880964382753252E-3</v>
      </c>
      <c r="K59" s="2"/>
      <c r="L59" s="7">
        <f t="shared" si="22"/>
        <v>277.61999999999995</v>
      </c>
      <c r="M59" s="2"/>
      <c r="N59" s="6">
        <f t="shared" si="23"/>
        <v>0.875993941688754</v>
      </c>
      <c r="O59" s="11"/>
      <c r="P59" s="7">
        <v>4446.04</v>
      </c>
      <c r="Q59" s="2"/>
      <c r="R59" s="6">
        <f t="shared" si="24"/>
        <v>3.0679887375602146E-2</v>
      </c>
      <c r="S59" s="2"/>
      <c r="T59" s="7">
        <v>2823.02</v>
      </c>
      <c r="U59" s="2"/>
      <c r="V59" s="6">
        <f t="shared" si="25"/>
        <v>9.9275180269508909E-3</v>
      </c>
      <c r="W59" s="2"/>
      <c r="X59" s="7">
        <f t="shared" si="26"/>
        <v>1623.02</v>
      </c>
      <c r="Y59" s="2"/>
      <c r="Z59" s="6">
        <f t="shared" si="27"/>
        <v>0.57492330908034661</v>
      </c>
    </row>
    <row r="60" spans="1:26" s="24" customFormat="1" hidden="1" outlineLevel="2" x14ac:dyDescent="0.25">
      <c r="A60" s="27"/>
      <c r="B60" s="11" t="str">
        <f>CONCATENATE("          ", "6112", " - ", "COMPENSATION INSURANCE")</f>
        <v xml:space="preserve">          6112 - COMPENSATION INSURANCE</v>
      </c>
      <c r="C60" s="11"/>
      <c r="D60" s="7">
        <v>354.54</v>
      </c>
      <c r="E60" s="2"/>
      <c r="F60" s="6">
        <f t="shared" si="20"/>
        <v>9.113677276497827E-3</v>
      </c>
      <c r="G60" s="2"/>
      <c r="H60" s="7">
        <v>304.49</v>
      </c>
      <c r="I60" s="2"/>
      <c r="J60" s="6">
        <f t="shared" si="21"/>
        <v>5.8493136579908294E-3</v>
      </c>
      <c r="K60" s="2"/>
      <c r="L60" s="7">
        <f t="shared" si="22"/>
        <v>50.050000000000011</v>
      </c>
      <c r="M60" s="2"/>
      <c r="N60" s="6">
        <f t="shared" si="23"/>
        <v>0.16437321422706824</v>
      </c>
      <c r="O60" s="11"/>
      <c r="P60" s="7">
        <v>1782.67</v>
      </c>
      <c r="Q60" s="2"/>
      <c r="R60" s="6">
        <f t="shared" si="24"/>
        <v>1.2301309666099424E-2</v>
      </c>
      <c r="S60" s="2"/>
      <c r="T60" s="7">
        <v>1002.17</v>
      </c>
      <c r="U60" s="2"/>
      <c r="V60" s="6">
        <f t="shared" si="25"/>
        <v>3.5242615146436704E-3</v>
      </c>
      <c r="W60" s="2"/>
      <c r="X60" s="7">
        <f t="shared" si="26"/>
        <v>780.50000000000011</v>
      </c>
      <c r="Y60" s="2"/>
      <c r="Z60" s="6">
        <f t="shared" si="27"/>
        <v>0.77880998233832599</v>
      </c>
    </row>
    <row r="61" spans="1:26" s="24" customFormat="1" hidden="1" outlineLevel="2" x14ac:dyDescent="0.25">
      <c r="A61" s="27"/>
      <c r="B61" s="11" t="str">
        <f>CONCATENATE("          ", "6113", " - ", "GROUP INSURANCE")</f>
        <v xml:space="preserve">          6113 - GROUP INSURANCE</v>
      </c>
      <c r="C61" s="11"/>
      <c r="D61" s="7">
        <v>2714.98</v>
      </c>
      <c r="E61" s="2"/>
      <c r="F61" s="6">
        <f t="shared" si="20"/>
        <v>6.9790295967016608E-2</v>
      </c>
      <c r="G61" s="2"/>
      <c r="H61" s="7">
        <v>935.3</v>
      </c>
      <c r="I61" s="2"/>
      <c r="J61" s="6">
        <f t="shared" si="21"/>
        <v>1.7967299629934718E-2</v>
      </c>
      <c r="K61" s="2"/>
      <c r="L61" s="7">
        <f t="shared" si="22"/>
        <v>1779.68</v>
      </c>
      <c r="M61" s="2"/>
      <c r="N61" s="6">
        <f t="shared" si="23"/>
        <v>1.9027905484871166</v>
      </c>
      <c r="O61" s="11"/>
      <c r="P61" s="7">
        <v>15587.369999999999</v>
      </c>
      <c r="Q61" s="2"/>
      <c r="R61" s="6">
        <f t="shared" si="24"/>
        <v>0.10756060586090985</v>
      </c>
      <c r="S61" s="2"/>
      <c r="T61" s="7">
        <v>5343.76</v>
      </c>
      <c r="U61" s="2"/>
      <c r="V61" s="6">
        <f t="shared" si="25"/>
        <v>1.879202900854372E-2</v>
      </c>
      <c r="W61" s="2"/>
      <c r="X61" s="7">
        <f t="shared" si="26"/>
        <v>10243.609999999999</v>
      </c>
      <c r="Y61" s="2"/>
      <c r="Z61" s="6">
        <f t="shared" si="27"/>
        <v>1.9169292782609995</v>
      </c>
    </row>
    <row r="62" spans="1:26" s="24" customFormat="1" hidden="1" outlineLevel="2" x14ac:dyDescent="0.25">
      <c r="A62" s="27"/>
      <c r="B62" s="11" t="str">
        <f>CONCATENATE("          ", "6114", " - ", "STATE UNEMPLOYMENT INSURANCE")</f>
        <v xml:space="preserve">          6114 - STATE UNEMPLOYMENT INSURANCE</v>
      </c>
      <c r="C62" s="11"/>
      <c r="D62" s="7"/>
      <c r="E62" s="2"/>
      <c r="F62" s="6">
        <f t="shared" si="20"/>
        <v>0</v>
      </c>
      <c r="G62" s="2"/>
      <c r="H62" s="7">
        <v>41.67</v>
      </c>
      <c r="I62" s="2"/>
      <c r="J62" s="6">
        <f t="shared" si="21"/>
        <v>8.0048901483949512E-4</v>
      </c>
      <c r="K62" s="2"/>
      <c r="L62" s="7">
        <f t="shared" si="22"/>
        <v>-41.67</v>
      </c>
      <c r="M62" s="2"/>
      <c r="N62" s="6">
        <f t="shared" si="23"/>
        <v>-1</v>
      </c>
      <c r="O62" s="11"/>
      <c r="P62" s="7">
        <v>174.37</v>
      </c>
      <c r="Q62" s="2"/>
      <c r="R62" s="6">
        <f t="shared" si="24"/>
        <v>1.2032397283163773E-3</v>
      </c>
      <c r="S62" s="2"/>
      <c r="T62" s="7">
        <v>169.85</v>
      </c>
      <c r="U62" s="2"/>
      <c r="V62" s="6">
        <f t="shared" si="25"/>
        <v>5.9729967796105191E-4</v>
      </c>
      <c r="W62" s="2"/>
      <c r="X62" s="7">
        <f t="shared" si="26"/>
        <v>4.5200000000000102</v>
      </c>
      <c r="Y62" s="2"/>
      <c r="Z62" s="6">
        <f t="shared" si="27"/>
        <v>2.6611716220194349E-2</v>
      </c>
    </row>
    <row r="63" spans="1:26" s="24" customFormat="1" hidden="1" outlineLevel="2" x14ac:dyDescent="0.25">
      <c r="A63" s="27"/>
      <c r="B63" s="11" t="str">
        <f>CONCATENATE("          ", "6115", " - ", "P.E.R.S.")</f>
        <v xml:space="preserve">          6115 - P.E.R.S.</v>
      </c>
      <c r="C63" s="11"/>
      <c r="D63" s="7">
        <v>362.12</v>
      </c>
      <c r="E63" s="2"/>
      <c r="F63" s="6">
        <f t="shared" si="20"/>
        <v>9.3085260206616817E-3</v>
      </c>
      <c r="G63" s="2"/>
      <c r="H63" s="7">
        <v>155.82</v>
      </c>
      <c r="I63" s="2"/>
      <c r="J63" s="6">
        <f t="shared" si="21"/>
        <v>2.9933332923515747E-3</v>
      </c>
      <c r="K63" s="2"/>
      <c r="L63" s="7">
        <f t="shared" si="22"/>
        <v>206.3</v>
      </c>
      <c r="M63" s="2"/>
      <c r="N63" s="6">
        <f t="shared" si="23"/>
        <v>1.3239635476832243</v>
      </c>
      <c r="O63" s="11"/>
      <c r="P63" s="7">
        <v>2245.14</v>
      </c>
      <c r="Q63" s="2"/>
      <c r="R63" s="6">
        <f t="shared" si="24"/>
        <v>1.5492582689867702E-2</v>
      </c>
      <c r="S63" s="2"/>
      <c r="T63" s="7">
        <v>1153.75</v>
      </c>
      <c r="U63" s="2"/>
      <c r="V63" s="6">
        <f t="shared" si="25"/>
        <v>4.0573123547104134E-3</v>
      </c>
      <c r="W63" s="2"/>
      <c r="X63" s="7">
        <f t="shared" si="26"/>
        <v>1091.3899999999999</v>
      </c>
      <c r="Y63" s="2"/>
      <c r="Z63" s="6">
        <f t="shared" si="27"/>
        <v>0.94595016251354269</v>
      </c>
    </row>
    <row r="64" spans="1:26" s="24" customFormat="1" hidden="1" outlineLevel="2" x14ac:dyDescent="0.25">
      <c r="A64" s="27"/>
      <c r="B64" s="11" t="str">
        <f>CONCATENATE("          ", "6118", " - ", "VACATION")</f>
        <v xml:space="preserve">          6118 - VACATION</v>
      </c>
      <c r="C64" s="11"/>
      <c r="D64" s="7">
        <v>498.76</v>
      </c>
      <c r="E64" s="2"/>
      <c r="F64" s="6">
        <f t="shared" si="20"/>
        <v>1.2820944543425439E-2</v>
      </c>
      <c r="G64" s="2"/>
      <c r="H64" s="7">
        <v>145.84</v>
      </c>
      <c r="I64" s="2"/>
      <c r="J64" s="6">
        <f t="shared" si="21"/>
        <v>2.8016155009405316E-3</v>
      </c>
      <c r="K64" s="2"/>
      <c r="L64" s="7">
        <f t="shared" si="22"/>
        <v>352.91999999999996</v>
      </c>
      <c r="M64" s="2"/>
      <c r="N64" s="6">
        <f t="shared" si="23"/>
        <v>2.4199122325836528</v>
      </c>
      <c r="O64" s="11"/>
      <c r="P64" s="7">
        <v>3145.69</v>
      </c>
      <c r="Q64" s="2"/>
      <c r="R64" s="6">
        <f t="shared" si="24"/>
        <v>2.1706825606282877E-2</v>
      </c>
      <c r="S64" s="2"/>
      <c r="T64" s="7">
        <v>1305.1600000000001</v>
      </c>
      <c r="U64" s="2"/>
      <c r="V64" s="6">
        <f t="shared" si="25"/>
        <v>4.5897653676046308E-3</v>
      </c>
      <c r="W64" s="2"/>
      <c r="X64" s="7">
        <f t="shared" si="26"/>
        <v>1840.53</v>
      </c>
      <c r="Y64" s="2"/>
      <c r="Z64" s="6">
        <f t="shared" si="27"/>
        <v>1.4101949186306659</v>
      </c>
    </row>
    <row r="65" spans="1:26" s="24" customFormat="1" hidden="1" outlineLevel="2" x14ac:dyDescent="0.25">
      <c r="A65" s="27"/>
      <c r="B65" s="11" t="str">
        <f>CONCATENATE("          ", "6119", " - ", "SICK LEAVE")</f>
        <v xml:space="preserve">          6119 - SICK LEAVE</v>
      </c>
      <c r="C65" s="11"/>
      <c r="D65" s="7">
        <v>446.7</v>
      </c>
      <c r="E65" s="2"/>
      <c r="F65" s="6">
        <f t="shared" si="20"/>
        <v>1.1482708973350197E-2</v>
      </c>
      <c r="G65" s="2"/>
      <c r="H65" s="7">
        <v>102.89</v>
      </c>
      <c r="I65" s="2"/>
      <c r="J65" s="6">
        <f t="shared" si="21"/>
        <v>1.9765374306896003E-3</v>
      </c>
      <c r="K65" s="2"/>
      <c r="L65" s="7">
        <f t="shared" si="22"/>
        <v>343.81</v>
      </c>
      <c r="M65" s="2"/>
      <c r="N65" s="6">
        <f t="shared" si="23"/>
        <v>3.3415297890951501</v>
      </c>
      <c r="O65" s="11"/>
      <c r="P65" s="7">
        <v>2680.2</v>
      </c>
      <c r="Q65" s="2"/>
      <c r="R65" s="6">
        <f t="shared" si="24"/>
        <v>1.8494713080424122E-2</v>
      </c>
      <c r="S65" s="2"/>
      <c r="T65" s="7">
        <v>384.03</v>
      </c>
      <c r="U65" s="2"/>
      <c r="V65" s="6">
        <f t="shared" si="25"/>
        <v>1.3504915827340757E-3</v>
      </c>
      <c r="W65" s="2"/>
      <c r="X65" s="7">
        <f t="shared" si="26"/>
        <v>2296.17</v>
      </c>
      <c r="Y65" s="2"/>
      <c r="Z65" s="6">
        <f t="shared" si="27"/>
        <v>5.979142254511367</v>
      </c>
    </row>
    <row r="66" spans="1:26" s="24" customFormat="1" hidden="1" outlineLevel="2" x14ac:dyDescent="0.25">
      <c r="A66" s="27"/>
      <c r="B66" s="11" t="str">
        <f>CONCATENATE("          ", "6156", " - ", "EMPLOYEE MEALS")</f>
        <v xml:space="preserve">          6156 - EMPLOYEE MEALS</v>
      </c>
      <c r="C66" s="11"/>
      <c r="D66" s="7">
        <v>106.01</v>
      </c>
      <c r="E66" s="2"/>
      <c r="F66" s="6">
        <f t="shared" si="20"/>
        <v>2.7250547979960921E-3</v>
      </c>
      <c r="G66" s="2"/>
      <c r="H66" s="7"/>
      <c r="I66" s="2"/>
      <c r="J66" s="6">
        <f t="shared" si="21"/>
        <v>0</v>
      </c>
      <c r="K66" s="2"/>
      <c r="L66" s="7">
        <f t="shared" si="22"/>
        <v>106.01</v>
      </c>
      <c r="M66" s="2"/>
      <c r="N66" s="6">
        <f t="shared" si="23"/>
        <v>0</v>
      </c>
      <c r="O66" s="11"/>
      <c r="P66" s="7">
        <v>1065.5899999999999</v>
      </c>
      <c r="Q66" s="2"/>
      <c r="R66" s="6">
        <f t="shared" si="24"/>
        <v>7.3531010041672793E-3</v>
      </c>
      <c r="S66" s="2"/>
      <c r="T66" s="7">
        <v>489.5</v>
      </c>
      <c r="U66" s="2"/>
      <c r="V66" s="6">
        <f t="shared" si="25"/>
        <v>1.7213905938294667E-3</v>
      </c>
      <c r="W66" s="2"/>
      <c r="X66" s="7">
        <f t="shared" si="26"/>
        <v>576.08999999999992</v>
      </c>
      <c r="Y66" s="2"/>
      <c r="Z66" s="6">
        <f t="shared" si="27"/>
        <v>1.1768947906026557</v>
      </c>
    </row>
    <row r="67" spans="1:26" s="25" customFormat="1" outlineLevel="1" collapsed="1" x14ac:dyDescent="0.25">
      <c r="A67" s="26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8680.51</v>
      </c>
      <c r="E67" s="1"/>
      <c r="F67" s="5">
        <f t="shared" ref="F67:F72" si="28">IF(D$12=0,0,D67/D$12)</f>
        <v>0.22313805701870634</v>
      </c>
      <c r="G67" s="1"/>
      <c r="H67" s="1">
        <f>SUM(OSRRefH22_1x_0)</f>
        <v>10739.71</v>
      </c>
      <c r="I67" s="1"/>
      <c r="J67" s="5">
        <f t="shared" ref="J67:J72" si="29">IF(H$12=0,0,H67/H$12)</f>
        <v>0.20631197210371666</v>
      </c>
      <c r="K67" s="1"/>
      <c r="L67" s="1">
        <f t="shared" ref="L67:L72" si="30">+D67-H67</f>
        <v>-2059.1999999999989</v>
      </c>
      <c r="M67" s="1"/>
      <c r="N67" s="5">
        <f t="shared" ref="N67:N72" si="31">IF(H67=0,0,L67/H67)</f>
        <v>-0.19173702083203356</v>
      </c>
      <c r="O67" s="13"/>
      <c r="P67" s="1">
        <f>SUM(OSRRefP22_1x_0)</f>
        <v>47841</v>
      </c>
      <c r="Q67" s="1"/>
      <c r="R67" s="5">
        <f t="shared" ref="R67:R72" si="32">IF(P$12=0,0,P67/P$12)</f>
        <v>0.3301266952020635</v>
      </c>
      <c r="S67" s="1"/>
      <c r="T67" s="1">
        <f>SUM(OSRRefT22_1x_0)</f>
        <v>66128.95</v>
      </c>
      <c r="U67" s="1"/>
      <c r="V67" s="5">
        <f t="shared" ref="V67:V72" si="33">IF(T$12=0,0,T67/T$12)</f>
        <v>0.2325510776502944</v>
      </c>
      <c r="W67" s="1"/>
      <c r="X67" s="1">
        <f t="shared" ref="X67:X72" si="34">+P67-T67</f>
        <v>-18287.949999999997</v>
      </c>
      <c r="Y67" s="1"/>
      <c r="Z67" s="5">
        <f t="shared" ref="Z67:Z72" si="35">IF(T67=0,0,X67/T67)</f>
        <v>-0.27654983180588832</v>
      </c>
    </row>
    <row r="68" spans="1:26" s="24" customFormat="1" hidden="1" outlineLevel="2" x14ac:dyDescent="0.25">
      <c r="A68" s="27"/>
      <c r="B68" s="11" t="str">
        <f>CONCATENATE("          ", "6002", " - ", "STAFF SALARIES")</f>
        <v xml:space="preserve">          6002 - STAFF SALARIES</v>
      </c>
      <c r="C68" s="11"/>
      <c r="D68" s="7">
        <v>4684.62</v>
      </c>
      <c r="E68" s="2"/>
      <c r="F68" s="6">
        <f t="shared" si="28"/>
        <v>0.12042115090829594</v>
      </c>
      <c r="G68" s="2"/>
      <c r="H68" s="7">
        <v>2230.7600000000002</v>
      </c>
      <c r="I68" s="2"/>
      <c r="J68" s="6">
        <f t="shared" si="29"/>
        <v>4.285334472626235E-2</v>
      </c>
      <c r="K68" s="2"/>
      <c r="L68" s="7">
        <f t="shared" si="30"/>
        <v>2453.8599999999997</v>
      </c>
      <c r="M68" s="2"/>
      <c r="N68" s="6">
        <f t="shared" si="31"/>
        <v>1.1000107586652079</v>
      </c>
      <c r="O68" s="11"/>
      <c r="P68" s="7">
        <v>28107.72</v>
      </c>
      <c r="Q68" s="2"/>
      <c r="R68" s="6">
        <f t="shared" si="32"/>
        <v>0.19395724824449623</v>
      </c>
      <c r="S68" s="2"/>
      <c r="T68" s="7">
        <v>11656.5</v>
      </c>
      <c r="U68" s="2"/>
      <c r="V68" s="6">
        <f t="shared" si="33"/>
        <v>4.0991602567871661E-2</v>
      </c>
      <c r="W68" s="2"/>
      <c r="X68" s="7">
        <f t="shared" si="34"/>
        <v>16451.22</v>
      </c>
      <c r="Y68" s="2"/>
      <c r="Z68" s="6">
        <f t="shared" si="35"/>
        <v>1.4113344485909149</v>
      </c>
    </row>
    <row r="69" spans="1:26" s="24" customFormat="1" hidden="1" outlineLevel="2" x14ac:dyDescent="0.25">
      <c r="A69" s="27"/>
      <c r="B69" s="11" t="str">
        <f>CONCATENATE("          ", "6004", " - ", "STAFF HOURLY")</f>
        <v xml:space="preserve">          6004 - STAFF HOURLY</v>
      </c>
      <c r="C69" s="11"/>
      <c r="D69" s="7">
        <v>740.77</v>
      </c>
      <c r="E69" s="2"/>
      <c r="F69" s="6">
        <f t="shared" si="28"/>
        <v>1.9041966255179371E-2</v>
      </c>
      <c r="G69" s="2"/>
      <c r="H69" s="7"/>
      <c r="I69" s="2"/>
      <c r="J69" s="6">
        <f t="shared" si="29"/>
        <v>0</v>
      </c>
      <c r="K69" s="2"/>
      <c r="L69" s="7">
        <f t="shared" si="30"/>
        <v>740.77</v>
      </c>
      <c r="M69" s="2"/>
      <c r="N69" s="6">
        <f t="shared" si="31"/>
        <v>0</v>
      </c>
      <c r="O69" s="11"/>
      <c r="P69" s="7">
        <v>3091.21</v>
      </c>
      <c r="Q69" s="2"/>
      <c r="R69" s="6">
        <f t="shared" si="32"/>
        <v>2.133088650896868E-2</v>
      </c>
      <c r="S69" s="2"/>
      <c r="T69" s="7"/>
      <c r="U69" s="2"/>
      <c r="V69" s="6">
        <f t="shared" si="33"/>
        <v>0</v>
      </c>
      <c r="W69" s="2"/>
      <c r="X69" s="7">
        <f t="shared" si="34"/>
        <v>3091.21</v>
      </c>
      <c r="Y69" s="2"/>
      <c r="Z69" s="6">
        <f t="shared" si="35"/>
        <v>0</v>
      </c>
    </row>
    <row r="70" spans="1:26" s="24" customFormat="1" hidden="1" outlineLevel="2" x14ac:dyDescent="0.25">
      <c r="A70" s="27"/>
      <c r="B70" s="11" t="str">
        <f>CONCATENATE("          ", "6005", " - ", "TEMPORARY WAGES-HOURLY")</f>
        <v xml:space="preserve">          6005 - TEMPORARY WAGES-HOURLY</v>
      </c>
      <c r="C70" s="11"/>
      <c r="D70" s="7">
        <v>1562.94</v>
      </c>
      <c r="E70" s="2"/>
      <c r="F70" s="6">
        <f t="shared" si="28"/>
        <v>4.0176371530799102E-2</v>
      </c>
      <c r="G70" s="2"/>
      <c r="H70" s="7">
        <v>1912.5</v>
      </c>
      <c r="I70" s="2"/>
      <c r="J70" s="6">
        <f t="shared" si="29"/>
        <v>3.6739506620603171E-2</v>
      </c>
      <c r="K70" s="2"/>
      <c r="L70" s="7">
        <f t="shared" si="30"/>
        <v>-349.55999999999995</v>
      </c>
      <c r="M70" s="2"/>
      <c r="N70" s="6">
        <f t="shared" si="31"/>
        <v>-0.18277647058823526</v>
      </c>
      <c r="O70" s="11"/>
      <c r="P70" s="7">
        <v>7910.64</v>
      </c>
      <c r="Q70" s="2"/>
      <c r="R70" s="6">
        <f t="shared" si="32"/>
        <v>5.4587350601644019E-2</v>
      </c>
      <c r="S70" s="2"/>
      <c r="T70" s="7">
        <v>4357.0200000000004</v>
      </c>
      <c r="U70" s="2"/>
      <c r="V70" s="6">
        <f t="shared" si="33"/>
        <v>1.5322029101382766E-2</v>
      </c>
      <c r="W70" s="2"/>
      <c r="X70" s="7">
        <f t="shared" si="34"/>
        <v>3553.62</v>
      </c>
      <c r="Y70" s="2"/>
      <c r="Z70" s="6">
        <f t="shared" si="35"/>
        <v>0.81560791550187961</v>
      </c>
    </row>
    <row r="71" spans="1:26" s="24" customFormat="1" hidden="1" outlineLevel="2" x14ac:dyDescent="0.25">
      <c r="A71" s="27"/>
      <c r="B71" s="11" t="str">
        <f>CONCATENATE("          ", "6007", " - ", "STUDENT HOURLY")</f>
        <v xml:space="preserve">          6007 - STUDENT HOURLY</v>
      </c>
      <c r="C71" s="11"/>
      <c r="D71" s="7">
        <v>1239.52</v>
      </c>
      <c r="E71" s="2"/>
      <c r="F71" s="6">
        <f t="shared" si="28"/>
        <v>3.1862653742214093E-2</v>
      </c>
      <c r="G71" s="2"/>
      <c r="H71" s="7">
        <v>6596.45</v>
      </c>
      <c r="I71" s="2"/>
      <c r="J71" s="6">
        <f t="shared" si="29"/>
        <v>0.12671912075685113</v>
      </c>
      <c r="K71" s="2"/>
      <c r="L71" s="7">
        <f t="shared" si="30"/>
        <v>-5356.93</v>
      </c>
      <c r="M71" s="2"/>
      <c r="N71" s="6">
        <f t="shared" si="31"/>
        <v>-0.81209286813361736</v>
      </c>
      <c r="O71" s="11"/>
      <c r="P71" s="7">
        <v>7014</v>
      </c>
      <c r="Q71" s="2"/>
      <c r="R71" s="6">
        <f t="shared" si="32"/>
        <v>4.8400088629988361E-2</v>
      </c>
      <c r="S71" s="2"/>
      <c r="T71" s="7">
        <v>50115.43</v>
      </c>
      <c r="U71" s="2"/>
      <c r="V71" s="6">
        <f t="shared" si="33"/>
        <v>0.17623744598103999</v>
      </c>
      <c r="W71" s="2"/>
      <c r="X71" s="7">
        <f t="shared" si="34"/>
        <v>-43101.43</v>
      </c>
      <c r="Y71" s="2"/>
      <c r="Z71" s="6">
        <f t="shared" si="35"/>
        <v>-0.8600431044889767</v>
      </c>
    </row>
    <row r="72" spans="1:26" s="24" customFormat="1" hidden="1" outlineLevel="2" x14ac:dyDescent="0.25">
      <c r="A72" s="27"/>
      <c r="B72" s="11" t="str">
        <f>CONCATENATE("          ", "6008", " - ", "STUDENT HOURLY-FICA EXEMPT")</f>
        <v xml:space="preserve">          6008 - STUDENT HOURLY-FICA EXEMPT</v>
      </c>
      <c r="C72" s="11"/>
      <c r="D72" s="7">
        <v>452.66</v>
      </c>
      <c r="E72" s="2"/>
      <c r="F72" s="6">
        <f t="shared" si="28"/>
        <v>1.163591458221782E-2</v>
      </c>
      <c r="G72" s="2"/>
      <c r="H72" s="7"/>
      <c r="I72" s="2"/>
      <c r="J72" s="6">
        <f t="shared" si="29"/>
        <v>0</v>
      </c>
      <c r="K72" s="2"/>
      <c r="L72" s="7">
        <f t="shared" si="30"/>
        <v>452.66</v>
      </c>
      <c r="M72" s="2"/>
      <c r="N72" s="6">
        <f t="shared" si="31"/>
        <v>0</v>
      </c>
      <c r="O72" s="11"/>
      <c r="P72" s="7">
        <v>1717.43</v>
      </c>
      <c r="Q72" s="2"/>
      <c r="R72" s="6">
        <f t="shared" si="32"/>
        <v>1.1851121216966198E-2</v>
      </c>
      <c r="S72" s="2"/>
      <c r="T72" s="7"/>
      <c r="U72" s="2"/>
      <c r="V72" s="6">
        <f t="shared" si="33"/>
        <v>0</v>
      </c>
      <c r="W72" s="2"/>
      <c r="X72" s="7">
        <f t="shared" si="34"/>
        <v>1717.43</v>
      </c>
      <c r="Y72" s="2"/>
      <c r="Z72" s="6">
        <f t="shared" si="35"/>
        <v>0</v>
      </c>
    </row>
    <row r="73" spans="1:26" s="25" customFormat="1" outlineLevel="1" collapsed="1" x14ac:dyDescent="0.25">
      <c r="A73" s="26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52.92</v>
      </c>
      <c r="E73" s="1"/>
      <c r="F73" s="5">
        <f t="shared" ref="F73:F95" si="36">IF(D$12=0,0,D73/D$12)</f>
        <v>1.3603424196769476E-3</v>
      </c>
      <c r="G73" s="1"/>
      <c r="H73" s="1">
        <f>SUM(OSRRefH22_2x_0)</f>
        <v>579.15</v>
      </c>
      <c r="I73" s="1"/>
      <c r="J73" s="5">
        <f t="shared" ref="J73:J95" si="37">IF(H$12=0,0,H73/H$12)</f>
        <v>1.1125587063697949E-2</v>
      </c>
      <c r="K73" s="1"/>
      <c r="L73" s="1">
        <f t="shared" ref="L73:L95" si="38">+D73-H73</f>
        <v>-526.23</v>
      </c>
      <c r="M73" s="1"/>
      <c r="N73" s="5">
        <f t="shared" ref="N73:N95" si="39">IF(H73=0,0,L73/H73)</f>
        <v>-0.90862470862470868</v>
      </c>
      <c r="O73" s="13"/>
      <c r="P73" s="1">
        <f>SUM(OSRRefP22_2x_0)</f>
        <v>1024.2</v>
      </c>
      <c r="Q73" s="1"/>
      <c r="R73" s="5">
        <f t="shared" ref="R73:R95" si="40">IF(P$12=0,0,P73/P$12)</f>
        <v>7.0674894175697294E-3</v>
      </c>
      <c r="S73" s="1"/>
      <c r="T73" s="1">
        <f>SUM(OSRRefT22_2x_0)</f>
        <v>2345.38</v>
      </c>
      <c r="U73" s="1"/>
      <c r="V73" s="5">
        <f t="shared" ref="V73:V95" si="41">IF(T$12=0,0,T73/T$12)</f>
        <v>8.247834669981113E-3</v>
      </c>
      <c r="W73" s="1"/>
      <c r="X73" s="1">
        <f t="shared" ref="X73:X95" si="42">+P73-T73</f>
        <v>-1321.18</v>
      </c>
      <c r="Y73" s="1"/>
      <c r="Z73" s="5">
        <f t="shared" ref="Z73:Z95" si="43">IF(T73=0,0,X73/T73)</f>
        <v>-0.56331170215487469</v>
      </c>
    </row>
    <row r="74" spans="1:26" s="24" customFormat="1" hidden="1" outlineLevel="2" x14ac:dyDescent="0.25">
      <c r="A74" s="27"/>
      <c r="B74" s="11" t="str">
        <f>CONCATENATE("          ", "6362", " - ", "ADVERTISING EXPENSE")</f>
        <v xml:space="preserve">          6362 - ADVERTISING EXPENSE</v>
      </c>
      <c r="C74" s="11"/>
      <c r="D74" s="7">
        <v>52.92</v>
      </c>
      <c r="E74" s="2"/>
      <c r="F74" s="6">
        <f t="shared" si="36"/>
        <v>1.3603424196769476E-3</v>
      </c>
      <c r="G74" s="2"/>
      <c r="H74" s="7">
        <v>579.15</v>
      </c>
      <c r="I74" s="2"/>
      <c r="J74" s="6">
        <f t="shared" si="37"/>
        <v>1.1125587063697949E-2</v>
      </c>
      <c r="K74" s="2"/>
      <c r="L74" s="7">
        <f t="shared" si="38"/>
        <v>-526.23</v>
      </c>
      <c r="M74" s="2"/>
      <c r="N74" s="6">
        <f t="shared" si="39"/>
        <v>-0.90862470862470868</v>
      </c>
      <c r="O74" s="11"/>
      <c r="P74" s="7">
        <v>1024.2</v>
      </c>
      <c r="Q74" s="2"/>
      <c r="R74" s="6">
        <f t="shared" si="40"/>
        <v>7.0674894175697294E-3</v>
      </c>
      <c r="S74" s="2"/>
      <c r="T74" s="7">
        <v>2345.38</v>
      </c>
      <c r="U74" s="2"/>
      <c r="V74" s="6">
        <f t="shared" si="41"/>
        <v>8.247834669981113E-3</v>
      </c>
      <c r="W74" s="2"/>
      <c r="X74" s="7">
        <f t="shared" si="42"/>
        <v>-1321.18</v>
      </c>
      <c r="Y74" s="2"/>
      <c r="Z74" s="6">
        <f t="shared" si="43"/>
        <v>-0.56331170215487469</v>
      </c>
    </row>
    <row r="75" spans="1:26" s="25" customFormat="1" outlineLevel="1" collapsed="1" x14ac:dyDescent="0.25">
      <c r="A75" s="26"/>
      <c r="B75" s="13" t="str">
        <f>CONCATENATE("     ","Bad Debts/Over/Short                              ")</f>
        <v xml:space="preserve">     Bad Debts/Over/Short                              </v>
      </c>
      <c r="C75" s="13"/>
      <c r="D75" s="1">
        <f>SUM(OSRRefD22_3x_0)</f>
        <v>-0.38</v>
      </c>
      <c r="E75" s="1"/>
      <c r="F75" s="5">
        <f t="shared" si="36"/>
        <v>-9.7681428472645502E-6</v>
      </c>
      <c r="G75" s="1"/>
      <c r="H75" s="1">
        <f>SUM(OSRRefH22_3x_0)</f>
        <v>18.809999999999999</v>
      </c>
      <c r="I75" s="1"/>
      <c r="J75" s="5">
        <f t="shared" si="37"/>
        <v>3.6134385335087355E-4</v>
      </c>
      <c r="K75" s="1"/>
      <c r="L75" s="1">
        <f t="shared" si="38"/>
        <v>-19.189999999999998</v>
      </c>
      <c r="M75" s="1"/>
      <c r="N75" s="5">
        <f t="shared" si="39"/>
        <v>-1.0202020202020201</v>
      </c>
      <c r="O75" s="13"/>
      <c r="P75" s="1">
        <f>SUM(OSRRefP22_3x_0)</f>
        <v>-1.39</v>
      </c>
      <c r="Q75" s="1"/>
      <c r="R75" s="5">
        <f t="shared" si="40"/>
        <v>-9.5916913595215018E-6</v>
      </c>
      <c r="S75" s="1"/>
      <c r="T75" s="1">
        <f>SUM(OSRRefT22_3x_0)</f>
        <v>45.94</v>
      </c>
      <c r="U75" s="1"/>
      <c r="V75" s="5">
        <f t="shared" si="41"/>
        <v>1.6155400179882675E-4</v>
      </c>
      <c r="W75" s="1"/>
      <c r="X75" s="1">
        <f t="shared" si="42"/>
        <v>-47.33</v>
      </c>
      <c r="Y75" s="1"/>
      <c r="Z75" s="5">
        <f t="shared" si="43"/>
        <v>-1.0302568567696997</v>
      </c>
    </row>
    <row r="76" spans="1:26" s="24" customFormat="1" hidden="1" outlineLevel="2" x14ac:dyDescent="0.25">
      <c r="A76" s="27"/>
      <c r="B76" s="11" t="str">
        <f>CONCATENATE("          ", "6272", " - ", "CASH (OVER/SHORT)")</f>
        <v xml:space="preserve">          6272 - CASH (OVER/SHORT)</v>
      </c>
      <c r="C76" s="11"/>
      <c r="D76" s="7">
        <v>-0.38</v>
      </c>
      <c r="E76" s="2"/>
      <c r="F76" s="6">
        <f t="shared" si="36"/>
        <v>-9.7681428472645502E-6</v>
      </c>
      <c r="G76" s="2"/>
      <c r="H76" s="7">
        <v>18.809999999999999</v>
      </c>
      <c r="I76" s="2"/>
      <c r="J76" s="6">
        <f t="shared" si="37"/>
        <v>3.6134385335087355E-4</v>
      </c>
      <c r="K76" s="2"/>
      <c r="L76" s="7">
        <f t="shared" si="38"/>
        <v>-19.189999999999998</v>
      </c>
      <c r="M76" s="2"/>
      <c r="N76" s="6">
        <f t="shared" si="39"/>
        <v>-1.0202020202020201</v>
      </c>
      <c r="O76" s="11"/>
      <c r="P76" s="7">
        <v>-1.39</v>
      </c>
      <c r="Q76" s="2"/>
      <c r="R76" s="6">
        <f t="shared" si="40"/>
        <v>-9.5916913595215018E-6</v>
      </c>
      <c r="S76" s="2"/>
      <c r="T76" s="7">
        <v>45.94</v>
      </c>
      <c r="U76" s="2"/>
      <c r="V76" s="6">
        <f t="shared" si="41"/>
        <v>1.6155400179882675E-4</v>
      </c>
      <c r="W76" s="2"/>
      <c r="X76" s="7">
        <f t="shared" si="42"/>
        <v>-47.33</v>
      </c>
      <c r="Y76" s="2"/>
      <c r="Z76" s="6">
        <f t="shared" si="43"/>
        <v>-1.0302568567696997</v>
      </c>
    </row>
    <row r="77" spans="1:26" s="25" customFormat="1" outlineLevel="1" collapsed="1" x14ac:dyDescent="0.25">
      <c r="A77" s="26"/>
      <c r="B77" s="13" t="str">
        <f>CONCATENATE("     ","Bank/card Fees                                    ")</f>
        <v xml:space="preserve">     Bank/card Fees                                    </v>
      </c>
      <c r="C77" s="13"/>
      <c r="D77" s="1">
        <f>SUM(OSRRefD22_4x_0)</f>
        <v>641.35</v>
      </c>
      <c r="E77" s="1"/>
      <c r="F77" s="5">
        <f t="shared" si="36"/>
        <v>1.6486311618666104E-2</v>
      </c>
      <c r="G77" s="1"/>
      <c r="H77" s="1">
        <f>SUM(OSRRefH22_4x_0)</f>
        <v>1503.49</v>
      </c>
      <c r="I77" s="1"/>
      <c r="J77" s="5">
        <f t="shared" si="37"/>
        <v>2.8882342906672243E-2</v>
      </c>
      <c r="K77" s="1"/>
      <c r="L77" s="1">
        <f t="shared" si="38"/>
        <v>-862.14</v>
      </c>
      <c r="M77" s="1"/>
      <c r="N77" s="5">
        <f t="shared" si="39"/>
        <v>-0.57342582923730789</v>
      </c>
      <c r="O77" s="13"/>
      <c r="P77" s="1">
        <f>SUM(OSRRefP22_4x_0)</f>
        <v>2314.27</v>
      </c>
      <c r="Q77" s="1"/>
      <c r="R77" s="5">
        <f t="shared" si="40"/>
        <v>1.5969614073812827E-2</v>
      </c>
      <c r="S77" s="1"/>
      <c r="T77" s="1">
        <f>SUM(OSRRefT22_4x_0)</f>
        <v>4684.47</v>
      </c>
      <c r="U77" s="1"/>
      <c r="V77" s="5">
        <f t="shared" si="41"/>
        <v>1.6473549734578801E-2</v>
      </c>
      <c r="W77" s="1"/>
      <c r="X77" s="1">
        <f t="shared" si="42"/>
        <v>-2370.2000000000003</v>
      </c>
      <c r="Y77" s="1"/>
      <c r="Z77" s="5">
        <f t="shared" si="43"/>
        <v>-0.50596972549722807</v>
      </c>
    </row>
    <row r="78" spans="1:26" s="24" customFormat="1" hidden="1" outlineLevel="2" x14ac:dyDescent="0.25">
      <c r="A78" s="27"/>
      <c r="B78" s="11" t="str">
        <f>CONCATENATE("          ", "6381", " - ", "BANK/CREDIT CARD FEES")</f>
        <v xml:space="preserve">          6381 - BANK/CREDIT CARD FEES</v>
      </c>
      <c r="C78" s="11"/>
      <c r="D78" s="7">
        <v>641.35</v>
      </c>
      <c r="E78" s="2"/>
      <c r="F78" s="6">
        <f t="shared" si="36"/>
        <v>1.6486311618666104E-2</v>
      </c>
      <c r="G78" s="2"/>
      <c r="H78" s="7">
        <v>1503.49</v>
      </c>
      <c r="I78" s="2"/>
      <c r="J78" s="6">
        <f t="shared" si="37"/>
        <v>2.8882342906672243E-2</v>
      </c>
      <c r="K78" s="2"/>
      <c r="L78" s="7">
        <f t="shared" si="38"/>
        <v>-862.14</v>
      </c>
      <c r="M78" s="2"/>
      <c r="N78" s="6">
        <f t="shared" si="39"/>
        <v>-0.57342582923730789</v>
      </c>
      <c r="O78" s="11"/>
      <c r="P78" s="7">
        <v>2314.27</v>
      </c>
      <c r="Q78" s="2"/>
      <c r="R78" s="6">
        <f t="shared" si="40"/>
        <v>1.5969614073812827E-2</v>
      </c>
      <c r="S78" s="2"/>
      <c r="T78" s="7">
        <v>4684.47</v>
      </c>
      <c r="U78" s="2"/>
      <c r="V78" s="6">
        <f t="shared" si="41"/>
        <v>1.6473549734578801E-2</v>
      </c>
      <c r="W78" s="2"/>
      <c r="X78" s="7">
        <f t="shared" si="42"/>
        <v>-2370.2000000000003</v>
      </c>
      <c r="Y78" s="2"/>
      <c r="Z78" s="6">
        <f t="shared" si="43"/>
        <v>-0.50596972549722807</v>
      </c>
    </row>
    <row r="79" spans="1:26" s="25" customFormat="1" outlineLevel="1" collapsed="1" x14ac:dyDescent="0.25">
      <c r="A79" s="26"/>
      <c r="B79" s="13" t="str">
        <f>CONCATENATE("     ","Discounts and Markdowns                           ")</f>
        <v xml:space="preserve">     Discounts and Markdowns                           </v>
      </c>
      <c r="C79" s="13"/>
      <c r="D79" s="1">
        <f>SUM(OSRRefD22_5x_0)</f>
        <v>0</v>
      </c>
      <c r="E79" s="1"/>
      <c r="F79" s="5">
        <f t="shared" si="36"/>
        <v>0</v>
      </c>
      <c r="G79" s="1"/>
      <c r="H79" s="1">
        <f>SUM(OSRRefH22_5x_0)</f>
        <v>11230.78</v>
      </c>
      <c r="I79" s="1"/>
      <c r="J79" s="5">
        <f t="shared" si="37"/>
        <v>0.21574552479191517</v>
      </c>
      <c r="K79" s="1"/>
      <c r="L79" s="1">
        <f t="shared" si="38"/>
        <v>-11230.78</v>
      </c>
      <c r="M79" s="1"/>
      <c r="N79" s="5">
        <f t="shared" si="39"/>
        <v>-1</v>
      </c>
      <c r="O79" s="13"/>
      <c r="P79" s="1">
        <f>SUM(OSRRefP22_5x_0)</f>
        <v>0</v>
      </c>
      <c r="Q79" s="1"/>
      <c r="R79" s="5">
        <f t="shared" si="40"/>
        <v>0</v>
      </c>
      <c r="S79" s="1"/>
      <c r="T79" s="1">
        <f>SUM(OSRRefT22_5x_0)</f>
        <v>48429.36</v>
      </c>
      <c r="U79" s="1"/>
      <c r="V79" s="5">
        <f t="shared" si="41"/>
        <v>0.17030816091763232</v>
      </c>
      <c r="W79" s="1"/>
      <c r="X79" s="1">
        <f t="shared" si="42"/>
        <v>-48429.36</v>
      </c>
      <c r="Y79" s="1"/>
      <c r="Z79" s="5">
        <f t="shared" si="43"/>
        <v>-1</v>
      </c>
    </row>
    <row r="80" spans="1:26" s="24" customFormat="1" hidden="1" outlineLevel="2" x14ac:dyDescent="0.25">
      <c r="A80" s="27"/>
      <c r="B80" s="11" t="str">
        <f>CONCATENATE("          ", "6382", " - ", "DISCOUNTS/MARK DOWNS")</f>
        <v xml:space="preserve">          6382 - DISCOUNTS/MARK DOWNS</v>
      </c>
      <c r="C80" s="11"/>
      <c r="D80" s="7"/>
      <c r="E80" s="2"/>
      <c r="F80" s="6">
        <f t="shared" si="36"/>
        <v>0</v>
      </c>
      <c r="G80" s="2"/>
      <c r="H80" s="7">
        <v>11230.78</v>
      </c>
      <c r="I80" s="2"/>
      <c r="J80" s="6">
        <f t="shared" si="37"/>
        <v>0.21574552479191517</v>
      </c>
      <c r="K80" s="2"/>
      <c r="L80" s="7">
        <f t="shared" si="38"/>
        <v>-11230.78</v>
      </c>
      <c r="M80" s="2"/>
      <c r="N80" s="6">
        <f t="shared" si="39"/>
        <v>-1</v>
      </c>
      <c r="O80" s="11"/>
      <c r="P80" s="7">
        <v>0</v>
      </c>
      <c r="Q80" s="2"/>
      <c r="R80" s="6">
        <f t="shared" si="40"/>
        <v>0</v>
      </c>
      <c r="S80" s="2"/>
      <c r="T80" s="7">
        <v>48429.36</v>
      </c>
      <c r="U80" s="2"/>
      <c r="V80" s="6">
        <f t="shared" si="41"/>
        <v>0.17030816091763232</v>
      </c>
      <c r="W80" s="2"/>
      <c r="X80" s="7">
        <f t="shared" si="42"/>
        <v>-48429.36</v>
      </c>
      <c r="Y80" s="2"/>
      <c r="Z80" s="6">
        <f t="shared" si="43"/>
        <v>-1</v>
      </c>
    </row>
    <row r="81" spans="1:26" s="25" customFormat="1" outlineLevel="1" collapsed="1" x14ac:dyDescent="0.25">
      <c r="A81" s="26"/>
      <c r="B81" s="13" t="str">
        <f>CONCATENATE("     ","Employees' Appreciation                           ")</f>
        <v xml:space="preserve">     Employees' Appreciation                           </v>
      </c>
      <c r="C81" s="13"/>
      <c r="D81" s="1">
        <f>SUM(OSRRefD22_6x_0)</f>
        <v>0</v>
      </c>
      <c r="E81" s="1"/>
      <c r="F81" s="5">
        <f t="shared" si="36"/>
        <v>0</v>
      </c>
      <c r="G81" s="1"/>
      <c r="H81" s="1">
        <f>SUM(OSRRefH22_6x_0)</f>
        <v>0</v>
      </c>
      <c r="I81" s="1"/>
      <c r="J81" s="5">
        <f t="shared" si="37"/>
        <v>0</v>
      </c>
      <c r="K81" s="1"/>
      <c r="L81" s="1">
        <f t="shared" si="38"/>
        <v>0</v>
      </c>
      <c r="M81" s="1"/>
      <c r="N81" s="5">
        <f t="shared" si="39"/>
        <v>0</v>
      </c>
      <c r="O81" s="13"/>
      <c r="P81" s="1">
        <f>SUM(OSRRefP22_6x_0)</f>
        <v>0</v>
      </c>
      <c r="Q81" s="1"/>
      <c r="R81" s="5">
        <f t="shared" si="40"/>
        <v>0</v>
      </c>
      <c r="S81" s="1"/>
      <c r="T81" s="1">
        <f>SUM(OSRRefT22_6x_0)</f>
        <v>120.93</v>
      </c>
      <c r="U81" s="1"/>
      <c r="V81" s="5">
        <f t="shared" si="41"/>
        <v>4.2526611749090382E-4</v>
      </c>
      <c r="W81" s="1"/>
      <c r="X81" s="1">
        <f t="shared" si="42"/>
        <v>-120.93</v>
      </c>
      <c r="Y81" s="1"/>
      <c r="Z81" s="5">
        <f t="shared" si="43"/>
        <v>-1</v>
      </c>
    </row>
    <row r="82" spans="1:26" s="24" customFormat="1" hidden="1" outlineLevel="2" x14ac:dyDescent="0.25">
      <c r="A82" s="27"/>
      <c r="B82" s="11" t="str">
        <f>CONCATENATE("          ", "6277", " - ", "EMPLOYEE APPRECIATION")</f>
        <v xml:space="preserve">          6277 - EMPLOYEE APPRECIATION</v>
      </c>
      <c r="C82" s="11"/>
      <c r="D82" s="7"/>
      <c r="E82" s="2"/>
      <c r="F82" s="6">
        <f t="shared" si="36"/>
        <v>0</v>
      </c>
      <c r="G82" s="2"/>
      <c r="H82" s="7"/>
      <c r="I82" s="2"/>
      <c r="J82" s="6">
        <f t="shared" si="37"/>
        <v>0</v>
      </c>
      <c r="K82" s="2"/>
      <c r="L82" s="7">
        <f t="shared" si="38"/>
        <v>0</v>
      </c>
      <c r="M82" s="2"/>
      <c r="N82" s="6">
        <f t="shared" si="39"/>
        <v>0</v>
      </c>
      <c r="O82" s="11"/>
      <c r="P82" s="7"/>
      <c r="Q82" s="2"/>
      <c r="R82" s="6">
        <f t="shared" si="40"/>
        <v>0</v>
      </c>
      <c r="S82" s="2"/>
      <c r="T82" s="7">
        <v>120.93</v>
      </c>
      <c r="U82" s="2"/>
      <c r="V82" s="6">
        <f t="shared" si="41"/>
        <v>4.2526611749090382E-4</v>
      </c>
      <c r="W82" s="2"/>
      <c r="X82" s="7">
        <f t="shared" si="42"/>
        <v>-120.93</v>
      </c>
      <c r="Y82" s="2"/>
      <c r="Z82" s="6">
        <f t="shared" si="43"/>
        <v>-1</v>
      </c>
    </row>
    <row r="83" spans="1:26" s="25" customFormat="1" outlineLevel="1" collapsed="1" x14ac:dyDescent="0.25">
      <c r="A83" s="26"/>
      <c r="B83" s="13" t="str">
        <f>CONCATENATE("     ","General                                           ")</f>
        <v xml:space="preserve">     General                                           </v>
      </c>
      <c r="C83" s="13"/>
      <c r="D83" s="1">
        <f>SUM(OSRRefD22_7x_0)</f>
        <v>1285.46</v>
      </c>
      <c r="E83" s="1"/>
      <c r="F83" s="5">
        <f t="shared" si="36"/>
        <v>3.3043570801170236E-2</v>
      </c>
      <c r="G83" s="1"/>
      <c r="H83" s="1">
        <f>SUM(OSRRefH22_7x_0)</f>
        <v>160</v>
      </c>
      <c r="I83" s="1"/>
      <c r="J83" s="5">
        <f t="shared" si="37"/>
        <v>3.0736319264295466E-3</v>
      </c>
      <c r="K83" s="1"/>
      <c r="L83" s="1">
        <f t="shared" si="38"/>
        <v>1125.46</v>
      </c>
      <c r="M83" s="1"/>
      <c r="N83" s="5">
        <f t="shared" si="39"/>
        <v>7.0341250000000004</v>
      </c>
      <c r="O83" s="13"/>
      <c r="P83" s="1">
        <f>SUM(OSRRefP22_7x_0)</f>
        <v>1285.46</v>
      </c>
      <c r="Q83" s="1"/>
      <c r="R83" s="5">
        <f t="shared" si="40"/>
        <v>8.8703133633169142E-3</v>
      </c>
      <c r="S83" s="1"/>
      <c r="T83" s="1">
        <f>SUM(OSRRefT22_7x_0)</f>
        <v>1271.44</v>
      </c>
      <c r="U83" s="1"/>
      <c r="V83" s="5">
        <f t="shared" si="41"/>
        <v>4.4711845896190754E-3</v>
      </c>
      <c r="W83" s="1"/>
      <c r="X83" s="1">
        <f t="shared" si="42"/>
        <v>14.019999999999982</v>
      </c>
      <c r="Y83" s="1"/>
      <c r="Z83" s="5">
        <f t="shared" si="43"/>
        <v>1.1026867174227633E-2</v>
      </c>
    </row>
    <row r="84" spans="1:26" s="24" customFormat="1" hidden="1" outlineLevel="2" x14ac:dyDescent="0.25">
      <c r="A84" s="27"/>
      <c r="B84" s="11" t="str">
        <f>CONCATENATE("          ", "6279", " - ", "GENERAL EXPENSE")</f>
        <v xml:space="preserve">          6279 - GENERAL EXPENSE</v>
      </c>
      <c r="C84" s="11"/>
      <c r="D84" s="7">
        <v>1285.46</v>
      </c>
      <c r="E84" s="2"/>
      <c r="F84" s="6">
        <f t="shared" si="36"/>
        <v>3.3043570801170236E-2</v>
      </c>
      <c r="G84" s="2"/>
      <c r="H84" s="7">
        <v>160</v>
      </c>
      <c r="I84" s="2"/>
      <c r="J84" s="6">
        <f t="shared" si="37"/>
        <v>3.0736319264295466E-3</v>
      </c>
      <c r="K84" s="2"/>
      <c r="L84" s="7">
        <f t="shared" si="38"/>
        <v>1125.46</v>
      </c>
      <c r="M84" s="2"/>
      <c r="N84" s="6">
        <f t="shared" si="39"/>
        <v>7.0341250000000004</v>
      </c>
      <c r="O84" s="11"/>
      <c r="P84" s="7">
        <v>1285.46</v>
      </c>
      <c r="Q84" s="2"/>
      <c r="R84" s="6">
        <f t="shared" si="40"/>
        <v>8.8703133633169142E-3</v>
      </c>
      <c r="S84" s="2"/>
      <c r="T84" s="7">
        <v>1271.44</v>
      </c>
      <c r="U84" s="2"/>
      <c r="V84" s="6">
        <f t="shared" si="41"/>
        <v>4.4711845896190754E-3</v>
      </c>
      <c r="W84" s="2"/>
      <c r="X84" s="7">
        <f t="shared" si="42"/>
        <v>14.019999999999982</v>
      </c>
      <c r="Y84" s="2"/>
      <c r="Z84" s="6">
        <f t="shared" si="43"/>
        <v>1.1026867174227633E-2</v>
      </c>
    </row>
    <row r="85" spans="1:26" s="25" customFormat="1" outlineLevel="1" collapsed="1" x14ac:dyDescent="0.25">
      <c r="A85" s="26"/>
      <c r="B85" s="13" t="str">
        <f>CONCATENATE("     ","Insurance                                         ")</f>
        <v xml:space="preserve">     Insurance                                         </v>
      </c>
      <c r="C85" s="13"/>
      <c r="D85" s="1">
        <f>SUM(OSRRefD22_8x_0)</f>
        <v>161.18</v>
      </c>
      <c r="E85" s="1"/>
      <c r="F85" s="5">
        <f t="shared" si="36"/>
        <v>4.1432349055844746E-3</v>
      </c>
      <c r="G85" s="1"/>
      <c r="H85" s="1">
        <f>SUM(OSRRefH22_8x_0)</f>
        <v>161.18</v>
      </c>
      <c r="I85" s="1"/>
      <c r="J85" s="5">
        <f t="shared" si="37"/>
        <v>3.0962999618869644E-3</v>
      </c>
      <c r="K85" s="1"/>
      <c r="L85" s="1">
        <f t="shared" si="38"/>
        <v>0</v>
      </c>
      <c r="M85" s="1"/>
      <c r="N85" s="5">
        <f t="shared" si="39"/>
        <v>0</v>
      </c>
      <c r="O85" s="13"/>
      <c r="P85" s="1">
        <f>SUM(OSRRefP22_8x_0)</f>
        <v>967.08</v>
      </c>
      <c r="Q85" s="1"/>
      <c r="R85" s="5">
        <f t="shared" si="40"/>
        <v>6.6733330071698238E-3</v>
      </c>
      <c r="S85" s="1"/>
      <c r="T85" s="1">
        <f>SUM(OSRRefT22_8x_0)</f>
        <v>967.08</v>
      </c>
      <c r="U85" s="1"/>
      <c r="V85" s="5">
        <f t="shared" si="41"/>
        <v>3.4008629529736481E-3</v>
      </c>
      <c r="W85" s="1"/>
      <c r="X85" s="1">
        <f t="shared" si="42"/>
        <v>0</v>
      </c>
      <c r="Y85" s="1"/>
      <c r="Z85" s="5">
        <f t="shared" si="43"/>
        <v>0</v>
      </c>
    </row>
    <row r="86" spans="1:26" s="24" customFormat="1" hidden="1" outlineLevel="2" x14ac:dyDescent="0.25">
      <c r="A86" s="27"/>
      <c r="B86" s="11" t="str">
        <f>CONCATENATE("          ", "6314", " - ", "LIABILITY INSURANCE")</f>
        <v xml:space="preserve">          6314 - LIABILITY INSURANCE</v>
      </c>
      <c r="C86" s="11"/>
      <c r="D86" s="7">
        <v>161.18</v>
      </c>
      <c r="E86" s="2"/>
      <c r="F86" s="6">
        <f t="shared" si="36"/>
        <v>4.1432349055844746E-3</v>
      </c>
      <c r="G86" s="2"/>
      <c r="H86" s="7">
        <v>161.18</v>
      </c>
      <c r="I86" s="2"/>
      <c r="J86" s="6">
        <f t="shared" si="37"/>
        <v>3.0962999618869644E-3</v>
      </c>
      <c r="K86" s="2"/>
      <c r="L86" s="7">
        <f t="shared" si="38"/>
        <v>0</v>
      </c>
      <c r="M86" s="2"/>
      <c r="N86" s="6">
        <f t="shared" si="39"/>
        <v>0</v>
      </c>
      <c r="O86" s="11"/>
      <c r="P86" s="7">
        <v>967.08</v>
      </c>
      <c r="Q86" s="2"/>
      <c r="R86" s="6">
        <f t="shared" si="40"/>
        <v>6.6733330071698238E-3</v>
      </c>
      <c r="S86" s="2"/>
      <c r="T86" s="7">
        <v>967.08</v>
      </c>
      <c r="U86" s="2"/>
      <c r="V86" s="6">
        <f t="shared" si="41"/>
        <v>3.4008629529736481E-3</v>
      </c>
      <c r="W86" s="2"/>
      <c r="X86" s="7">
        <f t="shared" si="42"/>
        <v>0</v>
      </c>
      <c r="Y86" s="2"/>
      <c r="Z86" s="6">
        <f t="shared" si="43"/>
        <v>0</v>
      </c>
    </row>
    <row r="87" spans="1:26" s="25" customFormat="1" outlineLevel="1" collapsed="1" x14ac:dyDescent="0.25">
      <c r="A87" s="26"/>
      <c r="B87" s="13" t="str">
        <f>CONCATENATE("     ","Inventory Adjustment                              ")</f>
        <v xml:space="preserve">     Inventory Adjustment                              </v>
      </c>
      <c r="C87" s="13"/>
      <c r="D87" s="1">
        <f>SUM(OSRRefD22_9x_0)</f>
        <v>100</v>
      </c>
      <c r="E87" s="1"/>
      <c r="F87" s="5">
        <f t="shared" si="36"/>
        <v>2.5705639071748818E-3</v>
      </c>
      <c r="G87" s="1"/>
      <c r="H87" s="1">
        <f>SUM(OSRRefH22_9x_0)</f>
        <v>300</v>
      </c>
      <c r="I87" s="1"/>
      <c r="J87" s="5">
        <f t="shared" si="37"/>
        <v>5.7630598620554002E-3</v>
      </c>
      <c r="K87" s="1"/>
      <c r="L87" s="1">
        <f t="shared" si="38"/>
        <v>-200</v>
      </c>
      <c r="M87" s="1"/>
      <c r="N87" s="5">
        <f t="shared" si="39"/>
        <v>-0.66666666666666663</v>
      </c>
      <c r="O87" s="13"/>
      <c r="P87" s="1">
        <f>SUM(OSRRefP22_9x_0)</f>
        <v>600</v>
      </c>
      <c r="Q87" s="1"/>
      <c r="R87" s="5">
        <f t="shared" si="40"/>
        <v>4.1402984285704332E-3</v>
      </c>
      <c r="S87" s="1"/>
      <c r="T87" s="1">
        <f>SUM(OSRRefT22_9x_0)</f>
        <v>1800</v>
      </c>
      <c r="U87" s="1"/>
      <c r="V87" s="5">
        <f t="shared" si="41"/>
        <v>6.329934767912237E-3</v>
      </c>
      <c r="W87" s="1"/>
      <c r="X87" s="1">
        <f t="shared" si="42"/>
        <v>-1200</v>
      </c>
      <c r="Y87" s="1"/>
      <c r="Z87" s="5">
        <f t="shared" si="43"/>
        <v>-0.66666666666666663</v>
      </c>
    </row>
    <row r="88" spans="1:26" s="24" customFormat="1" hidden="1" outlineLevel="2" x14ac:dyDescent="0.25">
      <c r="A88" s="27"/>
      <c r="B88" s="11" t="str">
        <f>CONCATENATE("          ", "6408", " - ", "INVENTORY ADJUSTMENT")</f>
        <v xml:space="preserve">          6408 - INVENTORY ADJUSTMENT</v>
      </c>
      <c r="C88" s="11"/>
      <c r="D88" s="7">
        <v>100</v>
      </c>
      <c r="E88" s="2"/>
      <c r="F88" s="6">
        <f t="shared" si="36"/>
        <v>2.5705639071748818E-3</v>
      </c>
      <c r="G88" s="2"/>
      <c r="H88" s="7">
        <v>300</v>
      </c>
      <c r="I88" s="2"/>
      <c r="J88" s="6">
        <f t="shared" si="37"/>
        <v>5.7630598620554002E-3</v>
      </c>
      <c r="K88" s="2"/>
      <c r="L88" s="7">
        <f t="shared" si="38"/>
        <v>-200</v>
      </c>
      <c r="M88" s="2"/>
      <c r="N88" s="6">
        <f t="shared" si="39"/>
        <v>-0.66666666666666663</v>
      </c>
      <c r="O88" s="11"/>
      <c r="P88" s="7">
        <v>600</v>
      </c>
      <c r="Q88" s="2"/>
      <c r="R88" s="6">
        <f t="shared" si="40"/>
        <v>4.1402984285704332E-3</v>
      </c>
      <c r="S88" s="2"/>
      <c r="T88" s="7">
        <v>1800</v>
      </c>
      <c r="U88" s="2"/>
      <c r="V88" s="6">
        <f t="shared" si="41"/>
        <v>6.329934767912237E-3</v>
      </c>
      <c r="W88" s="2"/>
      <c r="X88" s="7">
        <f t="shared" si="42"/>
        <v>-1200</v>
      </c>
      <c r="Y88" s="2"/>
      <c r="Z88" s="6">
        <f t="shared" si="43"/>
        <v>-0.66666666666666663</v>
      </c>
    </row>
    <row r="89" spans="1:26" s="25" customFormat="1" outlineLevel="1" collapsed="1" x14ac:dyDescent="0.25">
      <c r="A89" s="26"/>
      <c r="B89" s="13" t="str">
        <f>CONCATENATE("     ","Professional Services                             ")</f>
        <v xml:space="preserve">     Professional Services                             </v>
      </c>
      <c r="C89" s="13"/>
      <c r="D89" s="1">
        <f>SUM(OSRRefD22_10x_0)</f>
        <v>0</v>
      </c>
      <c r="E89" s="1"/>
      <c r="F89" s="5">
        <f t="shared" si="36"/>
        <v>0</v>
      </c>
      <c r="G89" s="1"/>
      <c r="H89" s="1">
        <f>SUM(OSRRefH22_10x_0)</f>
        <v>0</v>
      </c>
      <c r="I89" s="1"/>
      <c r="J89" s="5">
        <f t="shared" si="37"/>
        <v>0</v>
      </c>
      <c r="K89" s="1"/>
      <c r="L89" s="1">
        <f t="shared" si="38"/>
        <v>0</v>
      </c>
      <c r="M89" s="1"/>
      <c r="N89" s="5">
        <f t="shared" si="39"/>
        <v>0</v>
      </c>
      <c r="O89" s="13"/>
      <c r="P89" s="1">
        <f>SUM(OSRRefP22_10x_0)</f>
        <v>0</v>
      </c>
      <c r="Q89" s="1"/>
      <c r="R89" s="5">
        <f t="shared" si="40"/>
        <v>0</v>
      </c>
      <c r="S89" s="1"/>
      <c r="T89" s="1">
        <f>SUM(OSRRefT22_10x_0)</f>
        <v>750</v>
      </c>
      <c r="U89" s="1"/>
      <c r="V89" s="5">
        <f t="shared" si="41"/>
        <v>2.6374728199634323E-3</v>
      </c>
      <c r="W89" s="1"/>
      <c r="X89" s="1">
        <f t="shared" si="42"/>
        <v>-750</v>
      </c>
      <c r="Y89" s="1"/>
      <c r="Z89" s="5">
        <f t="shared" si="43"/>
        <v>-1</v>
      </c>
    </row>
    <row r="90" spans="1:26" s="24" customFormat="1" hidden="1" outlineLevel="2" x14ac:dyDescent="0.25">
      <c r="A90" s="27"/>
      <c r="B90" s="11" t="str">
        <f>CONCATENATE("          ", "6336", " - ", "PROFESSIONAL SERVICES")</f>
        <v xml:space="preserve">          6336 - PROFESSIONAL SERVICES</v>
      </c>
      <c r="C90" s="11"/>
      <c r="D90" s="7"/>
      <c r="E90" s="2"/>
      <c r="F90" s="6">
        <f t="shared" si="36"/>
        <v>0</v>
      </c>
      <c r="G90" s="2"/>
      <c r="H90" s="7"/>
      <c r="I90" s="2"/>
      <c r="J90" s="6">
        <f t="shared" si="37"/>
        <v>0</v>
      </c>
      <c r="K90" s="2"/>
      <c r="L90" s="7">
        <f t="shared" si="38"/>
        <v>0</v>
      </c>
      <c r="M90" s="2"/>
      <c r="N90" s="6">
        <f t="shared" si="39"/>
        <v>0</v>
      </c>
      <c r="O90" s="11"/>
      <c r="P90" s="7"/>
      <c r="Q90" s="2"/>
      <c r="R90" s="6">
        <f t="shared" si="40"/>
        <v>0</v>
      </c>
      <c r="S90" s="2"/>
      <c r="T90" s="7">
        <v>750</v>
      </c>
      <c r="U90" s="2"/>
      <c r="V90" s="6">
        <f t="shared" si="41"/>
        <v>2.6374728199634323E-3</v>
      </c>
      <c r="W90" s="2"/>
      <c r="X90" s="7">
        <f t="shared" si="42"/>
        <v>-750</v>
      </c>
      <c r="Y90" s="2"/>
      <c r="Z90" s="6">
        <f t="shared" si="43"/>
        <v>-1</v>
      </c>
    </row>
    <row r="91" spans="1:26" s="25" customFormat="1" outlineLevel="1" collapsed="1" x14ac:dyDescent="0.25">
      <c r="A91" s="26"/>
      <c r="B91" s="13" t="str">
        <f>CONCATENATE("     ","Rent                                              ")</f>
        <v xml:space="preserve">     Rent                                              </v>
      </c>
      <c r="C91" s="13"/>
      <c r="D91" s="1">
        <f>SUM(OSRRefD22_11x_0)</f>
        <v>6900</v>
      </c>
      <c r="E91" s="1"/>
      <c r="F91" s="5">
        <f t="shared" si="36"/>
        <v>0.17736890959506685</v>
      </c>
      <c r="G91" s="1"/>
      <c r="H91" s="1">
        <f>SUM(OSRRefH22_11x_0)</f>
        <v>6900</v>
      </c>
      <c r="I91" s="1"/>
      <c r="J91" s="5">
        <f t="shared" si="37"/>
        <v>0.13255037682727419</v>
      </c>
      <c r="K91" s="1"/>
      <c r="L91" s="1">
        <f t="shared" si="38"/>
        <v>0</v>
      </c>
      <c r="M91" s="1"/>
      <c r="N91" s="5">
        <f t="shared" si="39"/>
        <v>0</v>
      </c>
      <c r="O91" s="13"/>
      <c r="P91" s="1">
        <f>SUM(OSRRefP22_11x_0)</f>
        <v>41400</v>
      </c>
      <c r="Q91" s="1"/>
      <c r="R91" s="5">
        <f t="shared" si="40"/>
        <v>0.28568059157135989</v>
      </c>
      <c r="S91" s="1"/>
      <c r="T91" s="1">
        <f>SUM(OSRRefT22_11x_0)</f>
        <v>41400</v>
      </c>
      <c r="U91" s="1"/>
      <c r="V91" s="5">
        <f t="shared" si="41"/>
        <v>0.14558849966198145</v>
      </c>
      <c r="W91" s="1"/>
      <c r="X91" s="1">
        <f t="shared" si="42"/>
        <v>0</v>
      </c>
      <c r="Y91" s="1"/>
      <c r="Z91" s="5">
        <f t="shared" si="43"/>
        <v>0</v>
      </c>
    </row>
    <row r="92" spans="1:26" s="24" customFormat="1" hidden="1" outlineLevel="2" x14ac:dyDescent="0.25">
      <c r="A92" s="27"/>
      <c r="B92" s="11" t="str">
        <f>CONCATENATE("          ", "6273", " - ", "RENT")</f>
        <v xml:space="preserve">          6273 - RENT</v>
      </c>
      <c r="C92" s="11"/>
      <c r="D92" s="7">
        <v>6900</v>
      </c>
      <c r="E92" s="2"/>
      <c r="F92" s="6">
        <f t="shared" si="36"/>
        <v>0.17736890959506685</v>
      </c>
      <c r="G92" s="2"/>
      <c r="H92" s="7">
        <v>6900</v>
      </c>
      <c r="I92" s="2"/>
      <c r="J92" s="6">
        <f t="shared" si="37"/>
        <v>0.13255037682727419</v>
      </c>
      <c r="K92" s="2"/>
      <c r="L92" s="7">
        <f t="shared" si="38"/>
        <v>0</v>
      </c>
      <c r="M92" s="2"/>
      <c r="N92" s="6">
        <f t="shared" si="39"/>
        <v>0</v>
      </c>
      <c r="O92" s="11"/>
      <c r="P92" s="7">
        <v>41400</v>
      </c>
      <c r="Q92" s="2"/>
      <c r="R92" s="6">
        <f t="shared" si="40"/>
        <v>0.28568059157135989</v>
      </c>
      <c r="S92" s="2"/>
      <c r="T92" s="7">
        <v>41400</v>
      </c>
      <c r="U92" s="2"/>
      <c r="V92" s="6">
        <f t="shared" si="41"/>
        <v>0.14558849966198145</v>
      </c>
      <c r="W92" s="2"/>
      <c r="X92" s="7">
        <f t="shared" si="42"/>
        <v>0</v>
      </c>
      <c r="Y92" s="2"/>
      <c r="Z92" s="6">
        <f t="shared" si="43"/>
        <v>0</v>
      </c>
    </row>
    <row r="93" spans="1:26" s="25" customFormat="1" outlineLevel="1" collapsed="1" x14ac:dyDescent="0.25">
      <c r="A93" s="26"/>
      <c r="B93" s="13" t="str">
        <f>CONCATENATE("     ","Repair and Maintenance                            ")</f>
        <v xml:space="preserve">     Repair and Maintenance                            </v>
      </c>
      <c r="C93" s="13"/>
      <c r="D93" s="1">
        <f>SUM(OSRRefD22_12x_0)</f>
        <v>48.23</v>
      </c>
      <c r="E93" s="1"/>
      <c r="F93" s="5">
        <f t="shared" si="36"/>
        <v>1.2397829724304454E-3</v>
      </c>
      <c r="G93" s="1"/>
      <c r="H93" s="1">
        <f>SUM(OSRRefH22_12x_0)</f>
        <v>171.46</v>
      </c>
      <c r="I93" s="1"/>
      <c r="J93" s="5">
        <f t="shared" si="37"/>
        <v>3.2937808131600632E-3</v>
      </c>
      <c r="K93" s="1"/>
      <c r="L93" s="1">
        <f t="shared" si="38"/>
        <v>-123.23000000000002</v>
      </c>
      <c r="M93" s="1"/>
      <c r="N93" s="5">
        <f t="shared" si="39"/>
        <v>-0.7187099031844163</v>
      </c>
      <c r="O93" s="13"/>
      <c r="P93" s="1">
        <f>SUM(OSRRefP22_12x_0)</f>
        <v>96.44</v>
      </c>
      <c r="Q93" s="1"/>
      <c r="R93" s="5">
        <f t="shared" si="40"/>
        <v>6.6548396741888754E-4</v>
      </c>
      <c r="S93" s="1"/>
      <c r="T93" s="1">
        <f>SUM(OSRRefT22_12x_0)</f>
        <v>275.75</v>
      </c>
      <c r="U93" s="1"/>
      <c r="V93" s="5">
        <f t="shared" si="41"/>
        <v>9.6971084013988858E-4</v>
      </c>
      <c r="W93" s="1"/>
      <c r="X93" s="1">
        <f t="shared" si="42"/>
        <v>-179.31</v>
      </c>
      <c r="Y93" s="1"/>
      <c r="Z93" s="5">
        <f t="shared" si="43"/>
        <v>-0.65026291931097013</v>
      </c>
    </row>
    <row r="94" spans="1:26" s="24" customFormat="1" hidden="1" outlineLevel="2" x14ac:dyDescent="0.25">
      <c r="A94" s="27"/>
      <c r="B94" s="11" t="str">
        <f>CONCATENATE("          ", "6373", " - ", "MAINTENANCE CONTRACTS")</f>
        <v xml:space="preserve">          6373 - MAINTENANCE CONTRACTS</v>
      </c>
      <c r="C94" s="11"/>
      <c r="D94" s="7">
        <v>48.23</v>
      </c>
      <c r="E94" s="2"/>
      <c r="F94" s="6">
        <f t="shared" si="36"/>
        <v>1.2397829724304454E-3</v>
      </c>
      <c r="G94" s="2"/>
      <c r="H94" s="7">
        <v>47.57</v>
      </c>
      <c r="I94" s="2"/>
      <c r="J94" s="6">
        <f t="shared" si="37"/>
        <v>9.1382919212658462E-4</v>
      </c>
      <c r="K94" s="2"/>
      <c r="L94" s="7">
        <f t="shared" si="38"/>
        <v>0.65999999999999659</v>
      </c>
      <c r="M94" s="2"/>
      <c r="N94" s="6">
        <f t="shared" si="39"/>
        <v>1.3874290519234739E-2</v>
      </c>
      <c r="O94" s="11"/>
      <c r="P94" s="7">
        <v>96.44</v>
      </c>
      <c r="Q94" s="2"/>
      <c r="R94" s="6">
        <f t="shared" si="40"/>
        <v>6.6548396741888754E-4</v>
      </c>
      <c r="S94" s="2"/>
      <c r="T94" s="7">
        <v>93.22</v>
      </c>
      <c r="U94" s="2"/>
      <c r="V94" s="6">
        <f t="shared" si="41"/>
        <v>3.2782028836932152E-4</v>
      </c>
      <c r="W94" s="2"/>
      <c r="X94" s="7">
        <f t="shared" si="42"/>
        <v>3.2199999999999989</v>
      </c>
      <c r="Y94" s="2"/>
      <c r="Z94" s="6">
        <f t="shared" si="43"/>
        <v>3.4541943788886496E-2</v>
      </c>
    </row>
    <row r="95" spans="1:26" s="24" customFormat="1" hidden="1" outlineLevel="2" x14ac:dyDescent="0.25">
      <c r="A95" s="27"/>
      <c r="B95" s="11" t="str">
        <f>CONCATENATE("          ", "6375", " - ", "OUTSIDE REPAIRS &amp; MAINTENANCE")</f>
        <v xml:space="preserve">          6375 - OUTSIDE REPAIRS &amp; MAINTENANCE</v>
      </c>
      <c r="C95" s="11"/>
      <c r="D95" s="7"/>
      <c r="E95" s="2"/>
      <c r="F95" s="6">
        <f t="shared" si="36"/>
        <v>0</v>
      </c>
      <c r="G95" s="2"/>
      <c r="H95" s="7">
        <v>123.89</v>
      </c>
      <c r="I95" s="2"/>
      <c r="J95" s="6">
        <f t="shared" si="37"/>
        <v>2.3799516210334785E-3</v>
      </c>
      <c r="K95" s="2"/>
      <c r="L95" s="7">
        <f t="shared" si="38"/>
        <v>-123.89</v>
      </c>
      <c r="M95" s="2"/>
      <c r="N95" s="6">
        <f t="shared" si="39"/>
        <v>-1</v>
      </c>
      <c r="O95" s="11"/>
      <c r="P95" s="7"/>
      <c r="Q95" s="2"/>
      <c r="R95" s="6">
        <f t="shared" si="40"/>
        <v>0</v>
      </c>
      <c r="S95" s="2"/>
      <c r="T95" s="7">
        <v>182.53</v>
      </c>
      <c r="U95" s="2"/>
      <c r="V95" s="6">
        <f t="shared" si="41"/>
        <v>6.4189055177056706E-4</v>
      </c>
      <c r="W95" s="2"/>
      <c r="X95" s="7">
        <f t="shared" si="42"/>
        <v>-182.53</v>
      </c>
      <c r="Y95" s="2"/>
      <c r="Z95" s="6">
        <f t="shared" si="43"/>
        <v>-1</v>
      </c>
    </row>
    <row r="96" spans="1:26" s="25" customFormat="1" outlineLevel="1" collapsed="1" x14ac:dyDescent="0.25">
      <c r="A96" s="26"/>
      <c r="B96" s="13" t="str">
        <f>CONCATENATE("     ","Services                                          ")</f>
        <v xml:space="preserve">     Services                                          </v>
      </c>
      <c r="C96" s="13"/>
      <c r="D96" s="1">
        <f>SUM(OSRRefD22_13x_0)</f>
        <v>224.41</v>
      </c>
      <c r="E96" s="1"/>
      <c r="F96" s="5">
        <f t="shared" ref="F96:F99" si="44">IF(D$12=0,0,D96/D$12)</f>
        <v>5.7686024640911521E-3</v>
      </c>
      <c r="G96" s="1"/>
      <c r="H96" s="1">
        <f>SUM(OSRRefH22_13x_0)</f>
        <v>181.82</v>
      </c>
      <c r="I96" s="1"/>
      <c r="J96" s="5">
        <f t="shared" ref="J96:J99" si="45">IF(H$12=0,0,H96/H$12)</f>
        <v>3.492798480396376E-3</v>
      </c>
      <c r="K96" s="1"/>
      <c r="L96" s="1">
        <f t="shared" ref="L96:L99" si="46">+D96-H96</f>
        <v>42.59</v>
      </c>
      <c r="M96" s="1"/>
      <c r="N96" s="5">
        <f t="shared" ref="N96:N99" si="47">IF(H96=0,0,L96/H96)</f>
        <v>0.2342426575734243</v>
      </c>
      <c r="O96" s="13"/>
      <c r="P96" s="1">
        <f>SUM(OSRRefP22_13x_0)</f>
        <v>192.82000000000005</v>
      </c>
      <c r="Q96" s="1"/>
      <c r="R96" s="5">
        <f t="shared" ref="R96:R99" si="48">IF(P$12=0,0,P96/P$12)</f>
        <v>1.3305539049949186E-3</v>
      </c>
      <c r="S96" s="1"/>
      <c r="T96" s="1">
        <f>SUM(OSRRefT22_13x_0)</f>
        <v>2002.28</v>
      </c>
      <c r="U96" s="1"/>
      <c r="V96" s="5">
        <f t="shared" ref="V96:V99" si="49">IF(T$12=0,0,T96/T$12)</f>
        <v>7.0412787706085082E-3</v>
      </c>
      <c r="W96" s="1"/>
      <c r="X96" s="1">
        <f t="shared" ref="X96:X99" si="50">+P96-T96</f>
        <v>-1809.46</v>
      </c>
      <c r="Y96" s="1"/>
      <c r="Z96" s="5">
        <f t="shared" ref="Z96:Z99" si="51">IF(T96=0,0,X96/T96)</f>
        <v>-0.90369978224823699</v>
      </c>
    </row>
    <row r="97" spans="1:26" s="24" customFormat="1" hidden="1" outlineLevel="2" x14ac:dyDescent="0.25">
      <c r="A97" s="27"/>
      <c r="B97" s="11" t="str">
        <f>CONCATENATE("          ", "6283", " - ", "PLANT SERVICE")</f>
        <v xml:space="preserve">          6283 - PLANT SERVICE</v>
      </c>
      <c r="C97" s="11"/>
      <c r="D97" s="7"/>
      <c r="E97" s="2"/>
      <c r="F97" s="6">
        <f t="shared" si="44"/>
        <v>0</v>
      </c>
      <c r="G97" s="2"/>
      <c r="H97" s="7"/>
      <c r="I97" s="2"/>
      <c r="J97" s="6">
        <f t="shared" si="45"/>
        <v>0</v>
      </c>
      <c r="K97" s="2"/>
      <c r="L97" s="7">
        <f t="shared" si="46"/>
        <v>0</v>
      </c>
      <c r="M97" s="2"/>
      <c r="N97" s="6">
        <f t="shared" si="47"/>
        <v>0</v>
      </c>
      <c r="O97" s="11"/>
      <c r="P97" s="7">
        <v>41.31</v>
      </c>
      <c r="Q97" s="2"/>
      <c r="R97" s="6">
        <f t="shared" si="48"/>
        <v>2.8505954680707433E-4</v>
      </c>
      <c r="S97" s="2"/>
      <c r="T97" s="7">
        <v>178.65</v>
      </c>
      <c r="U97" s="2"/>
      <c r="V97" s="6">
        <f t="shared" si="49"/>
        <v>6.2824602571528955E-4</v>
      </c>
      <c r="W97" s="2"/>
      <c r="X97" s="7">
        <f t="shared" si="50"/>
        <v>-137.34</v>
      </c>
      <c r="Y97" s="2"/>
      <c r="Z97" s="6">
        <f t="shared" si="51"/>
        <v>-0.7687657430730479</v>
      </c>
    </row>
    <row r="98" spans="1:26" s="24" customFormat="1" hidden="1" outlineLevel="2" x14ac:dyDescent="0.25">
      <c r="A98" s="27"/>
      <c r="B98" s="11" t="str">
        <f>CONCATENATE("          ", "6284", " - ", "TRASH REMOVAL EXPENSE")</f>
        <v xml:space="preserve">          6284 - TRASH REMOVAL EXPENSE</v>
      </c>
      <c r="C98" s="11"/>
      <c r="D98" s="7">
        <v>285.14</v>
      </c>
      <c r="E98" s="2"/>
      <c r="F98" s="6">
        <f t="shared" si="44"/>
        <v>7.3297059249184575E-3</v>
      </c>
      <c r="G98" s="2"/>
      <c r="H98" s="7">
        <v>134.82</v>
      </c>
      <c r="I98" s="2"/>
      <c r="J98" s="6">
        <f t="shared" si="45"/>
        <v>2.5899191020076965E-3</v>
      </c>
      <c r="K98" s="2"/>
      <c r="L98" s="7">
        <f t="shared" si="46"/>
        <v>150.32</v>
      </c>
      <c r="M98" s="2"/>
      <c r="N98" s="6">
        <f t="shared" si="47"/>
        <v>1.1149681056223113</v>
      </c>
      <c r="O98" s="11"/>
      <c r="P98" s="7">
        <v>870.44</v>
      </c>
      <c r="Q98" s="2"/>
      <c r="R98" s="6">
        <f t="shared" si="48"/>
        <v>6.006468940274747E-3</v>
      </c>
      <c r="S98" s="2"/>
      <c r="T98" s="7">
        <v>808.92</v>
      </c>
      <c r="U98" s="2"/>
      <c r="V98" s="6">
        <f t="shared" si="49"/>
        <v>2.8446726846997595E-3</v>
      </c>
      <c r="W98" s="2"/>
      <c r="X98" s="7">
        <f t="shared" si="50"/>
        <v>61.520000000000095</v>
      </c>
      <c r="Y98" s="2"/>
      <c r="Z98" s="6">
        <f t="shared" si="51"/>
        <v>7.6052019977253749E-2</v>
      </c>
    </row>
    <row r="99" spans="1:26" s="24" customFormat="1" hidden="1" outlineLevel="2" x14ac:dyDescent="0.25">
      <c r="A99" s="27"/>
      <c r="B99" s="11" t="str">
        <f>CONCATENATE("          ", "6285", " - ", "JANITORIAL SERVICES")</f>
        <v xml:space="preserve">          6285 - JANITORIAL SERVICES</v>
      </c>
      <c r="C99" s="11"/>
      <c r="D99" s="7">
        <v>-60.73</v>
      </c>
      <c r="E99" s="2"/>
      <c r="F99" s="6">
        <f t="shared" si="44"/>
        <v>-1.5611034608273057E-3</v>
      </c>
      <c r="G99" s="2"/>
      <c r="H99" s="7">
        <v>47</v>
      </c>
      <c r="I99" s="2"/>
      <c r="J99" s="6">
        <f t="shared" si="45"/>
        <v>9.0287937838867932E-4</v>
      </c>
      <c r="K99" s="2"/>
      <c r="L99" s="7">
        <f t="shared" si="46"/>
        <v>-107.72999999999999</v>
      </c>
      <c r="M99" s="2"/>
      <c r="N99" s="6">
        <f t="shared" si="47"/>
        <v>-2.2921276595744677</v>
      </c>
      <c r="O99" s="11"/>
      <c r="P99" s="7">
        <v>-718.93</v>
      </c>
      <c r="Q99" s="2"/>
      <c r="R99" s="6">
        <f t="shared" si="48"/>
        <v>-4.9609745820869021E-3</v>
      </c>
      <c r="S99" s="2"/>
      <c r="T99" s="7">
        <v>1014.71</v>
      </c>
      <c r="U99" s="2"/>
      <c r="V99" s="6">
        <f t="shared" si="49"/>
        <v>3.5683600601934592E-3</v>
      </c>
      <c r="W99" s="2"/>
      <c r="X99" s="7">
        <f t="shared" si="50"/>
        <v>-1733.6399999999999</v>
      </c>
      <c r="Y99" s="2"/>
      <c r="Z99" s="6">
        <f t="shared" si="51"/>
        <v>-1.7085078495333641</v>
      </c>
    </row>
    <row r="100" spans="1:26" s="25" customFormat="1" outlineLevel="1" collapsed="1" x14ac:dyDescent="0.25">
      <c r="A100" s="26"/>
      <c r="B100" s="13" t="str">
        <f>CONCATENATE("     ","Subscriptions &amp; Dues                              ")</f>
        <v xml:space="preserve">     Subscriptions &amp; Dues                              </v>
      </c>
      <c r="C100" s="13"/>
      <c r="D100" s="1">
        <f>SUM(OSRRefD22_14x_0)</f>
        <v>-60.73</v>
      </c>
      <c r="E100" s="1"/>
      <c r="F100" s="5">
        <f t="shared" ref="F100:F102" si="52">IF(D$12=0,0,D100/D$12)</f>
        <v>-1.5611034608273057E-3</v>
      </c>
      <c r="G100" s="1"/>
      <c r="H100" s="1">
        <f>SUM(OSRRefH22_14x_0)</f>
        <v>0</v>
      </c>
      <c r="I100" s="1"/>
      <c r="J100" s="5">
        <f t="shared" ref="J100:J102" si="53">IF(H$12=0,0,H100/H$12)</f>
        <v>0</v>
      </c>
      <c r="K100" s="1"/>
      <c r="L100" s="1">
        <f t="shared" ref="L100:L102" si="54">+D100-H100</f>
        <v>-60.73</v>
      </c>
      <c r="M100" s="1"/>
      <c r="N100" s="5">
        <f t="shared" ref="N100:N102" si="55">IF(H100=0,0,L100/H100)</f>
        <v>0</v>
      </c>
      <c r="O100" s="13"/>
      <c r="P100" s="1">
        <f>SUM(OSRRefP22_14x_0)</f>
        <v>89.27000000000001</v>
      </c>
      <c r="Q100" s="1"/>
      <c r="R100" s="5">
        <f t="shared" ref="R100:R102" si="56">IF(P$12=0,0,P100/P$12)</f>
        <v>6.1600740119747098E-4</v>
      </c>
      <c r="S100" s="1"/>
      <c r="T100" s="1">
        <f>SUM(OSRRefT22_14x_0)</f>
        <v>88.42</v>
      </c>
      <c r="U100" s="1"/>
      <c r="V100" s="5">
        <f t="shared" ref="V100:V102" si="57">IF(T$12=0,0,T100/T$12)</f>
        <v>3.1094046232155555E-4</v>
      </c>
      <c r="W100" s="1"/>
      <c r="X100" s="1">
        <f t="shared" ref="X100:X102" si="58">+P100-T100</f>
        <v>0.85000000000000853</v>
      </c>
      <c r="Y100" s="1"/>
      <c r="Z100" s="5">
        <f t="shared" ref="Z100:Z102" si="59">IF(T100=0,0,X100/T100)</f>
        <v>9.6132096810677276E-3</v>
      </c>
    </row>
    <row r="101" spans="1:26" s="24" customFormat="1" hidden="1" outlineLevel="2" x14ac:dyDescent="0.25">
      <c r="A101" s="27"/>
      <c r="B101" s="11" t="str">
        <f>CONCATENATE("          ", "6258", " - ", "MEMBERSHIP DUES")</f>
        <v xml:space="preserve">          6258 - MEMBERSHIP DUES</v>
      </c>
      <c r="C101" s="11"/>
      <c r="D101" s="7">
        <v>-60.73</v>
      </c>
      <c r="E101" s="2"/>
      <c r="F101" s="6">
        <f t="shared" si="52"/>
        <v>-1.5611034608273057E-3</v>
      </c>
      <c r="G101" s="2"/>
      <c r="H101" s="7"/>
      <c r="I101" s="2"/>
      <c r="J101" s="6">
        <f t="shared" si="53"/>
        <v>0</v>
      </c>
      <c r="K101" s="2"/>
      <c r="L101" s="7">
        <f t="shared" si="54"/>
        <v>-60.73</v>
      </c>
      <c r="M101" s="2"/>
      <c r="N101" s="6">
        <f t="shared" si="55"/>
        <v>0</v>
      </c>
      <c r="O101" s="11"/>
      <c r="P101" s="7">
        <v>-60.73</v>
      </c>
      <c r="Q101" s="2"/>
      <c r="R101" s="6">
        <f t="shared" si="56"/>
        <v>-4.1906720594513732E-4</v>
      </c>
      <c r="S101" s="2"/>
      <c r="T101" s="7"/>
      <c r="U101" s="2"/>
      <c r="V101" s="6">
        <f t="shared" si="57"/>
        <v>0</v>
      </c>
      <c r="W101" s="2"/>
      <c r="X101" s="7">
        <f t="shared" si="58"/>
        <v>-60.73</v>
      </c>
      <c r="Y101" s="2"/>
      <c r="Z101" s="6">
        <f t="shared" si="59"/>
        <v>0</v>
      </c>
    </row>
    <row r="102" spans="1:26" s="24" customFormat="1" hidden="1" outlineLevel="2" x14ac:dyDescent="0.25">
      <c r="A102" s="27"/>
      <c r="B102" s="11" t="str">
        <f>CONCATENATE("          ", "6275", " - ", "SUBSCRIPTIONS")</f>
        <v xml:space="preserve">          6275 - SUBSCRIPTIONS</v>
      </c>
      <c r="C102" s="11"/>
      <c r="D102" s="7"/>
      <c r="E102" s="2"/>
      <c r="F102" s="6">
        <f t="shared" si="52"/>
        <v>0</v>
      </c>
      <c r="G102" s="2"/>
      <c r="H102" s="7"/>
      <c r="I102" s="2"/>
      <c r="J102" s="6">
        <f t="shared" si="53"/>
        <v>0</v>
      </c>
      <c r="K102" s="2"/>
      <c r="L102" s="7">
        <f t="shared" si="54"/>
        <v>0</v>
      </c>
      <c r="M102" s="2"/>
      <c r="N102" s="6">
        <f t="shared" si="55"/>
        <v>0</v>
      </c>
      <c r="O102" s="11"/>
      <c r="P102" s="7">
        <v>150</v>
      </c>
      <c r="Q102" s="2"/>
      <c r="R102" s="6">
        <f t="shared" si="56"/>
        <v>1.0350746071426083E-3</v>
      </c>
      <c r="S102" s="2"/>
      <c r="T102" s="7">
        <v>88.42</v>
      </c>
      <c r="U102" s="2"/>
      <c r="V102" s="6">
        <f t="shared" si="57"/>
        <v>3.1094046232155555E-4</v>
      </c>
      <c r="W102" s="2"/>
      <c r="X102" s="7">
        <f t="shared" si="58"/>
        <v>61.58</v>
      </c>
      <c r="Y102" s="2"/>
      <c r="Z102" s="6">
        <f t="shared" si="59"/>
        <v>0.69644876724722915</v>
      </c>
    </row>
    <row r="103" spans="1:26" s="25" customFormat="1" outlineLevel="1" collapsed="1" x14ac:dyDescent="0.25">
      <c r="A103" s="26"/>
      <c r="B103" s="13" t="str">
        <f>CONCATENATE("     ","Supplies                                          ")</f>
        <v xml:space="preserve">     Supplies                                          </v>
      </c>
      <c r="C103" s="13"/>
      <c r="D103" s="1">
        <f>SUM(OSRRefD22_15x_0)</f>
        <v>10.94</v>
      </c>
      <c r="E103" s="1"/>
      <c r="F103" s="5">
        <f t="shared" ref="F103:F107" si="60">IF(D$12=0,0,D103/D$12)</f>
        <v>2.8121969144493205E-4</v>
      </c>
      <c r="G103" s="1"/>
      <c r="H103" s="1">
        <f>SUM(OSRRefH22_15x_0)</f>
        <v>645.46</v>
      </c>
      <c r="I103" s="1"/>
      <c r="J103" s="5">
        <f t="shared" ref="J103:J107" si="61">IF(H$12=0,0,H103/H$12)</f>
        <v>1.2399415395207596E-2</v>
      </c>
      <c r="K103" s="1"/>
      <c r="L103" s="1">
        <f t="shared" ref="L103:L107" si="62">+D103-H103</f>
        <v>-634.52</v>
      </c>
      <c r="M103" s="1"/>
      <c r="N103" s="5">
        <f t="shared" ref="N103:N107" si="63">IF(H103=0,0,L103/H103)</f>
        <v>-0.98305084745762705</v>
      </c>
      <c r="O103" s="13"/>
      <c r="P103" s="1">
        <f>SUM(OSRRefP22_15x_0)</f>
        <v>553.20000000000005</v>
      </c>
      <c r="Q103" s="1"/>
      <c r="R103" s="5">
        <f t="shared" ref="R103:R107" si="64">IF(P$12=0,0,P103/P$12)</f>
        <v>3.8173551511419394E-3</v>
      </c>
      <c r="S103" s="1"/>
      <c r="T103" s="1">
        <f>SUM(OSRRefT22_15x_0)</f>
        <v>2103.59</v>
      </c>
      <c r="U103" s="1"/>
      <c r="V103" s="5">
        <f t="shared" ref="V103:V107" si="65">IF(T$12=0,0,T103/T$12)</f>
        <v>7.3975485991291685E-3</v>
      </c>
      <c r="W103" s="1"/>
      <c r="X103" s="1">
        <f t="shared" ref="X103:X107" si="66">+P103-T103</f>
        <v>-1550.39</v>
      </c>
      <c r="Y103" s="1"/>
      <c r="Z103" s="5">
        <f t="shared" ref="Z103:Z107" si="67">IF(T103=0,0,X103/T103)</f>
        <v>-0.73702099743771365</v>
      </c>
    </row>
    <row r="104" spans="1:26" s="24" customFormat="1" hidden="1" outlineLevel="2" x14ac:dyDescent="0.25">
      <c r="A104" s="27"/>
      <c r="B104" s="11" t="str">
        <f>CONCATENATE("          ", "6235", " - ", "COVID-19 EXPENSES")</f>
        <v xml:space="preserve">          6235 - COVID-19 EXPENSES</v>
      </c>
      <c r="C104" s="11"/>
      <c r="D104" s="7"/>
      <c r="E104" s="2"/>
      <c r="F104" s="6">
        <f t="shared" si="60"/>
        <v>0</v>
      </c>
      <c r="G104" s="2"/>
      <c r="H104" s="7"/>
      <c r="I104" s="2"/>
      <c r="J104" s="6">
        <f t="shared" si="61"/>
        <v>0</v>
      </c>
      <c r="K104" s="2"/>
      <c r="L104" s="7">
        <f t="shared" si="62"/>
        <v>0</v>
      </c>
      <c r="M104" s="2"/>
      <c r="N104" s="6">
        <f t="shared" si="63"/>
        <v>0</v>
      </c>
      <c r="O104" s="11"/>
      <c r="P104" s="7">
        <v>265.7</v>
      </c>
      <c r="Q104" s="2"/>
      <c r="R104" s="6">
        <f t="shared" si="64"/>
        <v>1.8334621541186067E-3</v>
      </c>
      <c r="S104" s="2"/>
      <c r="T104" s="7"/>
      <c r="U104" s="2"/>
      <c r="V104" s="6">
        <f t="shared" si="65"/>
        <v>0</v>
      </c>
      <c r="W104" s="2"/>
      <c r="X104" s="7">
        <f t="shared" si="66"/>
        <v>265.7</v>
      </c>
      <c r="Y104" s="2"/>
      <c r="Z104" s="6">
        <f t="shared" si="67"/>
        <v>0</v>
      </c>
    </row>
    <row r="105" spans="1:26" s="24" customFormat="1" hidden="1" outlineLevel="2" x14ac:dyDescent="0.25">
      <c r="A105" s="27"/>
      <c r="B105" s="11" t="str">
        <f>CONCATENATE("          ", "6237", " - ", "JANITORIAL SUPPLIES")</f>
        <v xml:space="preserve">          6237 - JANITORIAL SUPPLIES</v>
      </c>
      <c r="C105" s="11"/>
      <c r="D105" s="7"/>
      <c r="E105" s="2"/>
      <c r="F105" s="6">
        <f t="shared" si="60"/>
        <v>0</v>
      </c>
      <c r="G105" s="2"/>
      <c r="H105" s="7"/>
      <c r="I105" s="2"/>
      <c r="J105" s="6">
        <f t="shared" si="61"/>
        <v>0</v>
      </c>
      <c r="K105" s="2"/>
      <c r="L105" s="7">
        <f t="shared" si="62"/>
        <v>0</v>
      </c>
      <c r="M105" s="2"/>
      <c r="N105" s="6">
        <f t="shared" si="63"/>
        <v>0</v>
      </c>
      <c r="O105" s="11"/>
      <c r="P105" s="7">
        <v>191.74</v>
      </c>
      <c r="Q105" s="2"/>
      <c r="R105" s="6">
        <f t="shared" si="64"/>
        <v>1.3231013678234914E-3</v>
      </c>
      <c r="S105" s="2"/>
      <c r="T105" s="7">
        <v>287.72000000000003</v>
      </c>
      <c r="U105" s="2"/>
      <c r="V105" s="6">
        <f t="shared" si="65"/>
        <v>1.0118049063465051E-3</v>
      </c>
      <c r="W105" s="2"/>
      <c r="X105" s="7">
        <f t="shared" si="66"/>
        <v>-95.980000000000018</v>
      </c>
      <c r="Y105" s="2"/>
      <c r="Z105" s="6">
        <f t="shared" si="67"/>
        <v>-0.33358821076046158</v>
      </c>
    </row>
    <row r="106" spans="1:26" s="24" customFormat="1" hidden="1" outlineLevel="2" x14ac:dyDescent="0.25">
      <c r="A106" s="27"/>
      <c r="B106" s="11" t="str">
        <f>CONCATENATE("          ", "6241", " - ", "OFFICE EXPENSE")</f>
        <v xml:space="preserve">          6241 - OFFICE EXPENSE</v>
      </c>
      <c r="C106" s="11"/>
      <c r="D106" s="7">
        <v>10.94</v>
      </c>
      <c r="E106" s="2"/>
      <c r="F106" s="6">
        <f t="shared" si="60"/>
        <v>2.8121969144493205E-4</v>
      </c>
      <c r="G106" s="2"/>
      <c r="H106" s="7">
        <v>645.46</v>
      </c>
      <c r="I106" s="2"/>
      <c r="J106" s="6">
        <f t="shared" si="61"/>
        <v>1.2399415395207596E-2</v>
      </c>
      <c r="K106" s="2"/>
      <c r="L106" s="7">
        <f t="shared" si="62"/>
        <v>-634.52</v>
      </c>
      <c r="M106" s="2"/>
      <c r="N106" s="6">
        <f t="shared" si="63"/>
        <v>-0.98305084745762705</v>
      </c>
      <c r="O106" s="11"/>
      <c r="P106" s="7">
        <v>95.76</v>
      </c>
      <c r="Q106" s="2"/>
      <c r="R106" s="6">
        <f t="shared" si="64"/>
        <v>6.6079162919984119E-4</v>
      </c>
      <c r="S106" s="2"/>
      <c r="T106" s="7">
        <v>1795.75</v>
      </c>
      <c r="U106" s="2"/>
      <c r="V106" s="6">
        <f t="shared" si="65"/>
        <v>6.3149890885991107E-3</v>
      </c>
      <c r="W106" s="2"/>
      <c r="X106" s="7">
        <f t="shared" si="66"/>
        <v>-1699.99</v>
      </c>
      <c r="Y106" s="2"/>
      <c r="Z106" s="6">
        <f t="shared" si="67"/>
        <v>-0.9466740916051789</v>
      </c>
    </row>
    <row r="107" spans="1:26" s="24" customFormat="1" hidden="1" outlineLevel="2" x14ac:dyDescent="0.25">
      <c r="A107" s="27"/>
      <c r="B107" s="11" t="str">
        <f>CONCATENATE("          ", "6247", " - ", "STORE SUPPLIES")</f>
        <v xml:space="preserve">          6247 - STORE SUPPLIES</v>
      </c>
      <c r="C107" s="11"/>
      <c r="D107" s="7"/>
      <c r="E107" s="2"/>
      <c r="F107" s="6">
        <f t="shared" si="60"/>
        <v>0</v>
      </c>
      <c r="G107" s="2"/>
      <c r="H107" s="7"/>
      <c r="I107" s="2"/>
      <c r="J107" s="6">
        <f t="shared" si="61"/>
        <v>0</v>
      </c>
      <c r="K107" s="2"/>
      <c r="L107" s="7">
        <f t="shared" si="62"/>
        <v>0</v>
      </c>
      <c r="M107" s="2"/>
      <c r="N107" s="6">
        <f t="shared" si="63"/>
        <v>0</v>
      </c>
      <c r="O107" s="11"/>
      <c r="P107" s="7"/>
      <c r="Q107" s="2"/>
      <c r="R107" s="6">
        <f t="shared" si="64"/>
        <v>0</v>
      </c>
      <c r="S107" s="2"/>
      <c r="T107" s="7">
        <v>20.12</v>
      </c>
      <c r="U107" s="2"/>
      <c r="V107" s="6">
        <f t="shared" si="65"/>
        <v>7.0754604183552344E-5</v>
      </c>
      <c r="W107" s="2"/>
      <c r="X107" s="7">
        <f t="shared" si="66"/>
        <v>-20.12</v>
      </c>
      <c r="Y107" s="2"/>
      <c r="Z107" s="6">
        <f t="shared" si="67"/>
        <v>-1</v>
      </c>
    </row>
    <row r="108" spans="1:26" s="25" customFormat="1" outlineLevel="1" collapsed="1" x14ac:dyDescent="0.25">
      <c r="A108" s="26"/>
      <c r="B108" s="13" t="str">
        <f>CONCATENATE("     ","Telephone/Data Lines                              ")</f>
        <v xml:space="preserve">     Telephone/Data Lines                              </v>
      </c>
      <c r="C108" s="13"/>
      <c r="D108" s="1">
        <f>SUM(OSRRefD22_16x_0)</f>
        <v>431.48</v>
      </c>
      <c r="E108" s="1"/>
      <c r="F108" s="5">
        <f t="shared" ref="F108:F113" si="68">IF(D$12=0,0,D108/D$12)</f>
        <v>1.109146914667818E-2</v>
      </c>
      <c r="G108" s="1"/>
      <c r="H108" s="1">
        <f>SUM(OSRRefH22_16x_0)</f>
        <v>259.85000000000002</v>
      </c>
      <c r="I108" s="1"/>
      <c r="J108" s="5">
        <f t="shared" ref="J108:J113" si="69">IF(H$12=0,0,H108/H$12)</f>
        <v>4.9917703505169856E-3</v>
      </c>
      <c r="K108" s="1"/>
      <c r="L108" s="1">
        <f t="shared" ref="L108:L113" si="70">+D108-H108</f>
        <v>171.63</v>
      </c>
      <c r="M108" s="1"/>
      <c r="N108" s="5">
        <f t="shared" ref="N108:N113" si="71">IF(H108=0,0,L108/H108)</f>
        <v>0.66049644025399257</v>
      </c>
      <c r="O108" s="13"/>
      <c r="P108" s="1">
        <f>SUM(OSRRefP22_16x_0)</f>
        <v>2065.7199999999998</v>
      </c>
      <c r="Q108" s="1"/>
      <c r="R108" s="5">
        <f t="shared" ref="R108:R113" si="72">IF(P$12=0,0,P108/P$12)</f>
        <v>1.4254495449777523E-2</v>
      </c>
      <c r="S108" s="1"/>
      <c r="T108" s="1">
        <f>SUM(OSRRefT22_16x_0)</f>
        <v>1745.78</v>
      </c>
      <c r="U108" s="1"/>
      <c r="V108" s="5">
        <f t="shared" ref="V108:V113" si="73">IF(T$12=0,0,T108/T$12)</f>
        <v>6.1392630661810136E-3</v>
      </c>
      <c r="W108" s="1"/>
      <c r="X108" s="1">
        <f t="shared" ref="X108:X113" si="74">+P108-T108</f>
        <v>319.93999999999983</v>
      </c>
      <c r="Y108" s="1"/>
      <c r="Z108" s="5">
        <f t="shared" ref="Z108:Z113" si="75">IF(T108=0,0,X108/T108)</f>
        <v>0.1832647870865744</v>
      </c>
    </row>
    <row r="109" spans="1:26" s="24" customFormat="1" hidden="1" outlineLevel="2" x14ac:dyDescent="0.25">
      <c r="A109" s="27"/>
      <c r="B109" s="11" t="str">
        <f>CONCATENATE("          ", "6309", " - ", "TELEPHONE")</f>
        <v xml:space="preserve">          6309 - TELEPHONE</v>
      </c>
      <c r="C109" s="11"/>
      <c r="D109" s="7">
        <v>431.48</v>
      </c>
      <c r="E109" s="2"/>
      <c r="F109" s="6">
        <f t="shared" si="68"/>
        <v>1.109146914667818E-2</v>
      </c>
      <c r="G109" s="2"/>
      <c r="H109" s="7">
        <v>259.85000000000002</v>
      </c>
      <c r="I109" s="2"/>
      <c r="J109" s="6">
        <f t="shared" si="69"/>
        <v>4.9917703505169856E-3</v>
      </c>
      <c r="K109" s="2"/>
      <c r="L109" s="7">
        <f t="shared" si="70"/>
        <v>171.63</v>
      </c>
      <c r="M109" s="2"/>
      <c r="N109" s="6">
        <f t="shared" si="71"/>
        <v>0.66049644025399257</v>
      </c>
      <c r="O109" s="11"/>
      <c r="P109" s="7">
        <v>2065.7199999999998</v>
      </c>
      <c r="Q109" s="2"/>
      <c r="R109" s="6">
        <f t="shared" si="72"/>
        <v>1.4254495449777523E-2</v>
      </c>
      <c r="S109" s="2"/>
      <c r="T109" s="7">
        <v>1745.78</v>
      </c>
      <c r="U109" s="2"/>
      <c r="V109" s="6">
        <f t="shared" si="73"/>
        <v>6.1392630661810136E-3</v>
      </c>
      <c r="W109" s="2"/>
      <c r="X109" s="7">
        <f t="shared" si="74"/>
        <v>319.93999999999983</v>
      </c>
      <c r="Y109" s="2"/>
      <c r="Z109" s="6">
        <f t="shared" si="75"/>
        <v>0.1832647870865744</v>
      </c>
    </row>
    <row r="110" spans="1:26" s="25" customFormat="1" outlineLevel="1" collapsed="1" x14ac:dyDescent="0.25">
      <c r="A110" s="26"/>
      <c r="B110" s="13" t="str">
        <f>CONCATENATE("     ","Travel                                            ")</f>
        <v xml:space="preserve">     Travel                                            </v>
      </c>
      <c r="C110" s="13"/>
      <c r="D110" s="1">
        <f>SUM(OSRRefD22_17x_0)</f>
        <v>0</v>
      </c>
      <c r="E110" s="1"/>
      <c r="F110" s="5">
        <f t="shared" si="68"/>
        <v>0</v>
      </c>
      <c r="G110" s="1"/>
      <c r="H110" s="1">
        <f>SUM(OSRRefH22_17x_0)</f>
        <v>109.48</v>
      </c>
      <c r="I110" s="1"/>
      <c r="J110" s="5">
        <f t="shared" si="69"/>
        <v>2.1031326456594172E-3</v>
      </c>
      <c r="K110" s="1"/>
      <c r="L110" s="1">
        <f t="shared" si="70"/>
        <v>-109.48</v>
      </c>
      <c r="M110" s="1"/>
      <c r="N110" s="5">
        <f t="shared" si="71"/>
        <v>-1</v>
      </c>
      <c r="O110" s="13"/>
      <c r="P110" s="1">
        <f>SUM(OSRRefP22_17x_0)</f>
        <v>321.88</v>
      </c>
      <c r="Q110" s="1"/>
      <c r="R110" s="5">
        <f t="shared" si="72"/>
        <v>2.2211320969804183E-3</v>
      </c>
      <c r="S110" s="1"/>
      <c r="T110" s="1">
        <f>SUM(OSRRefT22_17x_0)</f>
        <v>590.47</v>
      </c>
      <c r="U110" s="1"/>
      <c r="V110" s="5">
        <f t="shared" si="73"/>
        <v>2.0764647680050772E-3</v>
      </c>
      <c r="W110" s="1"/>
      <c r="X110" s="1">
        <f t="shared" si="74"/>
        <v>-268.59000000000003</v>
      </c>
      <c r="Y110" s="1"/>
      <c r="Z110" s="5">
        <f t="shared" si="75"/>
        <v>-0.45487493014039665</v>
      </c>
    </row>
    <row r="111" spans="1:26" s="24" customFormat="1" hidden="1" outlineLevel="2" x14ac:dyDescent="0.25">
      <c r="A111" s="27"/>
      <c r="B111" s="11" t="str">
        <f>CONCATENATE("          ", "6294", " - ", "TRAVEL OPERATIONAL")</f>
        <v xml:space="preserve">          6294 - TRAVEL OPERATIONAL</v>
      </c>
      <c r="C111" s="11"/>
      <c r="D111" s="7"/>
      <c r="E111" s="2"/>
      <c r="F111" s="6">
        <f t="shared" si="68"/>
        <v>0</v>
      </c>
      <c r="G111" s="2"/>
      <c r="H111" s="7">
        <v>109.48</v>
      </c>
      <c r="I111" s="2"/>
      <c r="J111" s="6">
        <f t="shared" si="69"/>
        <v>2.1031326456594172E-3</v>
      </c>
      <c r="K111" s="2"/>
      <c r="L111" s="7">
        <f t="shared" si="70"/>
        <v>-109.48</v>
      </c>
      <c r="M111" s="2"/>
      <c r="N111" s="6">
        <f t="shared" si="71"/>
        <v>-1</v>
      </c>
      <c r="O111" s="11"/>
      <c r="P111" s="7">
        <v>321.88</v>
      </c>
      <c r="Q111" s="2"/>
      <c r="R111" s="6">
        <f t="shared" si="72"/>
        <v>2.2211320969804183E-3</v>
      </c>
      <c r="S111" s="2"/>
      <c r="T111" s="7">
        <v>590.47</v>
      </c>
      <c r="U111" s="2"/>
      <c r="V111" s="6">
        <f t="shared" si="73"/>
        <v>2.0764647680050772E-3</v>
      </c>
      <c r="W111" s="2"/>
      <c r="X111" s="7">
        <f t="shared" si="74"/>
        <v>-268.59000000000003</v>
      </c>
      <c r="Y111" s="2"/>
      <c r="Z111" s="6">
        <f t="shared" si="75"/>
        <v>-0.45487493014039665</v>
      </c>
    </row>
    <row r="112" spans="1:26" s="25" customFormat="1" outlineLevel="1" collapsed="1" x14ac:dyDescent="0.25">
      <c r="A112" s="26"/>
      <c r="B112" s="13" t="str">
        <f>CONCATENATE("     ","Utilities                                         ")</f>
        <v xml:space="preserve">     Utilities                                         </v>
      </c>
      <c r="C112" s="13"/>
      <c r="D112" s="1">
        <f>SUM(OSRRefD22_18x_0)</f>
        <v>42.61</v>
      </c>
      <c r="E112" s="1"/>
      <c r="F112" s="5">
        <f t="shared" si="68"/>
        <v>1.0953172808472172E-3</v>
      </c>
      <c r="G112" s="1"/>
      <c r="H112" s="1">
        <f>SUM(OSRRefH22_18x_0)</f>
        <v>70.760000000000005</v>
      </c>
      <c r="I112" s="1"/>
      <c r="J112" s="5">
        <f t="shared" si="69"/>
        <v>1.3593137194634671E-3</v>
      </c>
      <c r="K112" s="1"/>
      <c r="L112" s="1">
        <f t="shared" si="70"/>
        <v>-28.150000000000006</v>
      </c>
      <c r="M112" s="1"/>
      <c r="N112" s="5">
        <f t="shared" si="71"/>
        <v>-0.39782362916902209</v>
      </c>
      <c r="O112" s="13"/>
      <c r="P112" s="1">
        <f>SUM(OSRRefP22_18x_0)</f>
        <v>144.4</v>
      </c>
      <c r="Q112" s="1"/>
      <c r="R112" s="5">
        <f t="shared" si="72"/>
        <v>9.9643182180928435E-4</v>
      </c>
      <c r="S112" s="1"/>
      <c r="T112" s="1">
        <f>SUM(OSRRefT22_18x_0)</f>
        <v>297.68</v>
      </c>
      <c r="U112" s="1"/>
      <c r="V112" s="5">
        <f t="shared" si="73"/>
        <v>1.0468305453956194E-3</v>
      </c>
      <c r="W112" s="1"/>
      <c r="X112" s="1">
        <f t="shared" si="74"/>
        <v>-153.28</v>
      </c>
      <c r="Y112" s="1"/>
      <c r="Z112" s="5">
        <f t="shared" si="75"/>
        <v>-0.5149153453372749</v>
      </c>
    </row>
    <row r="113" spans="1:26" s="24" customFormat="1" hidden="1" outlineLevel="2" x14ac:dyDescent="0.25">
      <c r="A113" s="27"/>
      <c r="B113" s="11" t="str">
        <f>CONCATENATE("          ", "6274", " - ", "UTILITIES")</f>
        <v xml:space="preserve">          6274 - UTILITIES</v>
      </c>
      <c r="C113" s="11"/>
      <c r="D113" s="7">
        <v>42.61</v>
      </c>
      <c r="E113" s="2"/>
      <c r="F113" s="6">
        <f t="shared" si="68"/>
        <v>1.0953172808472172E-3</v>
      </c>
      <c r="G113" s="2"/>
      <c r="H113" s="7">
        <v>70.760000000000005</v>
      </c>
      <c r="I113" s="2"/>
      <c r="J113" s="6">
        <f t="shared" si="69"/>
        <v>1.3593137194634671E-3</v>
      </c>
      <c r="K113" s="2"/>
      <c r="L113" s="7">
        <f t="shared" si="70"/>
        <v>-28.150000000000006</v>
      </c>
      <c r="M113" s="2"/>
      <c r="N113" s="6">
        <f t="shared" si="71"/>
        <v>-0.39782362916902209</v>
      </c>
      <c r="O113" s="11"/>
      <c r="P113" s="7">
        <v>144.4</v>
      </c>
      <c r="Q113" s="2"/>
      <c r="R113" s="6">
        <f t="shared" si="72"/>
        <v>9.9643182180928435E-4</v>
      </c>
      <c r="S113" s="2"/>
      <c r="T113" s="7">
        <v>297.68</v>
      </c>
      <c r="U113" s="2"/>
      <c r="V113" s="6">
        <f t="shared" si="73"/>
        <v>1.0468305453956194E-3</v>
      </c>
      <c r="W113" s="2"/>
      <c r="X113" s="7">
        <f t="shared" si="74"/>
        <v>-153.28</v>
      </c>
      <c r="Y113" s="2"/>
      <c r="Z113" s="6">
        <f t="shared" si="75"/>
        <v>-0.5149153453372749</v>
      </c>
    </row>
    <row r="114" spans="1:26" s="55" customFormat="1" x14ac:dyDescent="0.25">
      <c r="A114" s="37"/>
      <c r="B114" s="37"/>
      <c r="C114" s="37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7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x14ac:dyDescent="0.25">
      <c r="A115" s="10"/>
      <c r="B115" s="29" t="s">
        <v>0</v>
      </c>
      <c r="C115" s="10"/>
      <c r="D115" s="4">
        <f>SUM(0)</f>
        <v>0</v>
      </c>
      <c r="E115" s="4"/>
      <c r="F115" s="12">
        <f>IF(D$12=0,0,D115/D$12)</f>
        <v>0</v>
      </c>
      <c r="G115" s="4"/>
      <c r="H115" s="4">
        <f>SUM(0)</f>
        <v>0</v>
      </c>
      <c r="I115" s="4"/>
      <c r="J115" s="12">
        <f>IF(H$12=0,0,H115/H$12)</f>
        <v>0</v>
      </c>
      <c r="K115" s="4"/>
      <c r="L115" s="4">
        <f>+D115-H115</f>
        <v>0</v>
      </c>
      <c r="M115" s="4"/>
      <c r="N115" s="12">
        <f>IF(H115=0,0,L115/H115)</f>
        <v>0</v>
      </c>
      <c r="O115" s="10"/>
      <c r="P115" s="4">
        <f>SUM(0)</f>
        <v>0</v>
      </c>
      <c r="Q115" s="4"/>
      <c r="R115" s="12">
        <f>IF(P$12=0,0,P115/P$12)</f>
        <v>0</v>
      </c>
      <c r="S115" s="4"/>
      <c r="T115" s="4">
        <f>SUM(0)</f>
        <v>0</v>
      </c>
      <c r="U115" s="4"/>
      <c r="V115" s="12">
        <f>IF(T$12=0,0,T115/T$12)</f>
        <v>0</v>
      </c>
      <c r="W115" s="4"/>
      <c r="X115" s="4">
        <f>+P115-T115</f>
        <v>0</v>
      </c>
      <c r="Y115" s="4"/>
      <c r="Z115" s="12">
        <f>IF(T115=0,0,X115/T115)</f>
        <v>0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10"/>
      <c r="B117" s="28" t="s">
        <v>3</v>
      </c>
      <c r="C117" s="28"/>
      <c r="D117" s="20">
        <f>+D55-D57+D115</f>
        <v>-4619.6600000000144</v>
      </c>
      <c r="E117" s="14"/>
      <c r="F117" s="21">
        <f>IF(D$12=0,0,D117/D$12)</f>
        <v>-0.11875131259419551</v>
      </c>
      <c r="G117" s="14"/>
      <c r="H117" s="20">
        <f>+H55-H57+H115</f>
        <v>-5440.0000000000073</v>
      </c>
      <c r="I117" s="14"/>
      <c r="J117" s="21">
        <f>IF(H$12=0,0,H117/H$12)</f>
        <v>-0.10450348549860472</v>
      </c>
      <c r="K117" s="15"/>
      <c r="L117" s="20">
        <f>+D117-H117</f>
        <v>820.33999999999287</v>
      </c>
      <c r="M117" s="15"/>
      <c r="N117" s="21">
        <f>IF(H117=0,0,L117/H117)</f>
        <v>-0.15079779411764554</v>
      </c>
      <c r="O117" s="29"/>
      <c r="P117" s="20">
        <f>+P55-P57+P115</f>
        <v>-48644.330000000016</v>
      </c>
      <c r="Q117" s="14"/>
      <c r="R117" s="21">
        <f>IF(P$12=0,0,P117/P$12)</f>
        <v>-0.33567007176310271</v>
      </c>
      <c r="S117" s="14"/>
      <c r="T117" s="20">
        <f>+T55-T57+T115</f>
        <v>-24378.509999999922</v>
      </c>
      <c r="U117" s="14"/>
      <c r="V117" s="21">
        <f>IF(T$12=0,0,T117/T$12)</f>
        <v>-8.5730210021608702E-2</v>
      </c>
      <c r="W117" s="15"/>
      <c r="X117" s="20">
        <f>+P117-T117</f>
        <v>-24265.820000000094</v>
      </c>
      <c r="Y117" s="15"/>
      <c r="Z117" s="21">
        <f>IF(T117=0,0,X117/T117)</f>
        <v>0.99537748615482124</v>
      </c>
    </row>
    <row r="118" spans="1:26" x14ac:dyDescent="0.25">
      <c r="A118" s="9"/>
      <c r="B118" s="10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51"/>
      <c r="B119" s="10" t="s">
        <v>13</v>
      </c>
      <c r="C119" s="10"/>
      <c r="D119" s="4">
        <v>9966.92</v>
      </c>
      <c r="E119" s="4"/>
      <c r="F119" s="12">
        <f>IF(D$12=0,0,D119/D$12)</f>
        <v>0.25620604817699472</v>
      </c>
      <c r="G119" s="4"/>
      <c r="H119" s="4">
        <v>6113.62</v>
      </c>
      <c r="I119" s="4"/>
      <c r="J119" s="12">
        <f>IF(H$12=0,0,H119/H$12)</f>
        <v>0.11744386011286378</v>
      </c>
      <c r="K119" s="4"/>
      <c r="L119" s="4">
        <f>+D119-H119</f>
        <v>3853.3</v>
      </c>
      <c r="M119" s="4"/>
      <c r="N119" s="12">
        <f>IF(H119=0,0,L119/H119)</f>
        <v>0.63028124090146265</v>
      </c>
      <c r="O119" s="10"/>
      <c r="P119" s="4">
        <v>26812.73</v>
      </c>
      <c r="Q119" s="4"/>
      <c r="R119" s="12">
        <f>IF(P$12=0,0,P119/P$12)</f>
        <v>0.18502117314113883</v>
      </c>
      <c r="S119" s="4"/>
      <c r="T119" s="4">
        <v>30713.41</v>
      </c>
      <c r="U119" s="4"/>
      <c r="V119" s="12">
        <f>IF(T$12=0,0,T119/T$12)</f>
        <v>0.10800771211119077</v>
      </c>
      <c r="W119" s="4"/>
      <c r="X119" s="4">
        <f>+P119-T119</f>
        <v>-3900.6800000000003</v>
      </c>
      <c r="Y119" s="4"/>
      <c r="Z119" s="12">
        <f>IF(T119=0,0,X119/T119)</f>
        <v>-0.12700250476908947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8" t="s">
        <v>4</v>
      </c>
      <c r="C121" s="28"/>
      <c r="D121" s="33">
        <f>+D117-D119</f>
        <v>-14586.580000000014</v>
      </c>
      <c r="E121" s="14"/>
      <c r="F121" s="34">
        <f>IF(D$12=0,0,D121/D$12)</f>
        <v>-0.37495736077119024</v>
      </c>
      <c r="G121" s="14"/>
      <c r="H121" s="33">
        <f>+H117-H119</f>
        <v>-11553.620000000006</v>
      </c>
      <c r="I121" s="14"/>
      <c r="J121" s="34">
        <f>IF(H$12=0,0,H121/H$12)</f>
        <v>-0.22194734561146848</v>
      </c>
      <c r="K121" s="15"/>
      <c r="L121" s="33">
        <f>D121-H121</f>
        <v>-3032.9600000000082</v>
      </c>
      <c r="M121" s="15"/>
      <c r="N121" s="34">
        <f>IF(H121=0,0,L121/H121)</f>
        <v>0.26251166301124729</v>
      </c>
      <c r="O121" s="29"/>
      <c r="P121" s="33">
        <f>+P117-P119</f>
        <v>-75457.060000000012</v>
      </c>
      <c r="Q121" s="14"/>
      <c r="R121" s="34">
        <f>IF(P$12=0,0,P121/P$12)</f>
        <v>-0.52069124490424157</v>
      </c>
      <c r="S121" s="14"/>
      <c r="T121" s="33">
        <f>+T117-T119</f>
        <v>-55091.919999999925</v>
      </c>
      <c r="U121" s="14"/>
      <c r="V121" s="34">
        <f>IF(T$12=0,0,T121/T$12)</f>
        <v>-0.19373792213279947</v>
      </c>
      <c r="W121" s="15"/>
      <c r="X121" s="33">
        <f>P121-T121</f>
        <v>-20365.140000000087</v>
      </c>
      <c r="Y121" s="15"/>
      <c r="Z121" s="34">
        <f>IF(T121=0,0,X121/T121)</f>
        <v>0.36965747427209134</v>
      </c>
    </row>
    <row r="122" spans="1:26" ht="15.75" thickTop="1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8" t="s">
        <v>5</v>
      </c>
      <c r="C124" s="28"/>
      <c r="D124" s="30">
        <f>SUM(D121:D123)</f>
        <v>-14586.580000000014</v>
      </c>
      <c r="E124" s="14"/>
      <c r="F124" s="32">
        <f>IF(D$12=0,0,D124/D$12)</f>
        <v>-0.37495736077119024</v>
      </c>
      <c r="G124" s="14"/>
      <c r="H124" s="30">
        <f>SUM(H121:H123)</f>
        <v>-11553.620000000006</v>
      </c>
      <c r="I124" s="14"/>
      <c r="J124" s="32">
        <f>IF(H$12=0,0,H124/H$12)</f>
        <v>-0.22194734561146848</v>
      </c>
      <c r="K124" s="15"/>
      <c r="L124" s="30">
        <f>+D124-H124</f>
        <v>-3032.9600000000082</v>
      </c>
      <c r="M124" s="15"/>
      <c r="N124" s="32">
        <f>IF(H124=0,0,L124/H124)</f>
        <v>0.26251166301124729</v>
      </c>
      <c r="O124" s="29"/>
      <c r="P124" s="30">
        <f>SUM(P121:P123)</f>
        <v>-75457.060000000012</v>
      </c>
      <c r="Q124" s="14"/>
      <c r="R124" s="32">
        <f>IF(P$12=0,0,P124/P$12)</f>
        <v>-0.52069124490424157</v>
      </c>
      <c r="S124" s="14"/>
      <c r="T124" s="30">
        <f>SUM(T121:T123)</f>
        <v>-55091.919999999925</v>
      </c>
      <c r="U124" s="14"/>
      <c r="V124" s="32">
        <f>IF(T$12=0,0,T124/T$12)</f>
        <v>-0.19373792213279947</v>
      </c>
      <c r="W124" s="15"/>
      <c r="X124" s="30">
        <f>+P124-T124</f>
        <v>-20365.140000000087</v>
      </c>
      <c r="Y124" s="15"/>
      <c r="Z124" s="32">
        <f>IF(T124=0,0,X124/T124)</f>
        <v>0.36965747427209134</v>
      </c>
    </row>
    <row r="125" spans="1:26" ht="15.75" thickTop="1" x14ac:dyDescent="0.25">
      <c r="A125" s="9"/>
      <c r="C125" s="9"/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  <row r="126" spans="1:26" x14ac:dyDescent="0.25">
      <c r="A126" s="9"/>
      <c r="B126" s="58">
        <v>44209.521951122682</v>
      </c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  <row r="127" spans="1:26" x14ac:dyDescent="0.25">
      <c r="A127" s="9"/>
      <c r="B127" s="61" t="s">
        <v>313</v>
      </c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  <row r="128" spans="1:26" x14ac:dyDescent="0.25">
      <c r="A128" s="9"/>
      <c r="B128" s="57"/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  <row r="129" spans="4:24" x14ac:dyDescent="0.25"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303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1256.8100000000002</v>
      </c>
      <c r="E12" s="4"/>
      <c r="F12" s="12"/>
      <c r="G12" s="4"/>
      <c r="H12" s="4">
        <f>SUM(OSRRefH13x_0)</f>
        <v>37088.239999999998</v>
      </c>
      <c r="I12" s="4"/>
      <c r="J12" s="12"/>
      <c r="K12" s="4"/>
      <c r="L12" s="4">
        <f t="shared" ref="L12:L27" si="0">+D12-H12</f>
        <v>-35831.43</v>
      </c>
      <c r="M12" s="4"/>
      <c r="N12" s="12">
        <f t="shared" ref="N12:N27" si="1">IF(H12=0,0,L12/H12)</f>
        <v>-0.96611297812999486</v>
      </c>
      <c r="O12" s="10"/>
      <c r="P12" s="4">
        <f>SUM(OSRRefP13x_0)</f>
        <v>74829.719999999987</v>
      </c>
      <c r="Q12" s="4"/>
      <c r="R12" s="12"/>
      <c r="S12" s="4"/>
      <c r="T12" s="4">
        <f>SUM(OSRRefT13x_0)</f>
        <v>307644.60000000003</v>
      </c>
      <c r="U12" s="4"/>
      <c r="V12" s="12"/>
      <c r="W12" s="4"/>
      <c r="X12" s="4">
        <f t="shared" ref="X12:X27" si="2">+P12-T12</f>
        <v>-232814.88000000006</v>
      </c>
      <c r="Y12" s="4"/>
      <c r="Z12" s="12">
        <f t="shared" ref="Z12:Z27" si="3">IF(T12=0,0,X12/T12)</f>
        <v>-0.7567656965212457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-8.65</f>
        <v>-8.65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-8.65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--251.9</f>
        <v>251.9</v>
      </c>
      <c r="E14" s="2"/>
      <c r="F14" s="19"/>
      <c r="G14" s="2"/>
      <c r="H14" s="2">
        <f>--96.53</f>
        <v>96.53</v>
      </c>
      <c r="I14" s="2"/>
      <c r="J14" s="19"/>
      <c r="K14" s="2"/>
      <c r="L14" s="2">
        <f t="shared" si="0"/>
        <v>155.37</v>
      </c>
      <c r="M14" s="2"/>
      <c r="N14" s="19">
        <f t="shared" si="1"/>
        <v>1.6095514347871129</v>
      </c>
      <c r="O14" s="11"/>
      <c r="P14" s="2">
        <f>--60944.27</f>
        <v>60944.27</v>
      </c>
      <c r="Q14" s="2"/>
      <c r="R14" s="19"/>
      <c r="S14" s="2"/>
      <c r="T14" s="2">
        <f>--97064.88</f>
        <v>97064.88</v>
      </c>
      <c r="U14" s="2"/>
      <c r="V14" s="19"/>
      <c r="W14" s="2"/>
      <c r="X14" s="2">
        <f t="shared" si="2"/>
        <v>-36120.610000000008</v>
      </c>
      <c r="Y14" s="2"/>
      <c r="Z14" s="19">
        <f t="shared" si="3"/>
        <v>-0.3721285185743804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--964.03</f>
        <v>964.03</v>
      </c>
      <c r="E15" s="2"/>
      <c r="F15" s="19"/>
      <c r="G15" s="2"/>
      <c r="H15" s="2">
        <f>--8211.3</f>
        <v>8211.2999999999993</v>
      </c>
      <c r="I15" s="2"/>
      <c r="J15" s="19"/>
      <c r="K15" s="2"/>
      <c r="L15" s="2">
        <f t="shared" si="0"/>
        <v>-7247.2699999999995</v>
      </c>
      <c r="M15" s="2"/>
      <c r="N15" s="19">
        <f t="shared" si="1"/>
        <v>-0.88259715270420036</v>
      </c>
      <c r="O15" s="11"/>
      <c r="P15" s="2">
        <f>--12853.85</f>
        <v>12853.85</v>
      </c>
      <c r="Q15" s="2"/>
      <c r="R15" s="19"/>
      <c r="S15" s="2"/>
      <c r="T15" s="2">
        <f>--48106.94</f>
        <v>48106.94</v>
      </c>
      <c r="U15" s="2"/>
      <c r="V15" s="19"/>
      <c r="W15" s="2"/>
      <c r="X15" s="2">
        <f t="shared" si="2"/>
        <v>-35253.090000000004</v>
      </c>
      <c r="Y15" s="2"/>
      <c r="Z15" s="19">
        <f t="shared" si="3"/>
        <v>-0.73280674264461643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--7.98</f>
        <v>7.98</v>
      </c>
      <c r="E16" s="2"/>
      <c r="F16" s="19"/>
      <c r="G16" s="2"/>
      <c r="H16" s="2">
        <f>--2.08</f>
        <v>2.08</v>
      </c>
      <c r="I16" s="2"/>
      <c r="J16" s="19"/>
      <c r="K16" s="2"/>
      <c r="L16" s="2">
        <f t="shared" si="0"/>
        <v>5.9</v>
      </c>
      <c r="M16" s="2"/>
      <c r="N16" s="19">
        <f t="shared" si="1"/>
        <v>2.8365384615384617</v>
      </c>
      <c r="O16" s="11"/>
      <c r="P16" s="2">
        <f>--15.96</f>
        <v>15.96</v>
      </c>
      <c r="Q16" s="2"/>
      <c r="R16" s="19"/>
      <c r="S16" s="2"/>
      <c r="T16" s="2">
        <f>--104.06</f>
        <v>104.06</v>
      </c>
      <c r="U16" s="2"/>
      <c r="V16" s="19"/>
      <c r="W16" s="2"/>
      <c r="X16" s="2">
        <f t="shared" si="2"/>
        <v>-88.1</v>
      </c>
      <c r="Y16" s="2"/>
      <c r="Z16" s="19">
        <f t="shared" si="3"/>
        <v>-0.8466269459926965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 t="shared" ref="D17:D19" si="4">0</f>
        <v>0</v>
      </c>
      <c r="E17" s="2"/>
      <c r="F17" s="19"/>
      <c r="G17" s="2"/>
      <c r="H17" s="2">
        <f>--115.39</f>
        <v>115.39</v>
      </c>
      <c r="I17" s="2"/>
      <c r="J17" s="19"/>
      <c r="K17" s="2"/>
      <c r="L17" s="2">
        <f t="shared" si="0"/>
        <v>-115.39</v>
      </c>
      <c r="M17" s="2"/>
      <c r="N17" s="19">
        <f t="shared" si="1"/>
        <v>-1</v>
      </c>
      <c r="O17" s="11"/>
      <c r="P17" s="2">
        <f t="shared" ref="P17:P19" si="5">0</f>
        <v>0</v>
      </c>
      <c r="Q17" s="2"/>
      <c r="R17" s="19"/>
      <c r="S17" s="2"/>
      <c r="T17" s="2">
        <f>--1793.94</f>
        <v>1793.94</v>
      </c>
      <c r="U17" s="2"/>
      <c r="V17" s="19"/>
      <c r="W17" s="2"/>
      <c r="X17" s="2">
        <f t="shared" si="2"/>
        <v>-1793.94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"4092", " - ", "TAXABLE SALES-GRAD MERCH")</f>
        <v xml:space="preserve">          4092 - TAXABLE SALES-GRAD MERCH</v>
      </c>
      <c r="C18" s="11"/>
      <c r="D18" s="2">
        <f t="shared" si="4"/>
        <v>0</v>
      </c>
      <c r="E18" s="2"/>
      <c r="F18" s="19"/>
      <c r="G18" s="2"/>
      <c r="H18" s="2">
        <f>--218.75</f>
        <v>218.75</v>
      </c>
      <c r="I18" s="2"/>
      <c r="J18" s="19"/>
      <c r="K18" s="2"/>
      <c r="L18" s="2">
        <f t="shared" si="0"/>
        <v>-218.75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--7699.32</f>
        <v>7699.32</v>
      </c>
      <c r="U18" s="2"/>
      <c r="V18" s="19"/>
      <c r="W18" s="2"/>
      <c r="X18" s="2">
        <f t="shared" si="2"/>
        <v>-7699.32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"4095", " - ", "TAXABLE SALES-CUSTOMER SERVICE")</f>
        <v xml:space="preserve">          4095 - TAXABLE SALES-CUSTOMER SERVICE</v>
      </c>
      <c r="C19" s="11"/>
      <c r="D19" s="2">
        <f t="shared" si="4"/>
        <v>0</v>
      </c>
      <c r="E19" s="2"/>
      <c r="F19" s="19"/>
      <c r="G19" s="2"/>
      <c r="H19" s="2">
        <f>--19.9</f>
        <v>19.899999999999999</v>
      </c>
      <c r="I19" s="2"/>
      <c r="J19" s="19"/>
      <c r="K19" s="2"/>
      <c r="L19" s="2">
        <f t="shared" si="0"/>
        <v>-19.899999999999999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--268.62</f>
        <v>268.62</v>
      </c>
      <c r="U19" s="2"/>
      <c r="V19" s="19"/>
      <c r="W19" s="2"/>
      <c r="X19" s="2">
        <f t="shared" si="2"/>
        <v>-268.62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--8.15</f>
        <v>8.15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8.15</v>
      </c>
      <c r="M20" s="2"/>
      <c r="N20" s="19">
        <f t="shared" si="1"/>
        <v>0</v>
      </c>
      <c r="O20" s="11"/>
      <c r="P20" s="2">
        <f>--519.65</f>
        <v>519.65</v>
      </c>
      <c r="Q20" s="2"/>
      <c r="R20" s="19"/>
      <c r="S20" s="2"/>
      <c r="T20" s="2">
        <f>--152.75</f>
        <v>152.75</v>
      </c>
      <c r="U20" s="2"/>
      <c r="V20" s="19"/>
      <c r="W20" s="2"/>
      <c r="X20" s="2">
        <f t="shared" si="2"/>
        <v>366.9</v>
      </c>
      <c r="Y20" s="2"/>
      <c r="Z20" s="19">
        <f t="shared" si="3"/>
        <v>2.401963993453355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0</f>
        <v>0</v>
      </c>
      <c r="E21" s="2"/>
      <c r="F21" s="19"/>
      <c r="G21" s="2"/>
      <c r="H21" s="2">
        <f>--1239.89</f>
        <v>1239.8900000000001</v>
      </c>
      <c r="I21" s="2"/>
      <c r="J21" s="19"/>
      <c r="K21" s="2"/>
      <c r="L21" s="2">
        <f t="shared" si="0"/>
        <v>-1239.8900000000001</v>
      </c>
      <c r="M21" s="2"/>
      <c r="N21" s="19">
        <f t="shared" si="1"/>
        <v>-1</v>
      </c>
      <c r="O21" s="11"/>
      <c r="P21" s="2">
        <f>--1110.59</f>
        <v>1110.5899999999999</v>
      </c>
      <c r="Q21" s="2"/>
      <c r="R21" s="19"/>
      <c r="S21" s="2"/>
      <c r="T21" s="2">
        <f>--6756.89</f>
        <v>6756.89</v>
      </c>
      <c r="U21" s="2"/>
      <c r="V21" s="19"/>
      <c r="W21" s="2"/>
      <c r="X21" s="2">
        <f t="shared" si="2"/>
        <v>-5646.3</v>
      </c>
      <c r="Y21" s="2"/>
      <c r="Z21" s="19">
        <f t="shared" si="3"/>
        <v>-0.83563592125963271</v>
      </c>
    </row>
    <row r="22" spans="1:26" s="24" customFormat="1" hidden="1" outlineLevel="1" x14ac:dyDescent="0.25">
      <c r="A22" s="44"/>
      <c r="B22" s="11" t="str">
        <f>CONCATENATE("          ", "4146", " - ", "NON-TAXABLE SALES-COIN OP MACH")</f>
        <v xml:space="preserve">          4146 - NON-TAXABLE SALES-COIN OP MACH</v>
      </c>
      <c r="C22" s="11"/>
      <c r="D22" s="2">
        <f>--19.9</f>
        <v>19.899999999999999</v>
      </c>
      <c r="E22" s="2"/>
      <c r="F22" s="19"/>
      <c r="G22" s="2"/>
      <c r="H22" s="2">
        <f>--27126.9</f>
        <v>27126.9</v>
      </c>
      <c r="I22" s="2"/>
      <c r="J22" s="19"/>
      <c r="K22" s="2"/>
      <c r="L22" s="2">
        <f t="shared" si="0"/>
        <v>-27107</v>
      </c>
      <c r="M22" s="2"/>
      <c r="N22" s="19">
        <f t="shared" si="1"/>
        <v>-0.99926641083205225</v>
      </c>
      <c r="O22" s="11"/>
      <c r="P22" s="2">
        <f>--127.9</f>
        <v>127.9</v>
      </c>
      <c r="Q22" s="2"/>
      <c r="R22" s="19"/>
      <c r="S22" s="2"/>
      <c r="T22" s="2">
        <f>--146467.95</f>
        <v>146467.95000000001</v>
      </c>
      <c r="U22" s="2"/>
      <c r="V22" s="19"/>
      <c r="W22" s="2"/>
      <c r="X22" s="2">
        <f t="shared" si="2"/>
        <v>-146340.05000000002</v>
      </c>
      <c r="Y22" s="2"/>
      <c r="Z22" s="19">
        <f t="shared" si="3"/>
        <v>-0.9991267714199592</v>
      </c>
    </row>
    <row r="23" spans="1:26" s="24" customFormat="1" hidden="1" outlineLevel="1" x14ac:dyDescent="0.25">
      <c r="A23" s="44"/>
      <c r="B23" s="11" t="str">
        <f>CONCATENATE("          ", "4147", " - ", "NON-TAXABLE SALES-MISC")</f>
        <v xml:space="preserve">          4147 - NON-TAXABLE SALES-MISC</v>
      </c>
      <c r="C23" s="11"/>
      <c r="D23" s="2">
        <f>--13</f>
        <v>13</v>
      </c>
      <c r="E23" s="2"/>
      <c r="F23" s="19"/>
      <c r="G23" s="2"/>
      <c r="H23" s="2">
        <f>--57.5</f>
        <v>57.5</v>
      </c>
      <c r="I23" s="2"/>
      <c r="J23" s="19"/>
      <c r="K23" s="2"/>
      <c r="L23" s="2">
        <f t="shared" si="0"/>
        <v>-44.5</v>
      </c>
      <c r="M23" s="2"/>
      <c r="N23" s="19">
        <f t="shared" si="1"/>
        <v>-0.77391304347826084</v>
      </c>
      <c r="O23" s="11"/>
      <c r="P23" s="2">
        <f>--104.5</f>
        <v>104.5</v>
      </c>
      <c r="Q23" s="2"/>
      <c r="R23" s="19"/>
      <c r="S23" s="2"/>
      <c r="T23" s="2">
        <f>--307.4</f>
        <v>307.39999999999998</v>
      </c>
      <c r="U23" s="2"/>
      <c r="V23" s="19"/>
      <c r="W23" s="2"/>
      <c r="X23" s="2">
        <f t="shared" si="2"/>
        <v>-202.89999999999998</v>
      </c>
      <c r="Y23" s="2"/>
      <c r="Z23" s="19">
        <f t="shared" si="3"/>
        <v>-0.6600520494469746</v>
      </c>
    </row>
    <row r="24" spans="1:26" s="24" customFormat="1" hidden="1" outlineLevel="1" x14ac:dyDescent="0.25">
      <c r="A24" s="44"/>
      <c r="B24" s="11" t="str">
        <f>CONCATENATE("          ", "4241", " - ", "SALES RETURN TAXABLE-LOGO GIFT")</f>
        <v xml:space="preserve">          4241 - SALES RETURN TAXABLE-LOGO GIFT</v>
      </c>
      <c r="C24" s="11"/>
      <c r="D24" s="2">
        <f>-8.15</f>
        <v>-8.15</v>
      </c>
      <c r="E24" s="2"/>
      <c r="F24" s="19"/>
      <c r="G24" s="2"/>
      <c r="H24" s="2">
        <f t="shared" ref="H24:H27" si="6">0</f>
        <v>0</v>
      </c>
      <c r="I24" s="2"/>
      <c r="J24" s="19"/>
      <c r="K24" s="2"/>
      <c r="L24" s="2">
        <f t="shared" si="0"/>
        <v>-8.15</v>
      </c>
      <c r="M24" s="2"/>
      <c r="N24" s="19">
        <f t="shared" si="1"/>
        <v>0</v>
      </c>
      <c r="O24" s="11"/>
      <c r="P24" s="2">
        <f>-838.35</f>
        <v>-838.35</v>
      </c>
      <c r="Q24" s="2"/>
      <c r="R24" s="19"/>
      <c r="S24" s="2"/>
      <c r="T24" s="2">
        <f>-634.75</f>
        <v>-634.75</v>
      </c>
      <c r="U24" s="2"/>
      <c r="V24" s="19"/>
      <c r="W24" s="2"/>
      <c r="X24" s="2">
        <f t="shared" si="2"/>
        <v>-203.60000000000002</v>
      </c>
      <c r="Y24" s="2"/>
      <c r="Z24" s="19">
        <f t="shared" si="3"/>
        <v>0.32075620322961801</v>
      </c>
    </row>
    <row r="25" spans="1:26" s="24" customFormat="1" hidden="1" outlineLevel="1" x14ac:dyDescent="0.25">
      <c r="A25" s="44"/>
      <c r="B25" s="11" t="str">
        <f>CONCATENATE("          ", "4242", " - ", "SALES RETURN TAXABLE-EVERYDAY")</f>
        <v xml:space="preserve">          4242 - SALES RETURN TAXABLE-EVERYDAY</v>
      </c>
      <c r="C25" s="11"/>
      <c r="D25" s="2">
        <f t="shared" ref="D25:D27" si="7">0</f>
        <v>0</v>
      </c>
      <c r="E25" s="2"/>
      <c r="F25" s="19"/>
      <c r="G25" s="2"/>
      <c r="H25" s="2">
        <f t="shared" si="6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ref="P25:P27" si="8">0</f>
        <v>0</v>
      </c>
      <c r="Q25" s="2"/>
      <c r="R25" s="19"/>
      <c r="S25" s="2"/>
      <c r="T25" s="2">
        <f>-16.2</f>
        <v>-16.2</v>
      </c>
      <c r="U25" s="2"/>
      <c r="V25" s="19"/>
      <c r="W25" s="2"/>
      <c r="X25" s="2">
        <f t="shared" si="2"/>
        <v>16.2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"4292", " - ", "SALES RETURN TAXABLE-GRAD MERC")</f>
        <v xml:space="preserve">          4292 - SALES RETURN TAXABLE-GRAD MERC</v>
      </c>
      <c r="C26" s="11"/>
      <c r="D26" s="2">
        <f t="shared" si="7"/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8"/>
        <v>0</v>
      </c>
      <c r="Q26" s="2"/>
      <c r="R26" s="19"/>
      <c r="S26" s="2"/>
      <c r="T26" s="2">
        <f>-419.05</f>
        <v>-419.05</v>
      </c>
      <c r="U26" s="2"/>
      <c r="V26" s="19"/>
      <c r="W26" s="2"/>
      <c r="X26" s="2">
        <f t="shared" si="2"/>
        <v>419.05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"4346", " - ", "SALES RETURN NON TAXABLE-COIN-")</f>
        <v xml:space="preserve">          4346 - SALES RETURN NON TAXABLE-COIN-</v>
      </c>
      <c r="C27" s="11"/>
      <c r="D27" s="2">
        <f t="shared" si="7"/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8"/>
        <v>0</v>
      </c>
      <c r="Q27" s="2"/>
      <c r="R27" s="19"/>
      <c r="S27" s="2"/>
      <c r="T27" s="2">
        <f>-8.15</f>
        <v>-8.15</v>
      </c>
      <c r="U27" s="2"/>
      <c r="V27" s="19"/>
      <c r="W27" s="2"/>
      <c r="X27" s="2">
        <f t="shared" si="2"/>
        <v>8.15</v>
      </c>
      <c r="Y27" s="2"/>
      <c r="Z27" s="19">
        <f t="shared" si="3"/>
        <v>-1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collapsed="1" x14ac:dyDescent="0.25">
      <c r="A29" s="10"/>
      <c r="B29" s="29" t="s">
        <v>8</v>
      </c>
      <c r="C29" s="10"/>
      <c r="D29" s="4">
        <f>SUM(OSRRefD16x_0)</f>
        <v>0</v>
      </c>
      <c r="E29" s="4"/>
      <c r="F29" s="12">
        <f t="shared" ref="F29:F34" si="9">IF(D$12=0,0,D29/D$12)</f>
        <v>0</v>
      </c>
      <c r="G29" s="4"/>
      <c r="H29" s="4">
        <f>SUM(OSRRefH16x_0)</f>
        <v>115</v>
      </c>
      <c r="I29" s="4"/>
      <c r="J29" s="12">
        <f t="shared" ref="J29:J34" si="10">IF(H$12=0,0,H29/H$12)</f>
        <v>3.1007133258412912E-3</v>
      </c>
      <c r="K29" s="4"/>
      <c r="L29" s="4">
        <f t="shared" ref="L29:L34" si="11">+D29-H29</f>
        <v>-115</v>
      </c>
      <c r="M29" s="4"/>
      <c r="N29" s="12">
        <f t="shared" ref="N29:N34" si="12">IF(H29=0,0,L29/H29)</f>
        <v>-1</v>
      </c>
      <c r="O29" s="10"/>
      <c r="P29" s="4">
        <f>SUM(OSRRefP16x_0)</f>
        <v>0</v>
      </c>
      <c r="Q29" s="4"/>
      <c r="R29" s="12">
        <f t="shared" ref="R29:R34" si="13">IF(P$12=0,0,P29/P$12)</f>
        <v>0</v>
      </c>
      <c r="S29" s="4"/>
      <c r="T29" s="4">
        <f>SUM(OSRRefT16x_0)</f>
        <v>3803.1200000000003</v>
      </c>
      <c r="U29" s="4"/>
      <c r="V29" s="12">
        <f t="shared" ref="V29:V34" si="14">IF(T$12=0,0,T29/T$12)</f>
        <v>1.2362056736897055E-2</v>
      </c>
      <c r="W29" s="4"/>
      <c r="X29" s="4">
        <f t="shared" ref="X29:X34" si="15">+P29-T29</f>
        <v>-3803.1200000000003</v>
      </c>
      <c r="Y29" s="4"/>
      <c r="Z29" s="12">
        <f t="shared" ref="Z29:Z34" si="16">IF(T29=0,0,X29/T29)</f>
        <v>-1</v>
      </c>
    </row>
    <row r="30" spans="1:26" s="24" customFormat="1" hidden="1" outlineLevel="1" x14ac:dyDescent="0.25">
      <c r="A30" s="44"/>
      <c r="B30" s="11" t="str">
        <f>CONCATENATE("          ", "5092", " - ", "PURCHASES @ COST-GRAD MERCH")</f>
        <v xml:space="preserve">          5092 - PURCHASES @ COST-GRAD MERCH</v>
      </c>
      <c r="C30" s="11"/>
      <c r="D30" s="2"/>
      <c r="E30" s="2"/>
      <c r="F30" s="19">
        <f t="shared" si="9"/>
        <v>0</v>
      </c>
      <c r="G30" s="2"/>
      <c r="H30" s="2"/>
      <c r="I30" s="2"/>
      <c r="J30" s="19">
        <f t="shared" si="10"/>
        <v>0</v>
      </c>
      <c r="K30" s="2"/>
      <c r="L30" s="2">
        <f t="shared" si="11"/>
        <v>0</v>
      </c>
      <c r="M30" s="2"/>
      <c r="N30" s="19">
        <f t="shared" si="12"/>
        <v>0</v>
      </c>
      <c r="O30" s="11"/>
      <c r="P30" s="2"/>
      <c r="Q30" s="2"/>
      <c r="R30" s="19">
        <f t="shared" si="13"/>
        <v>0</v>
      </c>
      <c r="S30" s="2"/>
      <c r="T30" s="2">
        <v>1984.49</v>
      </c>
      <c r="U30" s="2"/>
      <c r="V30" s="19">
        <f t="shared" si="14"/>
        <v>6.4505926643926136E-3</v>
      </c>
      <c r="W30" s="2"/>
      <c r="X30" s="2">
        <f t="shared" si="15"/>
        <v>-1984.49</v>
      </c>
      <c r="Y30" s="2"/>
      <c r="Z30" s="19">
        <f t="shared" si="16"/>
        <v>-1</v>
      </c>
    </row>
    <row r="31" spans="1:26" s="24" customFormat="1" hidden="1" outlineLevel="1" x14ac:dyDescent="0.25">
      <c r="A31" s="44"/>
      <c r="B31" s="11" t="str">
        <f>CONCATENATE("          ", "5095", " - ", "PURCHASES @ COST-CUSTOMER SERV")</f>
        <v xml:space="preserve">          5095 - PURCHASES @ COST-CUSTOMER SERV</v>
      </c>
      <c r="C31" s="11"/>
      <c r="D31" s="2"/>
      <c r="E31" s="2"/>
      <c r="F31" s="19">
        <f t="shared" si="9"/>
        <v>0</v>
      </c>
      <c r="G31" s="2"/>
      <c r="H31" s="2"/>
      <c r="I31" s="2"/>
      <c r="J31" s="19">
        <f t="shared" si="10"/>
        <v>0</v>
      </c>
      <c r="K31" s="2"/>
      <c r="L31" s="2">
        <f t="shared" si="11"/>
        <v>0</v>
      </c>
      <c r="M31" s="2"/>
      <c r="N31" s="19">
        <f t="shared" si="12"/>
        <v>0</v>
      </c>
      <c r="O31" s="11"/>
      <c r="P31" s="2"/>
      <c r="Q31" s="2"/>
      <c r="R31" s="19">
        <f t="shared" si="13"/>
        <v>0</v>
      </c>
      <c r="S31" s="2"/>
      <c r="T31" s="2">
        <v>11.85</v>
      </c>
      <c r="U31" s="2"/>
      <c r="V31" s="19">
        <f t="shared" si="14"/>
        <v>3.8518472289128426E-5</v>
      </c>
      <c r="W31" s="2"/>
      <c r="X31" s="2">
        <f t="shared" si="15"/>
        <v>-11.85</v>
      </c>
      <c r="Y31" s="2"/>
      <c r="Z31" s="19">
        <f t="shared" si="16"/>
        <v>-1</v>
      </c>
    </row>
    <row r="32" spans="1:26" s="24" customFormat="1" hidden="1" outlineLevel="1" x14ac:dyDescent="0.25">
      <c r="A32" s="44"/>
      <c r="B32" s="11" t="str">
        <f>CONCATENATE("          ", "5200", " - ", "PURCHASES OFFSET")</f>
        <v xml:space="preserve">          5200 - PURCHASES OFFSET</v>
      </c>
      <c r="C32" s="11"/>
      <c r="D32" s="2"/>
      <c r="E32" s="2"/>
      <c r="F32" s="19">
        <f t="shared" si="9"/>
        <v>0</v>
      </c>
      <c r="G32" s="2"/>
      <c r="H32" s="2"/>
      <c r="I32" s="2"/>
      <c r="J32" s="19">
        <f t="shared" si="10"/>
        <v>0</v>
      </c>
      <c r="K32" s="2"/>
      <c r="L32" s="2">
        <f t="shared" si="11"/>
        <v>0</v>
      </c>
      <c r="M32" s="2"/>
      <c r="N32" s="19">
        <f t="shared" si="12"/>
        <v>0</v>
      </c>
      <c r="O32" s="11"/>
      <c r="P32" s="2"/>
      <c r="Q32" s="2"/>
      <c r="R32" s="19">
        <f t="shared" si="13"/>
        <v>0</v>
      </c>
      <c r="S32" s="2"/>
      <c r="T32" s="2">
        <v>-2103</v>
      </c>
      <c r="U32" s="2"/>
      <c r="V32" s="19">
        <f t="shared" si="14"/>
        <v>-6.8358098923238042E-3</v>
      </c>
      <c r="W32" s="2"/>
      <c r="X32" s="2">
        <f t="shared" si="15"/>
        <v>2103</v>
      </c>
      <c r="Y32" s="2"/>
      <c r="Z32" s="19">
        <f t="shared" si="16"/>
        <v>-1</v>
      </c>
    </row>
    <row r="33" spans="1:26" s="24" customFormat="1" hidden="1" outlineLevel="1" x14ac:dyDescent="0.25">
      <c r="A33" s="44"/>
      <c r="B33" s="11" t="str">
        <f>CONCATENATE("          ", "5300", " - ", "COG$ OFFSET")</f>
        <v xml:space="preserve">          5300 - COG$ OFFSET</v>
      </c>
      <c r="C33" s="11"/>
      <c r="D33" s="2"/>
      <c r="E33" s="2"/>
      <c r="F33" s="19">
        <f t="shared" si="9"/>
        <v>0</v>
      </c>
      <c r="G33" s="2"/>
      <c r="H33" s="2">
        <v>115</v>
      </c>
      <c r="I33" s="2"/>
      <c r="J33" s="19">
        <f t="shared" si="10"/>
        <v>3.1007133258412912E-3</v>
      </c>
      <c r="K33" s="2"/>
      <c r="L33" s="2">
        <f t="shared" si="11"/>
        <v>-115</v>
      </c>
      <c r="M33" s="2"/>
      <c r="N33" s="19">
        <f t="shared" si="12"/>
        <v>-1</v>
      </c>
      <c r="O33" s="11"/>
      <c r="P33" s="2"/>
      <c r="Q33" s="2"/>
      <c r="R33" s="19">
        <f t="shared" si="13"/>
        <v>0</v>
      </c>
      <c r="S33" s="2"/>
      <c r="T33" s="2">
        <v>3804</v>
      </c>
      <c r="U33" s="2"/>
      <c r="V33" s="19">
        <f t="shared" si="14"/>
        <v>1.2364917180408821E-2</v>
      </c>
      <c r="W33" s="2"/>
      <c r="X33" s="2">
        <f t="shared" si="15"/>
        <v>-3804</v>
      </c>
      <c r="Y33" s="2"/>
      <c r="Z33" s="19">
        <f t="shared" si="16"/>
        <v>-1</v>
      </c>
    </row>
    <row r="34" spans="1:26" s="24" customFormat="1" hidden="1" outlineLevel="1" x14ac:dyDescent="0.25">
      <c r="A34" s="44"/>
      <c r="B34" s="11" t="str">
        <f>CONCATENATE("          ", "5592", " - ", "FREIGHT-IN-GRAD MERCH")</f>
        <v xml:space="preserve">          5592 - FREIGHT-IN-GRAD MERCH</v>
      </c>
      <c r="C34" s="11"/>
      <c r="D34" s="2"/>
      <c r="E34" s="2"/>
      <c r="F34" s="19">
        <f t="shared" si="9"/>
        <v>0</v>
      </c>
      <c r="G34" s="2"/>
      <c r="H34" s="2"/>
      <c r="I34" s="2"/>
      <c r="J34" s="19">
        <f t="shared" si="10"/>
        <v>0</v>
      </c>
      <c r="K34" s="2"/>
      <c r="L34" s="2">
        <f t="shared" si="11"/>
        <v>0</v>
      </c>
      <c r="M34" s="2"/>
      <c r="N34" s="19">
        <f t="shared" si="12"/>
        <v>0</v>
      </c>
      <c r="O34" s="11"/>
      <c r="P34" s="2"/>
      <c r="Q34" s="2"/>
      <c r="R34" s="19">
        <f t="shared" si="13"/>
        <v>0</v>
      </c>
      <c r="S34" s="2"/>
      <c r="T34" s="2">
        <v>105.78</v>
      </c>
      <c r="U34" s="2"/>
      <c r="V34" s="19">
        <f t="shared" si="14"/>
        <v>3.4383831213029574E-4</v>
      </c>
      <c r="W34" s="2"/>
      <c r="X34" s="2">
        <f t="shared" si="15"/>
        <v>-105.78</v>
      </c>
      <c r="Y34" s="2"/>
      <c r="Z34" s="19">
        <f t="shared" si="16"/>
        <v>-1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8" t="s">
        <v>6</v>
      </c>
      <c r="C36" s="28"/>
      <c r="D36" s="20">
        <f>D12-D29</f>
        <v>1256.8100000000002</v>
      </c>
      <c r="E36" s="14"/>
      <c r="F36" s="21">
        <f>IF(D$12=0,0,D36/D$12)</f>
        <v>1</v>
      </c>
      <c r="G36" s="14"/>
      <c r="H36" s="20">
        <f>H12-H29</f>
        <v>36973.24</v>
      </c>
      <c r="I36" s="14"/>
      <c r="J36" s="21">
        <f>IF(H$12=0,0,H36/H$12)</f>
        <v>0.99689928667415872</v>
      </c>
      <c r="K36" s="15"/>
      <c r="L36" s="20">
        <f>+D36-H36</f>
        <v>-35716.43</v>
      </c>
      <c r="M36" s="15"/>
      <c r="N36" s="21">
        <f>IF(H36=0,0,L36/H36)</f>
        <v>-0.96600757737217513</v>
      </c>
      <c r="O36" s="29"/>
      <c r="P36" s="20">
        <f>P12-P29</f>
        <v>74829.719999999987</v>
      </c>
      <c r="Q36" s="14"/>
      <c r="R36" s="21">
        <f>IF(P$12=0,0,P36/P$12)</f>
        <v>1</v>
      </c>
      <c r="S36" s="14"/>
      <c r="T36" s="20">
        <f>T12-T29</f>
        <v>303841.48000000004</v>
      </c>
      <c r="U36" s="14"/>
      <c r="V36" s="21">
        <f>IF(T$12=0,0,T36/T$12)</f>
        <v>0.98763794326310295</v>
      </c>
      <c r="W36" s="15"/>
      <c r="X36" s="20">
        <f>+P36-T36</f>
        <v>-229011.76000000007</v>
      </c>
      <c r="Y36" s="15"/>
      <c r="Z36" s="21">
        <f>IF(T36=0,0,X36/T36)</f>
        <v>-0.75372118382256448</v>
      </c>
    </row>
    <row r="37" spans="1:26" x14ac:dyDescent="0.25">
      <c r="A37" s="9"/>
      <c r="B37" s="10"/>
      <c r="C37" s="9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7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9" t="s">
        <v>9</v>
      </c>
      <c r="C38" s="10"/>
      <c r="D38" s="22">
        <f>SUM(OSRRefD22x_0)</f>
        <v>31938.720000000001</v>
      </c>
      <c r="E38" s="22"/>
      <c r="F38" s="36">
        <f t="shared" ref="F38:F47" si="17">IF(D$12=0,0,D38/D$12)</f>
        <v>25.412528544489618</v>
      </c>
      <c r="G38" s="22"/>
      <c r="H38" s="22">
        <f>SUM(OSRRefH22x_0)</f>
        <v>47944.63</v>
      </c>
      <c r="I38" s="22"/>
      <c r="J38" s="36">
        <f t="shared" ref="J38:J47" si="18">IF(H$12=0,0,H38/H$12)</f>
        <v>1.2927178534220012</v>
      </c>
      <c r="K38" s="4"/>
      <c r="L38" s="22">
        <f t="shared" ref="L38:L47" si="19">+D38-H38</f>
        <v>-16005.909999999996</v>
      </c>
      <c r="M38" s="4"/>
      <c r="N38" s="36">
        <f t="shared" ref="N38:N47" si="20">IF(H38=0,0,L38/H38)</f>
        <v>-0.33384155848110619</v>
      </c>
      <c r="O38" s="10"/>
      <c r="P38" s="22">
        <f>SUM(OSRRefP22x_0)</f>
        <v>192124.46</v>
      </c>
      <c r="Q38" s="22"/>
      <c r="R38" s="36">
        <f t="shared" ref="R38:R47" si="21">IF(P$12=0,0,P38/P$12)</f>
        <v>2.5674886929952434</v>
      </c>
      <c r="S38" s="22"/>
      <c r="T38" s="22">
        <f>SUM(OSRRefT22x_0)</f>
        <v>274962.56000000006</v>
      </c>
      <c r="U38" s="22"/>
      <c r="V38" s="36">
        <f t="shared" ref="V38:V47" si="22">IF(T$12=0,0,T38/T$12)</f>
        <v>0.89376689855762148</v>
      </c>
      <c r="W38" s="4"/>
      <c r="X38" s="22">
        <f t="shared" ref="X38:X47" si="23">+P38-T38</f>
        <v>-82838.100000000064</v>
      </c>
      <c r="Y38" s="4"/>
      <c r="Z38" s="36">
        <f t="shared" ref="Z38:Z47" si="24">IF(T38=0,0,X38/T38)</f>
        <v>-0.30127047115069067</v>
      </c>
    </row>
    <row r="39" spans="1:26" s="25" customFormat="1" outlineLevel="1" collapsed="1" x14ac:dyDescent="0.25">
      <c r="A39" s="26"/>
      <c r="B39" s="13" t="str">
        <f>CONCATENATE("     ","*Benefits                                         ")</f>
        <v xml:space="preserve">     *Benefits                                         </v>
      </c>
      <c r="C39" s="13"/>
      <c r="D39" s="1">
        <f>SUM(OSRRefD22_0x_0)</f>
        <v>8896.2999999999993</v>
      </c>
      <c r="E39" s="1"/>
      <c r="F39" s="5">
        <f t="shared" si="17"/>
        <v>7.0784764602445858</v>
      </c>
      <c r="G39" s="1"/>
      <c r="H39" s="1">
        <f>SUM(OSRRefH22_0x_0)</f>
        <v>7538.7500000000009</v>
      </c>
      <c r="I39" s="1"/>
      <c r="J39" s="5">
        <f t="shared" si="18"/>
        <v>0.20326523987118292</v>
      </c>
      <c r="K39" s="1"/>
      <c r="L39" s="1">
        <f t="shared" si="19"/>
        <v>1357.5499999999984</v>
      </c>
      <c r="M39" s="1"/>
      <c r="N39" s="5">
        <f t="shared" si="20"/>
        <v>0.18007627259160977</v>
      </c>
      <c r="O39" s="13"/>
      <c r="P39" s="1">
        <f>SUM(OSRRefP22_0x_0)</f>
        <v>54708.87</v>
      </c>
      <c r="Q39" s="1"/>
      <c r="R39" s="5">
        <f t="shared" si="21"/>
        <v>0.73111151558498433</v>
      </c>
      <c r="S39" s="1"/>
      <c r="T39" s="1">
        <f>SUM(OSRRefT22_0x_0)</f>
        <v>48102.65</v>
      </c>
      <c r="U39" s="1"/>
      <c r="V39" s="5">
        <f t="shared" si="22"/>
        <v>0.15635785578553954</v>
      </c>
      <c r="W39" s="1"/>
      <c r="X39" s="1">
        <f t="shared" si="23"/>
        <v>6606.2200000000012</v>
      </c>
      <c r="Y39" s="1"/>
      <c r="Z39" s="5">
        <f t="shared" si="24"/>
        <v>0.13733588482131442</v>
      </c>
    </row>
    <row r="40" spans="1:26" s="24" customFormat="1" hidden="1" outlineLevel="2" x14ac:dyDescent="0.25">
      <c r="A40" s="27"/>
      <c r="B40" s="11" t="str">
        <f>CONCATENATE("          ", "6111", " - ", "F.I.C.A.")</f>
        <v xml:space="preserve">          6111 - F.I.C.A.</v>
      </c>
      <c r="C40" s="11"/>
      <c r="D40" s="7">
        <v>1206.3</v>
      </c>
      <c r="E40" s="2"/>
      <c r="F40" s="6">
        <f t="shared" si="17"/>
        <v>0.95981094994470106</v>
      </c>
      <c r="G40" s="2"/>
      <c r="H40" s="7">
        <v>1091.3900000000001</v>
      </c>
      <c r="I40" s="2"/>
      <c r="J40" s="6">
        <f t="shared" si="18"/>
        <v>2.9426847971216755E-2</v>
      </c>
      <c r="K40" s="2"/>
      <c r="L40" s="7">
        <f t="shared" si="19"/>
        <v>114.90999999999985</v>
      </c>
      <c r="M40" s="2"/>
      <c r="N40" s="6">
        <f t="shared" si="20"/>
        <v>0.10528775231585395</v>
      </c>
      <c r="O40" s="11"/>
      <c r="P40" s="7">
        <v>7826.77</v>
      </c>
      <c r="Q40" s="2"/>
      <c r="R40" s="6">
        <f t="shared" si="21"/>
        <v>0.10459440446924032</v>
      </c>
      <c r="S40" s="2"/>
      <c r="T40" s="7">
        <v>8053.82</v>
      </c>
      <c r="U40" s="2"/>
      <c r="V40" s="6">
        <f t="shared" si="22"/>
        <v>2.6178974049926439E-2</v>
      </c>
      <c r="W40" s="2"/>
      <c r="X40" s="7">
        <f t="shared" si="23"/>
        <v>-227.04999999999927</v>
      </c>
      <c r="Y40" s="2"/>
      <c r="Z40" s="6">
        <f t="shared" si="24"/>
        <v>-2.8191591071069291E-2</v>
      </c>
    </row>
    <row r="41" spans="1:26" s="24" customFormat="1" hidden="1" outlineLevel="2" x14ac:dyDescent="0.25">
      <c r="A41" s="27"/>
      <c r="B41" s="11" t="str">
        <f>CONCATENATE("          ", "6112", " - ", "COMPENSATION INSURANCE")</f>
        <v xml:space="preserve">          6112 - COMPENSATION INSURANCE</v>
      </c>
      <c r="C41" s="11"/>
      <c r="D41" s="7">
        <v>556.65</v>
      </c>
      <c r="E41" s="2"/>
      <c r="F41" s="6">
        <f t="shared" si="17"/>
        <v>0.44290704243282586</v>
      </c>
      <c r="G41" s="2"/>
      <c r="H41" s="7">
        <v>301.45</v>
      </c>
      <c r="I41" s="2"/>
      <c r="J41" s="6">
        <f t="shared" si="18"/>
        <v>8.1279133223900631E-3</v>
      </c>
      <c r="K41" s="2"/>
      <c r="L41" s="7">
        <f t="shared" si="19"/>
        <v>255.2</v>
      </c>
      <c r="M41" s="2"/>
      <c r="N41" s="6">
        <f t="shared" si="20"/>
        <v>0.84657488804113457</v>
      </c>
      <c r="O41" s="11"/>
      <c r="P41" s="7">
        <v>2343.9499999999998</v>
      </c>
      <c r="Q41" s="2"/>
      <c r="R41" s="6">
        <f t="shared" si="21"/>
        <v>3.1323784186283204E-2</v>
      </c>
      <c r="S41" s="2"/>
      <c r="T41" s="7">
        <v>1215.4100000000001</v>
      </c>
      <c r="U41" s="2"/>
      <c r="V41" s="6">
        <f t="shared" si="22"/>
        <v>3.9506950552683192E-3</v>
      </c>
      <c r="W41" s="2"/>
      <c r="X41" s="7">
        <f t="shared" si="23"/>
        <v>1128.5399999999997</v>
      </c>
      <c r="Y41" s="2"/>
      <c r="Z41" s="6">
        <f t="shared" si="24"/>
        <v>0.92852617635201262</v>
      </c>
    </row>
    <row r="42" spans="1:26" s="24" customFormat="1" hidden="1" outlineLevel="2" x14ac:dyDescent="0.25">
      <c r="A42" s="27"/>
      <c r="B42" s="11" t="str">
        <f>CONCATENATE("          ", "6113", " - ", "GROUP INSURANCE")</f>
        <v xml:space="preserve">          6113 - GROUP INSURANCE</v>
      </c>
      <c r="C42" s="11"/>
      <c r="D42" s="7">
        <v>3423.78</v>
      </c>
      <c r="E42" s="2"/>
      <c r="F42" s="6">
        <f t="shared" si="17"/>
        <v>2.7241826529069626</v>
      </c>
      <c r="G42" s="2"/>
      <c r="H42" s="7">
        <v>3051.28</v>
      </c>
      <c r="I42" s="2"/>
      <c r="J42" s="6">
        <f t="shared" si="18"/>
        <v>8.227082223367839E-2</v>
      </c>
      <c r="K42" s="2"/>
      <c r="L42" s="7">
        <f t="shared" si="19"/>
        <v>372.5</v>
      </c>
      <c r="M42" s="2"/>
      <c r="N42" s="6">
        <f t="shared" si="20"/>
        <v>0.12207991400330352</v>
      </c>
      <c r="O42" s="11"/>
      <c r="P42" s="7">
        <v>19741.329999999998</v>
      </c>
      <c r="Q42" s="2"/>
      <c r="R42" s="6">
        <f t="shared" si="21"/>
        <v>0.26381670277531444</v>
      </c>
      <c r="S42" s="2"/>
      <c r="T42" s="7">
        <v>17688.7</v>
      </c>
      <c r="U42" s="2"/>
      <c r="V42" s="6">
        <f t="shared" si="22"/>
        <v>5.7497189939300086E-2</v>
      </c>
      <c r="W42" s="2"/>
      <c r="X42" s="7">
        <f t="shared" si="23"/>
        <v>2052.6299999999974</v>
      </c>
      <c r="Y42" s="2"/>
      <c r="Z42" s="6">
        <f t="shared" si="24"/>
        <v>0.11604187984419416</v>
      </c>
    </row>
    <row r="43" spans="1:26" s="24" customFormat="1" hidden="1" outlineLevel="2" x14ac:dyDescent="0.25">
      <c r="A43" s="27"/>
      <c r="B43" s="11" t="str">
        <f>CONCATENATE("          ", "6114", " - ", "STATE UNEMPLOYMENT INSURANCE")</f>
        <v xml:space="preserve">          6114 - STATE UNEMPLOYMENT INSURANCE</v>
      </c>
      <c r="C43" s="11"/>
      <c r="D43" s="7"/>
      <c r="E43" s="2"/>
      <c r="F43" s="6">
        <f t="shared" si="17"/>
        <v>0</v>
      </c>
      <c r="G43" s="2"/>
      <c r="H43" s="7">
        <v>63.88</v>
      </c>
      <c r="I43" s="2"/>
      <c r="J43" s="6">
        <f t="shared" si="18"/>
        <v>1.722378845693406E-3</v>
      </c>
      <c r="K43" s="2"/>
      <c r="L43" s="7">
        <f t="shared" si="19"/>
        <v>-63.88</v>
      </c>
      <c r="M43" s="2"/>
      <c r="N43" s="6">
        <f t="shared" si="20"/>
        <v>-1</v>
      </c>
      <c r="O43" s="11"/>
      <c r="P43" s="7">
        <v>251.18</v>
      </c>
      <c r="Q43" s="2"/>
      <c r="R43" s="6">
        <f t="shared" si="21"/>
        <v>3.3566876903989491E-3</v>
      </c>
      <c r="S43" s="2"/>
      <c r="T43" s="7">
        <v>317</v>
      </c>
      <c r="U43" s="2"/>
      <c r="V43" s="6">
        <f t="shared" si="22"/>
        <v>1.0304097650340684E-3</v>
      </c>
      <c r="W43" s="2"/>
      <c r="X43" s="7">
        <f t="shared" si="23"/>
        <v>-65.819999999999993</v>
      </c>
      <c r="Y43" s="2"/>
      <c r="Z43" s="6">
        <f t="shared" si="24"/>
        <v>-0.20763406940063089</v>
      </c>
    </row>
    <row r="44" spans="1:26" s="24" customFormat="1" hidden="1" outlineLevel="2" x14ac:dyDescent="0.25">
      <c r="A44" s="27"/>
      <c r="B44" s="11" t="str">
        <f>CONCATENATE("          ", "6115", " - ", "P.E.R.S.")</f>
        <v xml:space="preserve">          6115 - P.E.R.S.</v>
      </c>
      <c r="C44" s="11"/>
      <c r="D44" s="7">
        <v>1385.13</v>
      </c>
      <c r="E44" s="2"/>
      <c r="F44" s="6">
        <f t="shared" si="17"/>
        <v>1.10209976050477</v>
      </c>
      <c r="G44" s="2"/>
      <c r="H44" s="7">
        <v>1187.75</v>
      </c>
      <c r="I44" s="2"/>
      <c r="J44" s="6">
        <f t="shared" si="18"/>
        <v>3.2024976111026032E-2</v>
      </c>
      <c r="K44" s="2"/>
      <c r="L44" s="7">
        <f t="shared" si="19"/>
        <v>197.38000000000011</v>
      </c>
      <c r="M44" s="2"/>
      <c r="N44" s="6">
        <f t="shared" si="20"/>
        <v>0.16617975163123563</v>
      </c>
      <c r="O44" s="11"/>
      <c r="P44" s="7">
        <v>10064.209999999999</v>
      </c>
      <c r="Q44" s="2"/>
      <c r="R44" s="6">
        <f t="shared" si="21"/>
        <v>0.13449482371442792</v>
      </c>
      <c r="S44" s="2"/>
      <c r="T44" s="7">
        <v>7955.53</v>
      </c>
      <c r="U44" s="2"/>
      <c r="V44" s="6">
        <f t="shared" si="22"/>
        <v>2.5859482012686064E-2</v>
      </c>
      <c r="W44" s="2"/>
      <c r="X44" s="7">
        <f t="shared" si="23"/>
        <v>2108.6799999999994</v>
      </c>
      <c r="Y44" s="2"/>
      <c r="Z44" s="6">
        <f t="shared" si="24"/>
        <v>0.26505839334400089</v>
      </c>
    </row>
    <row r="45" spans="1:26" s="24" customFormat="1" hidden="1" outlineLevel="2" x14ac:dyDescent="0.25">
      <c r="A45" s="27"/>
      <c r="B45" s="11" t="str">
        <f>CONCATENATE("          ", "6118", " - ", "VACATION")</f>
        <v xml:space="preserve">          6118 - VACATION</v>
      </c>
      <c r="C45" s="11"/>
      <c r="D45" s="7">
        <v>1216.0999999999999</v>
      </c>
      <c r="E45" s="2"/>
      <c r="F45" s="6">
        <f t="shared" si="17"/>
        <v>0.96760846906055786</v>
      </c>
      <c r="G45" s="2"/>
      <c r="H45" s="7">
        <v>969.46</v>
      </c>
      <c r="I45" s="2"/>
      <c r="J45" s="6">
        <f t="shared" si="18"/>
        <v>2.6139282964087809E-2</v>
      </c>
      <c r="K45" s="2"/>
      <c r="L45" s="7">
        <f t="shared" si="19"/>
        <v>246.63999999999987</v>
      </c>
      <c r="M45" s="2"/>
      <c r="N45" s="6">
        <f t="shared" si="20"/>
        <v>0.25440967136343928</v>
      </c>
      <c r="O45" s="11"/>
      <c r="P45" s="7">
        <v>7667.43</v>
      </c>
      <c r="Q45" s="2"/>
      <c r="R45" s="6">
        <f t="shared" si="21"/>
        <v>0.10246503661914012</v>
      </c>
      <c r="S45" s="2"/>
      <c r="T45" s="7">
        <v>7021.05</v>
      </c>
      <c r="U45" s="2"/>
      <c r="V45" s="6">
        <f t="shared" si="22"/>
        <v>2.2821951043509293E-2</v>
      </c>
      <c r="W45" s="2"/>
      <c r="X45" s="7">
        <f t="shared" si="23"/>
        <v>646.38000000000011</v>
      </c>
      <c r="Y45" s="2"/>
      <c r="Z45" s="6">
        <f t="shared" si="24"/>
        <v>9.2063152947208765E-2</v>
      </c>
    </row>
    <row r="46" spans="1:26" s="24" customFormat="1" hidden="1" outlineLevel="2" x14ac:dyDescent="0.25">
      <c r="A46" s="27"/>
      <c r="B46" s="11" t="str">
        <f>CONCATENATE("          ", "6119", " - ", "SICK LEAVE")</f>
        <v xml:space="preserve">          6119 - SICK LEAVE</v>
      </c>
      <c r="C46" s="11"/>
      <c r="D46" s="7">
        <v>738.5</v>
      </c>
      <c r="E46" s="2"/>
      <c r="F46" s="6">
        <f t="shared" si="17"/>
        <v>0.587598761944924</v>
      </c>
      <c r="G46" s="2"/>
      <c r="H46" s="7">
        <v>556.54</v>
      </c>
      <c r="I46" s="2"/>
      <c r="J46" s="6">
        <f t="shared" si="18"/>
        <v>1.5005834733597496E-2</v>
      </c>
      <c r="K46" s="2"/>
      <c r="L46" s="7">
        <f t="shared" si="19"/>
        <v>181.96000000000004</v>
      </c>
      <c r="M46" s="2"/>
      <c r="N46" s="6">
        <f t="shared" si="20"/>
        <v>0.32694864699752046</v>
      </c>
      <c r="O46" s="11"/>
      <c r="P46" s="7">
        <v>4694.2700000000004</v>
      </c>
      <c r="Q46" s="2"/>
      <c r="R46" s="6">
        <f t="shared" si="21"/>
        <v>6.273269497734324E-2</v>
      </c>
      <c r="S46" s="2"/>
      <c r="T46" s="7">
        <v>4184.8599999999997</v>
      </c>
      <c r="U46" s="2"/>
      <c r="V46" s="6">
        <f t="shared" si="22"/>
        <v>1.3602904130285398E-2</v>
      </c>
      <c r="W46" s="2"/>
      <c r="X46" s="7">
        <f t="shared" si="23"/>
        <v>509.41000000000076</v>
      </c>
      <c r="Y46" s="2"/>
      <c r="Z46" s="6">
        <f t="shared" si="24"/>
        <v>0.12172689170008096</v>
      </c>
    </row>
    <row r="47" spans="1:26" s="24" customFormat="1" hidden="1" outlineLevel="2" x14ac:dyDescent="0.25">
      <c r="A47" s="27"/>
      <c r="B47" s="11" t="str">
        <f>CONCATENATE("          ", "6156", " - ", "EMPLOYEE MEALS")</f>
        <v xml:space="preserve">          6156 - EMPLOYEE MEALS</v>
      </c>
      <c r="C47" s="11"/>
      <c r="D47" s="7">
        <v>369.84</v>
      </c>
      <c r="E47" s="2"/>
      <c r="F47" s="6">
        <f t="shared" si="17"/>
        <v>0.29426882344984517</v>
      </c>
      <c r="G47" s="2"/>
      <c r="H47" s="7">
        <v>317</v>
      </c>
      <c r="I47" s="2"/>
      <c r="J47" s="6">
        <f t="shared" si="18"/>
        <v>8.5471836894929504E-3</v>
      </c>
      <c r="K47" s="2"/>
      <c r="L47" s="7">
        <f t="shared" si="19"/>
        <v>52.839999999999975</v>
      </c>
      <c r="M47" s="2"/>
      <c r="N47" s="6">
        <f t="shared" si="20"/>
        <v>0.16668769716088319</v>
      </c>
      <c r="O47" s="11"/>
      <c r="P47" s="7">
        <v>2119.73</v>
      </c>
      <c r="Q47" s="2"/>
      <c r="R47" s="6">
        <f t="shared" si="21"/>
        <v>2.8327381152836072E-2</v>
      </c>
      <c r="S47" s="2"/>
      <c r="T47" s="7">
        <v>1666.28</v>
      </c>
      <c r="U47" s="2"/>
      <c r="V47" s="6">
        <f t="shared" si="22"/>
        <v>5.4162497895298657E-3</v>
      </c>
      <c r="W47" s="2"/>
      <c r="X47" s="7">
        <f t="shared" si="23"/>
        <v>453.45000000000005</v>
      </c>
      <c r="Y47" s="2"/>
      <c r="Z47" s="6">
        <f t="shared" si="24"/>
        <v>0.2721331348872939</v>
      </c>
    </row>
    <row r="48" spans="1:26" s="25" customFormat="1" outlineLevel="1" collapsed="1" x14ac:dyDescent="0.25">
      <c r="A48" s="26"/>
      <c r="B48" s="13" t="str">
        <f>CONCATENATE("     ","*Payroll                                          ")</f>
        <v xml:space="preserve">     *Payroll                                          </v>
      </c>
      <c r="C48" s="13"/>
      <c r="D48" s="1">
        <f>SUM(OSRRefD22_1x_0)</f>
        <v>14567.890000000001</v>
      </c>
      <c r="E48" s="1"/>
      <c r="F48" s="5">
        <f t="shared" ref="F48:F52" si="25">IF(D$12=0,0,D48/D$12)</f>
        <v>11.591163342112173</v>
      </c>
      <c r="G48" s="1"/>
      <c r="H48" s="1">
        <f>SUM(OSRRefH22_1x_0)</f>
        <v>16061.960000000001</v>
      </c>
      <c r="I48" s="1"/>
      <c r="J48" s="5">
        <f t="shared" ref="J48:J52" si="26">IF(H$12=0,0,H48/H$12)</f>
        <v>0.43307420357504162</v>
      </c>
      <c r="K48" s="1"/>
      <c r="L48" s="1">
        <f t="shared" ref="L48:L52" si="27">+D48-H48</f>
        <v>-1494.0699999999997</v>
      </c>
      <c r="M48" s="1"/>
      <c r="N48" s="5">
        <f t="shared" ref="N48:N52" si="28">IF(H48=0,0,L48/H48)</f>
        <v>-9.301915830944664E-2</v>
      </c>
      <c r="O48" s="13"/>
      <c r="P48" s="1">
        <f>SUM(OSRRefP22_1x_0)</f>
        <v>87263.33</v>
      </c>
      <c r="Q48" s="1"/>
      <c r="R48" s="5">
        <f t="shared" ref="R48:R52" si="29">IF(P$12=0,0,P48/P$12)</f>
        <v>1.1661587134095921</v>
      </c>
      <c r="S48" s="1"/>
      <c r="T48" s="1">
        <f>SUM(OSRRefT22_1x_0)</f>
        <v>103847.16999999998</v>
      </c>
      <c r="U48" s="1"/>
      <c r="V48" s="5">
        <f t="shared" ref="V48:V52" si="30">IF(T$12=0,0,T48/T$12)</f>
        <v>0.33755564050205977</v>
      </c>
      <c r="W48" s="1"/>
      <c r="X48" s="1">
        <f t="shared" ref="X48:X52" si="31">+P48-T48</f>
        <v>-16583.839999999982</v>
      </c>
      <c r="Y48" s="1"/>
      <c r="Z48" s="5">
        <f t="shared" ref="Z48:Z52" si="32">IF(T48=0,0,X48/T48)</f>
        <v>-0.15969467439507484</v>
      </c>
    </row>
    <row r="49" spans="1:26" s="24" customFormat="1" hidden="1" outlineLevel="2" x14ac:dyDescent="0.25">
      <c r="A49" s="27"/>
      <c r="B49" s="11" t="str">
        <f>CONCATENATE("          ", "6002", " - ", "STAFF SALARIES")</f>
        <v xml:space="preserve">          6002 - STAFF SALARIES</v>
      </c>
      <c r="C49" s="11"/>
      <c r="D49" s="7">
        <v>14236.79</v>
      </c>
      <c r="E49" s="2"/>
      <c r="F49" s="6">
        <f t="shared" si="25"/>
        <v>11.327718589126439</v>
      </c>
      <c r="G49" s="2"/>
      <c r="H49" s="7">
        <v>11747.2</v>
      </c>
      <c r="I49" s="2"/>
      <c r="J49" s="6">
        <f t="shared" si="26"/>
        <v>0.31673651809845926</v>
      </c>
      <c r="K49" s="2"/>
      <c r="L49" s="7">
        <f t="shared" si="27"/>
        <v>2489.59</v>
      </c>
      <c r="M49" s="2"/>
      <c r="N49" s="6">
        <f t="shared" si="28"/>
        <v>0.21193050258785073</v>
      </c>
      <c r="O49" s="11"/>
      <c r="P49" s="7">
        <v>83030.710000000006</v>
      </c>
      <c r="Q49" s="2"/>
      <c r="R49" s="6">
        <f t="shared" si="29"/>
        <v>1.1095953586355798</v>
      </c>
      <c r="S49" s="2"/>
      <c r="T49" s="7">
        <v>69465.759999999995</v>
      </c>
      <c r="U49" s="2"/>
      <c r="V49" s="6">
        <f t="shared" si="30"/>
        <v>0.22579873009310089</v>
      </c>
      <c r="W49" s="2"/>
      <c r="X49" s="7">
        <f t="shared" si="31"/>
        <v>13564.950000000012</v>
      </c>
      <c r="Y49" s="2"/>
      <c r="Z49" s="6">
        <f t="shared" si="32"/>
        <v>0.19527534140560779</v>
      </c>
    </row>
    <row r="50" spans="1:26" s="24" customFormat="1" hidden="1" outlineLevel="2" x14ac:dyDescent="0.25">
      <c r="A50" s="27"/>
      <c r="B50" s="11" t="str">
        <f>CONCATENATE("          ", "6005", " - ", "TEMPORARY WAGES-HOURLY")</f>
        <v xml:space="preserve">          6005 - TEMPORARY WAGES-HOURLY</v>
      </c>
      <c r="C50" s="11"/>
      <c r="D50" s="7"/>
      <c r="E50" s="2"/>
      <c r="F50" s="6">
        <f t="shared" si="25"/>
        <v>0</v>
      </c>
      <c r="G50" s="2"/>
      <c r="H50" s="7">
        <v>1897</v>
      </c>
      <c r="I50" s="2"/>
      <c r="J50" s="6">
        <f t="shared" si="26"/>
        <v>5.1148288514095037E-2</v>
      </c>
      <c r="K50" s="2"/>
      <c r="L50" s="7">
        <f t="shared" si="27"/>
        <v>-1897</v>
      </c>
      <c r="M50" s="2"/>
      <c r="N50" s="6">
        <f t="shared" si="28"/>
        <v>-1</v>
      </c>
      <c r="O50" s="11"/>
      <c r="P50" s="7">
        <v>383.25</v>
      </c>
      <c r="Q50" s="2"/>
      <c r="R50" s="6">
        <f t="shared" si="29"/>
        <v>5.1216281445393627E-3</v>
      </c>
      <c r="S50" s="2"/>
      <c r="T50" s="7">
        <v>11858</v>
      </c>
      <c r="U50" s="2"/>
      <c r="V50" s="6">
        <f t="shared" si="30"/>
        <v>3.8544476321053574E-2</v>
      </c>
      <c r="W50" s="2"/>
      <c r="X50" s="7">
        <f t="shared" si="31"/>
        <v>-11474.75</v>
      </c>
      <c r="Y50" s="2"/>
      <c r="Z50" s="6">
        <f t="shared" si="32"/>
        <v>-0.96768004722550172</v>
      </c>
    </row>
    <row r="51" spans="1:26" s="24" customFormat="1" hidden="1" outlineLevel="2" x14ac:dyDescent="0.25">
      <c r="A51" s="27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5"/>
        <v>0</v>
      </c>
      <c r="G51" s="2"/>
      <c r="H51" s="7"/>
      <c r="I51" s="2"/>
      <c r="J51" s="6">
        <f t="shared" si="26"/>
        <v>0</v>
      </c>
      <c r="K51" s="2"/>
      <c r="L51" s="7">
        <f t="shared" si="27"/>
        <v>0</v>
      </c>
      <c r="M51" s="2"/>
      <c r="N51" s="6">
        <f t="shared" si="28"/>
        <v>0</v>
      </c>
      <c r="O51" s="11"/>
      <c r="P51" s="7"/>
      <c r="Q51" s="2"/>
      <c r="R51" s="6">
        <f t="shared" si="29"/>
        <v>0</v>
      </c>
      <c r="S51" s="2"/>
      <c r="T51" s="7">
        <v>57.37</v>
      </c>
      <c r="U51" s="2"/>
      <c r="V51" s="6">
        <f t="shared" si="30"/>
        <v>1.8648141394323186E-4</v>
      </c>
      <c r="W51" s="2"/>
      <c r="X51" s="7">
        <f t="shared" si="31"/>
        <v>-57.37</v>
      </c>
      <c r="Y51" s="2"/>
      <c r="Z51" s="6">
        <f t="shared" si="32"/>
        <v>-1</v>
      </c>
    </row>
    <row r="52" spans="1:26" s="24" customFormat="1" hidden="1" outlineLevel="2" x14ac:dyDescent="0.25">
      <c r="A52" s="27"/>
      <c r="B52" s="11" t="str">
        <f>CONCATENATE("          ", "6007", " - ", "STUDENT HOURLY")</f>
        <v xml:space="preserve">          6007 - STUDENT HOURLY</v>
      </c>
      <c r="C52" s="11"/>
      <c r="D52" s="7">
        <v>331.1</v>
      </c>
      <c r="E52" s="2"/>
      <c r="F52" s="6">
        <f t="shared" si="25"/>
        <v>0.26344475298573372</v>
      </c>
      <c r="G52" s="2"/>
      <c r="H52" s="7">
        <v>2417.7600000000002</v>
      </c>
      <c r="I52" s="2"/>
      <c r="J52" s="6">
        <f t="shared" si="26"/>
        <v>6.5189396962487309E-2</v>
      </c>
      <c r="K52" s="2"/>
      <c r="L52" s="7">
        <f t="shared" si="27"/>
        <v>-2086.6600000000003</v>
      </c>
      <c r="M52" s="2"/>
      <c r="N52" s="6">
        <f t="shared" si="28"/>
        <v>-0.86305505922837678</v>
      </c>
      <c r="O52" s="11"/>
      <c r="P52" s="7">
        <v>3849.37</v>
      </c>
      <c r="Q52" s="2"/>
      <c r="R52" s="6">
        <f t="shared" si="29"/>
        <v>5.1441726629472898E-2</v>
      </c>
      <c r="S52" s="2"/>
      <c r="T52" s="7">
        <v>22466.04</v>
      </c>
      <c r="U52" s="2"/>
      <c r="V52" s="6">
        <f t="shared" si="30"/>
        <v>7.3025952673962086E-2</v>
      </c>
      <c r="W52" s="2"/>
      <c r="X52" s="7">
        <f t="shared" si="31"/>
        <v>-18616.670000000002</v>
      </c>
      <c r="Y52" s="2"/>
      <c r="Z52" s="6">
        <f t="shared" si="32"/>
        <v>-0.82865827711514806</v>
      </c>
    </row>
    <row r="53" spans="1:26" s="25" customFormat="1" outlineLevel="1" collapsed="1" x14ac:dyDescent="0.25">
      <c r="A53" s="26"/>
      <c r="B53" s="13" t="str">
        <f>CONCATENATE("     ","Advertising/Promo                                 ")</f>
        <v xml:space="preserve">     Advertising/Promo                                 </v>
      </c>
      <c r="C53" s="13"/>
      <c r="D53" s="1">
        <f>SUM(OSRRefD22_2x_0)</f>
        <v>0</v>
      </c>
      <c r="E53" s="1"/>
      <c r="F53" s="5">
        <f t="shared" ref="F53:F63" si="33">IF(D$12=0,0,D53/D$12)</f>
        <v>0</v>
      </c>
      <c r="G53" s="1"/>
      <c r="H53" s="1">
        <f>SUM(OSRRefH22_2x_0)</f>
        <v>397.5</v>
      </c>
      <c r="I53" s="1"/>
      <c r="J53" s="5">
        <f t="shared" ref="J53:J63" si="34">IF(H$12=0,0,H53/H$12)</f>
        <v>1.0717683017581855E-2</v>
      </c>
      <c r="K53" s="1"/>
      <c r="L53" s="1">
        <f t="shared" ref="L53:L63" si="35">+D53-H53</f>
        <v>-397.5</v>
      </c>
      <c r="M53" s="1"/>
      <c r="N53" s="5">
        <f t="shared" ref="N53:N63" si="36">IF(H53=0,0,L53/H53)</f>
        <v>-1</v>
      </c>
      <c r="O53" s="13"/>
      <c r="P53" s="1">
        <f>SUM(OSRRefP22_2x_0)</f>
        <v>0</v>
      </c>
      <c r="Q53" s="1"/>
      <c r="R53" s="5">
        <f t="shared" ref="R53:R63" si="37">IF(P$12=0,0,P53/P$12)</f>
        <v>0</v>
      </c>
      <c r="S53" s="1"/>
      <c r="T53" s="1">
        <f>SUM(OSRRefT22_2x_0)</f>
        <v>-459.96</v>
      </c>
      <c r="U53" s="1"/>
      <c r="V53" s="5">
        <f t="shared" ref="V53:V63" si="38">IF(T$12=0,0,T53/T$12)</f>
        <v>-1.4951018155364988E-3</v>
      </c>
      <c r="W53" s="1"/>
      <c r="X53" s="1">
        <f t="shared" ref="X53:X63" si="39">+P53-T53</f>
        <v>459.96</v>
      </c>
      <c r="Y53" s="1"/>
      <c r="Z53" s="5">
        <f t="shared" ref="Z53:Z63" si="40">IF(T53=0,0,X53/T53)</f>
        <v>-1</v>
      </c>
    </row>
    <row r="54" spans="1:26" s="24" customFormat="1" hidden="1" outlineLevel="2" x14ac:dyDescent="0.25">
      <c r="A54" s="27"/>
      <c r="B54" s="11" t="str">
        <f>CONCATENATE("          ", "6362", " - ", "ADVERTISING EXPENSE")</f>
        <v xml:space="preserve">          6362 - ADVERTISING EXPENSE</v>
      </c>
      <c r="C54" s="11"/>
      <c r="D54" s="7"/>
      <c r="E54" s="2"/>
      <c r="F54" s="6">
        <f t="shared" si="33"/>
        <v>0</v>
      </c>
      <c r="G54" s="2"/>
      <c r="H54" s="7">
        <v>397.5</v>
      </c>
      <c r="I54" s="2"/>
      <c r="J54" s="6">
        <f t="shared" si="34"/>
        <v>1.0717683017581855E-2</v>
      </c>
      <c r="K54" s="2"/>
      <c r="L54" s="7">
        <f t="shared" si="35"/>
        <v>-397.5</v>
      </c>
      <c r="M54" s="2"/>
      <c r="N54" s="6">
        <f t="shared" si="36"/>
        <v>-1</v>
      </c>
      <c r="O54" s="11"/>
      <c r="P54" s="7"/>
      <c r="Q54" s="2"/>
      <c r="R54" s="6">
        <f t="shared" si="37"/>
        <v>0</v>
      </c>
      <c r="S54" s="2"/>
      <c r="T54" s="7">
        <v>-459.96</v>
      </c>
      <c r="U54" s="2"/>
      <c r="V54" s="6">
        <f t="shared" si="38"/>
        <v>-1.4951018155364988E-3</v>
      </c>
      <c r="W54" s="2"/>
      <c r="X54" s="7">
        <f t="shared" si="39"/>
        <v>459.96</v>
      </c>
      <c r="Y54" s="2"/>
      <c r="Z54" s="6">
        <f t="shared" si="40"/>
        <v>-1</v>
      </c>
    </row>
    <row r="55" spans="1:26" s="25" customFormat="1" outlineLevel="1" collapsed="1" x14ac:dyDescent="0.25">
      <c r="A55" s="26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SUM(OSRRefD22_3x_0)</f>
        <v>169.88</v>
      </c>
      <c r="E55" s="1"/>
      <c r="F55" s="5">
        <f t="shared" si="33"/>
        <v>0.13516760687773011</v>
      </c>
      <c r="G55" s="1"/>
      <c r="H55" s="1">
        <f>SUM(OSRRefH22_3x_0)</f>
        <v>169.88</v>
      </c>
      <c r="I55" s="1"/>
      <c r="J55" s="5">
        <f t="shared" si="34"/>
        <v>4.5804276503819E-3</v>
      </c>
      <c r="K55" s="1"/>
      <c r="L55" s="1">
        <f t="shared" si="35"/>
        <v>0</v>
      </c>
      <c r="M55" s="1"/>
      <c r="N55" s="5">
        <f t="shared" si="36"/>
        <v>0</v>
      </c>
      <c r="O55" s="13"/>
      <c r="P55" s="1">
        <f>SUM(OSRRefP22_3x_0)</f>
        <v>1019.28</v>
      </c>
      <c r="Q55" s="1"/>
      <c r="R55" s="5">
        <f t="shared" si="37"/>
        <v>1.3621325858228525E-2</v>
      </c>
      <c r="S55" s="1"/>
      <c r="T55" s="1">
        <f>SUM(OSRRefT22_3x_0)</f>
        <v>169.88</v>
      </c>
      <c r="U55" s="1"/>
      <c r="V55" s="5">
        <f t="shared" si="38"/>
        <v>5.5219561793056003E-4</v>
      </c>
      <c r="W55" s="1"/>
      <c r="X55" s="1">
        <f t="shared" si="39"/>
        <v>849.4</v>
      </c>
      <c r="Y55" s="1"/>
      <c r="Z55" s="5">
        <f t="shared" si="40"/>
        <v>5</v>
      </c>
    </row>
    <row r="56" spans="1:26" s="24" customFormat="1" hidden="1" outlineLevel="2" x14ac:dyDescent="0.25">
      <c r="A56" s="27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169.88</v>
      </c>
      <c r="E56" s="2"/>
      <c r="F56" s="6">
        <f t="shared" si="33"/>
        <v>0.13516760687773011</v>
      </c>
      <c r="G56" s="2"/>
      <c r="H56" s="7">
        <v>169.88</v>
      </c>
      <c r="I56" s="2"/>
      <c r="J56" s="6">
        <f t="shared" si="34"/>
        <v>4.5804276503819E-3</v>
      </c>
      <c r="K56" s="2"/>
      <c r="L56" s="7">
        <f t="shared" si="35"/>
        <v>0</v>
      </c>
      <c r="M56" s="2"/>
      <c r="N56" s="6">
        <f t="shared" si="36"/>
        <v>0</v>
      </c>
      <c r="O56" s="11"/>
      <c r="P56" s="7">
        <v>1019.28</v>
      </c>
      <c r="Q56" s="2"/>
      <c r="R56" s="6">
        <f t="shared" si="37"/>
        <v>1.3621325858228525E-2</v>
      </c>
      <c r="S56" s="2"/>
      <c r="T56" s="7">
        <v>169.88</v>
      </c>
      <c r="U56" s="2"/>
      <c r="V56" s="6">
        <f t="shared" si="38"/>
        <v>5.5219561793056003E-4</v>
      </c>
      <c r="W56" s="2"/>
      <c r="X56" s="7">
        <f t="shared" si="39"/>
        <v>849.4</v>
      </c>
      <c r="Y56" s="2"/>
      <c r="Z56" s="6">
        <f t="shared" si="40"/>
        <v>5</v>
      </c>
    </row>
    <row r="57" spans="1:26" s="25" customFormat="1" outlineLevel="1" collapsed="1" x14ac:dyDescent="0.25">
      <c r="A57" s="26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SUM(OSRRefD22_4x_0)</f>
        <v>0</v>
      </c>
      <c r="E57" s="1"/>
      <c r="F57" s="5">
        <f t="shared" si="33"/>
        <v>0</v>
      </c>
      <c r="G57" s="1"/>
      <c r="H57" s="1">
        <f>SUM(OSRRefH22_4x_0)</f>
        <v>43.8</v>
      </c>
      <c r="I57" s="1"/>
      <c r="J57" s="5">
        <f t="shared" si="34"/>
        <v>1.1809673362769438E-3</v>
      </c>
      <c r="K57" s="1"/>
      <c r="L57" s="1">
        <f t="shared" si="35"/>
        <v>-43.8</v>
      </c>
      <c r="M57" s="1"/>
      <c r="N57" s="5">
        <f t="shared" si="36"/>
        <v>-1</v>
      </c>
      <c r="O57" s="13"/>
      <c r="P57" s="1">
        <f>SUM(OSRRefP22_4x_0)</f>
        <v>0</v>
      </c>
      <c r="Q57" s="1"/>
      <c r="R57" s="5">
        <f t="shared" si="37"/>
        <v>0</v>
      </c>
      <c r="S57" s="1"/>
      <c r="T57" s="1">
        <f>SUM(OSRRefT22_4x_0)</f>
        <v>751.56</v>
      </c>
      <c r="U57" s="1"/>
      <c r="V57" s="5">
        <f t="shared" si="38"/>
        <v>2.4429487792082157E-3</v>
      </c>
      <c r="W57" s="1"/>
      <c r="X57" s="1">
        <f t="shared" si="39"/>
        <v>-751.56</v>
      </c>
      <c r="Y57" s="1"/>
      <c r="Z57" s="5">
        <f t="shared" si="40"/>
        <v>-1</v>
      </c>
    </row>
    <row r="58" spans="1:26" s="24" customFormat="1" hidden="1" outlineLevel="2" x14ac:dyDescent="0.25">
      <c r="A58" s="27"/>
      <c r="B58" s="11" t="str">
        <f>CONCATENATE("          ", "6382", " - ", "DISCOUNTS/MARK DOWNS")</f>
        <v xml:space="preserve">          6382 - DISCOUNTS/MARK DOWNS</v>
      </c>
      <c r="C58" s="11"/>
      <c r="D58" s="7"/>
      <c r="E58" s="2"/>
      <c r="F58" s="6">
        <f t="shared" si="33"/>
        <v>0</v>
      </c>
      <c r="G58" s="2"/>
      <c r="H58" s="7">
        <v>43.8</v>
      </c>
      <c r="I58" s="2"/>
      <c r="J58" s="6">
        <f t="shared" si="34"/>
        <v>1.1809673362769438E-3</v>
      </c>
      <c r="K58" s="2"/>
      <c r="L58" s="7">
        <f t="shared" si="35"/>
        <v>-43.8</v>
      </c>
      <c r="M58" s="2"/>
      <c r="N58" s="6">
        <f t="shared" si="36"/>
        <v>-1</v>
      </c>
      <c r="O58" s="11"/>
      <c r="P58" s="7"/>
      <c r="Q58" s="2"/>
      <c r="R58" s="6">
        <f t="shared" si="37"/>
        <v>0</v>
      </c>
      <c r="S58" s="2"/>
      <c r="T58" s="7">
        <v>751.56</v>
      </c>
      <c r="U58" s="2"/>
      <c r="V58" s="6">
        <f t="shared" si="38"/>
        <v>2.4429487792082157E-3</v>
      </c>
      <c r="W58" s="2"/>
      <c r="X58" s="7">
        <f t="shared" si="39"/>
        <v>-751.56</v>
      </c>
      <c r="Y58" s="2"/>
      <c r="Z58" s="6">
        <f t="shared" si="40"/>
        <v>-1</v>
      </c>
    </row>
    <row r="59" spans="1:26" s="25" customFormat="1" outlineLevel="1" collapsed="1" x14ac:dyDescent="0.25">
      <c r="A59" s="26"/>
      <c r="B59" s="13" t="str">
        <f>CONCATENATE("     ","Equipment Rental                                  ")</f>
        <v xml:space="preserve">     Equipment Rental                                  </v>
      </c>
      <c r="C59" s="13"/>
      <c r="D59" s="1">
        <f>SUM(OSRRefD22_5x_0)</f>
        <v>1205.6400000000001</v>
      </c>
      <c r="E59" s="1"/>
      <c r="F59" s="5">
        <f t="shared" si="33"/>
        <v>0.95928581090220477</v>
      </c>
      <c r="G59" s="1"/>
      <c r="H59" s="1">
        <f>SUM(OSRRefH22_5x_0)</f>
        <v>0</v>
      </c>
      <c r="I59" s="1"/>
      <c r="J59" s="5">
        <f t="shared" si="34"/>
        <v>0</v>
      </c>
      <c r="K59" s="1"/>
      <c r="L59" s="1">
        <f t="shared" si="35"/>
        <v>1205.6400000000001</v>
      </c>
      <c r="M59" s="1"/>
      <c r="N59" s="5">
        <f t="shared" si="36"/>
        <v>0</v>
      </c>
      <c r="O59" s="13"/>
      <c r="P59" s="1">
        <f>SUM(OSRRefP22_5x_0)</f>
        <v>7233.84</v>
      </c>
      <c r="Q59" s="1"/>
      <c r="R59" s="5">
        <f t="shared" si="37"/>
        <v>9.6670681114402163E-2</v>
      </c>
      <c r="S59" s="1"/>
      <c r="T59" s="1">
        <f>SUM(OSRRefT22_5x_0)</f>
        <v>9932.16</v>
      </c>
      <c r="U59" s="1"/>
      <c r="V59" s="5">
        <f t="shared" si="38"/>
        <v>3.228452571571222E-2</v>
      </c>
      <c r="W59" s="1"/>
      <c r="X59" s="1">
        <f t="shared" si="39"/>
        <v>-2698.3199999999997</v>
      </c>
      <c r="Y59" s="1"/>
      <c r="Z59" s="5">
        <f t="shared" si="40"/>
        <v>-0.27167504349507055</v>
      </c>
    </row>
    <row r="60" spans="1:26" s="24" customFormat="1" hidden="1" outlineLevel="2" x14ac:dyDescent="0.25">
      <c r="A60" s="27"/>
      <c r="B60" s="11" t="str">
        <f>CONCATENATE("          ", "6351", " - ", "EQUIPMENT RENTAL")</f>
        <v xml:space="preserve">          6351 - EQUIPMENT RENTAL</v>
      </c>
      <c r="C60" s="11"/>
      <c r="D60" s="7">
        <v>1205.6400000000001</v>
      </c>
      <c r="E60" s="2"/>
      <c r="F60" s="6">
        <f t="shared" si="33"/>
        <v>0.95928581090220477</v>
      </c>
      <c r="G60" s="2"/>
      <c r="H60" s="7"/>
      <c r="I60" s="2"/>
      <c r="J60" s="6">
        <f t="shared" si="34"/>
        <v>0</v>
      </c>
      <c r="K60" s="2"/>
      <c r="L60" s="7">
        <f t="shared" si="35"/>
        <v>1205.6400000000001</v>
      </c>
      <c r="M60" s="2"/>
      <c r="N60" s="6">
        <f t="shared" si="36"/>
        <v>0</v>
      </c>
      <c r="O60" s="11"/>
      <c r="P60" s="7">
        <v>7233.84</v>
      </c>
      <c r="Q60" s="2"/>
      <c r="R60" s="6">
        <f t="shared" si="37"/>
        <v>9.6670681114402163E-2</v>
      </c>
      <c r="S60" s="2"/>
      <c r="T60" s="7">
        <v>9932.16</v>
      </c>
      <c r="U60" s="2"/>
      <c r="V60" s="6">
        <f t="shared" si="38"/>
        <v>3.228452571571222E-2</v>
      </c>
      <c r="W60" s="2"/>
      <c r="X60" s="7">
        <f t="shared" si="39"/>
        <v>-2698.3199999999997</v>
      </c>
      <c r="Y60" s="2"/>
      <c r="Z60" s="6">
        <f t="shared" si="40"/>
        <v>-0.27167504349507055</v>
      </c>
    </row>
    <row r="61" spans="1:26" s="25" customFormat="1" outlineLevel="1" collapsed="1" x14ac:dyDescent="0.25">
      <c r="A61" s="26"/>
      <c r="B61" s="13" t="str">
        <f>CONCATENATE("     ","Freight out/Postage                               ")</f>
        <v xml:space="preserve">     Freight out/Postage                               </v>
      </c>
      <c r="C61" s="13"/>
      <c r="D61" s="1">
        <f>SUM(OSRRefD22_6x_0)</f>
        <v>107.48999999999978</v>
      </c>
      <c r="E61" s="1"/>
      <c r="F61" s="5">
        <f t="shared" si="33"/>
        <v>8.5526054057494583E-2</v>
      </c>
      <c r="G61" s="1"/>
      <c r="H61" s="1">
        <f>SUM(OSRRefH22_6x_0)</f>
        <v>-687.14999999999964</v>
      </c>
      <c r="I61" s="1"/>
      <c r="J61" s="5">
        <f t="shared" si="34"/>
        <v>-1.8527436190016018E-2</v>
      </c>
      <c r="K61" s="1"/>
      <c r="L61" s="1">
        <f t="shared" si="35"/>
        <v>794.63999999999942</v>
      </c>
      <c r="M61" s="1"/>
      <c r="N61" s="5">
        <f t="shared" si="36"/>
        <v>-1.1564287273521063</v>
      </c>
      <c r="O61" s="13"/>
      <c r="P61" s="1">
        <f>SUM(OSRRefP22_6x_0)</f>
        <v>-24733.87999999999</v>
      </c>
      <c r="Q61" s="1"/>
      <c r="R61" s="5">
        <f t="shared" si="37"/>
        <v>-0.33053551449878465</v>
      </c>
      <c r="S61" s="1"/>
      <c r="T61" s="1">
        <f>SUM(OSRRefT22_6x_0)</f>
        <v>-5884.3200000000033</v>
      </c>
      <c r="U61" s="1"/>
      <c r="V61" s="5">
        <f t="shared" si="38"/>
        <v>-1.9127005642224835E-2</v>
      </c>
      <c r="W61" s="1"/>
      <c r="X61" s="1">
        <f t="shared" si="39"/>
        <v>-18849.559999999987</v>
      </c>
      <c r="Y61" s="1"/>
      <c r="Z61" s="5">
        <f t="shared" si="40"/>
        <v>3.2033539984229233</v>
      </c>
    </row>
    <row r="62" spans="1:26" s="24" customFormat="1" hidden="1" outlineLevel="2" x14ac:dyDescent="0.25">
      <c r="A62" s="27"/>
      <c r="B62" s="11" t="str">
        <f>CONCATENATE("          ", "6305", " - ", "FREIGHT OUT")</f>
        <v xml:space="preserve">          6305 - FREIGHT OUT</v>
      </c>
      <c r="C62" s="11"/>
      <c r="D62" s="7">
        <v>9824.01</v>
      </c>
      <c r="E62" s="2"/>
      <c r="F62" s="6">
        <f t="shared" si="33"/>
        <v>7.8166230376906602</v>
      </c>
      <c r="G62" s="2"/>
      <c r="H62" s="7">
        <v>3419.09</v>
      </c>
      <c r="I62" s="2"/>
      <c r="J62" s="6">
        <f t="shared" si="34"/>
        <v>9.2187981958701745E-2</v>
      </c>
      <c r="K62" s="2"/>
      <c r="L62" s="7">
        <f t="shared" si="35"/>
        <v>6404.92</v>
      </c>
      <c r="M62" s="2"/>
      <c r="N62" s="6">
        <f t="shared" si="36"/>
        <v>1.8732820721303036</v>
      </c>
      <c r="O62" s="11"/>
      <c r="P62" s="7">
        <v>108062.24</v>
      </c>
      <c r="Q62" s="2"/>
      <c r="R62" s="6">
        <f t="shared" si="37"/>
        <v>1.4441085707657335</v>
      </c>
      <c r="S62" s="2"/>
      <c r="T62" s="7">
        <v>22684.91</v>
      </c>
      <c r="U62" s="2"/>
      <c r="V62" s="6">
        <f t="shared" si="38"/>
        <v>7.3737390482394291E-2</v>
      </c>
      <c r="W62" s="2"/>
      <c r="X62" s="7">
        <f t="shared" si="39"/>
        <v>85377.33</v>
      </c>
      <c r="Y62" s="2"/>
      <c r="Z62" s="6">
        <f t="shared" si="40"/>
        <v>3.7636177529467827</v>
      </c>
    </row>
    <row r="63" spans="1:26" s="24" customFormat="1" hidden="1" outlineLevel="2" x14ac:dyDescent="0.25">
      <c r="A63" s="27"/>
      <c r="B63" s="11" t="str">
        <f>CONCATENATE("          ", "6307", " - ", "POSTAGE")</f>
        <v xml:space="preserve">          6307 - POSTAGE</v>
      </c>
      <c r="C63" s="11"/>
      <c r="D63" s="7">
        <v>-9716.52</v>
      </c>
      <c r="E63" s="2"/>
      <c r="F63" s="6">
        <f t="shared" si="33"/>
        <v>-7.731096983633166</v>
      </c>
      <c r="G63" s="2"/>
      <c r="H63" s="7">
        <v>-4106.24</v>
      </c>
      <c r="I63" s="2"/>
      <c r="J63" s="6">
        <f t="shared" si="34"/>
        <v>-0.11071541814871776</v>
      </c>
      <c r="K63" s="2"/>
      <c r="L63" s="7">
        <f t="shared" si="35"/>
        <v>-5610.2800000000007</v>
      </c>
      <c r="M63" s="2"/>
      <c r="N63" s="6">
        <f t="shared" si="36"/>
        <v>1.3662815617206985</v>
      </c>
      <c r="O63" s="11"/>
      <c r="P63" s="7">
        <v>-132796.12</v>
      </c>
      <c r="Q63" s="2"/>
      <c r="R63" s="6">
        <f t="shared" si="37"/>
        <v>-1.7746440852645182</v>
      </c>
      <c r="S63" s="2"/>
      <c r="T63" s="7">
        <v>-28569.230000000003</v>
      </c>
      <c r="U63" s="2"/>
      <c r="V63" s="6">
        <f t="shared" si="38"/>
        <v>-9.2864396124619122E-2</v>
      </c>
      <c r="W63" s="2"/>
      <c r="X63" s="7">
        <f t="shared" si="39"/>
        <v>-104226.88999999998</v>
      </c>
      <c r="Y63" s="2"/>
      <c r="Z63" s="6">
        <f t="shared" si="40"/>
        <v>3.648221880673717</v>
      </c>
    </row>
    <row r="64" spans="1:26" s="25" customFormat="1" outlineLevel="1" collapsed="1" x14ac:dyDescent="0.25">
      <c r="A64" s="26"/>
      <c r="B64" s="13" t="str">
        <f>CONCATENATE("     ","General                                           ")</f>
        <v xml:space="preserve">     General                                           </v>
      </c>
      <c r="C64" s="13"/>
      <c r="D64" s="1">
        <f>SUM(OSRRefD22_7x_0)</f>
        <v>0</v>
      </c>
      <c r="E64" s="1"/>
      <c r="F64" s="5">
        <f t="shared" ref="F64:F71" si="41">IF(D$12=0,0,D64/D$12)</f>
        <v>0</v>
      </c>
      <c r="G64" s="1"/>
      <c r="H64" s="1">
        <f>SUM(OSRRefH22_7x_0)</f>
        <v>75</v>
      </c>
      <c r="I64" s="1"/>
      <c r="J64" s="5">
        <f t="shared" ref="J64:J71" si="42">IF(H$12=0,0,H64/H$12)</f>
        <v>2.0222043429399725E-3</v>
      </c>
      <c r="K64" s="1"/>
      <c r="L64" s="1">
        <f t="shared" ref="L64:L71" si="43">+D64-H64</f>
        <v>-75</v>
      </c>
      <c r="M64" s="1"/>
      <c r="N64" s="5">
        <f t="shared" ref="N64:N71" si="44">IF(H64=0,0,L64/H64)</f>
        <v>-1</v>
      </c>
      <c r="O64" s="13"/>
      <c r="P64" s="1">
        <f>SUM(OSRRefP22_7x_0)</f>
        <v>0</v>
      </c>
      <c r="Q64" s="1"/>
      <c r="R64" s="5">
        <f t="shared" ref="R64:R71" si="45">IF(P$12=0,0,P64/P$12)</f>
        <v>0</v>
      </c>
      <c r="S64" s="1"/>
      <c r="T64" s="1">
        <f>SUM(OSRRefT22_7x_0)</f>
        <v>155.16999999999999</v>
      </c>
      <c r="U64" s="1"/>
      <c r="V64" s="5">
        <f t="shared" ref="V64:V71" si="46">IF(T$12=0,0,T64/T$12)</f>
        <v>5.0438070422819043E-4</v>
      </c>
      <c r="W64" s="1"/>
      <c r="X64" s="1">
        <f t="shared" ref="X64:X71" si="47">+P64-T64</f>
        <v>-155.16999999999999</v>
      </c>
      <c r="Y64" s="1"/>
      <c r="Z64" s="5">
        <f t="shared" ref="Z64:Z71" si="48">IF(T64=0,0,X64/T64)</f>
        <v>-1</v>
      </c>
    </row>
    <row r="65" spans="1:26" s="24" customFormat="1" hidden="1" outlineLevel="2" x14ac:dyDescent="0.25">
      <c r="A65" s="27"/>
      <c r="B65" s="11" t="str">
        <f>CONCATENATE("          ", "6279", " - ", "GENERAL EXPENSE")</f>
        <v xml:space="preserve">          6279 - GENERAL EXPENSE</v>
      </c>
      <c r="C65" s="11"/>
      <c r="D65" s="7"/>
      <c r="E65" s="2"/>
      <c r="F65" s="6">
        <f t="shared" si="41"/>
        <v>0</v>
      </c>
      <c r="G65" s="2"/>
      <c r="H65" s="7">
        <v>75</v>
      </c>
      <c r="I65" s="2"/>
      <c r="J65" s="6">
        <f t="shared" si="42"/>
        <v>2.0222043429399725E-3</v>
      </c>
      <c r="K65" s="2"/>
      <c r="L65" s="7">
        <f t="shared" si="43"/>
        <v>-75</v>
      </c>
      <c r="M65" s="2"/>
      <c r="N65" s="6">
        <f t="shared" si="44"/>
        <v>-1</v>
      </c>
      <c r="O65" s="11"/>
      <c r="P65" s="7"/>
      <c r="Q65" s="2"/>
      <c r="R65" s="6">
        <f t="shared" si="45"/>
        <v>0</v>
      </c>
      <c r="S65" s="2"/>
      <c r="T65" s="7">
        <v>155.16999999999999</v>
      </c>
      <c r="U65" s="2"/>
      <c r="V65" s="6">
        <f t="shared" si="46"/>
        <v>5.0438070422819043E-4</v>
      </c>
      <c r="W65" s="2"/>
      <c r="X65" s="7">
        <f t="shared" si="47"/>
        <v>-155.16999999999999</v>
      </c>
      <c r="Y65" s="2"/>
      <c r="Z65" s="6">
        <f t="shared" si="48"/>
        <v>-1</v>
      </c>
    </row>
    <row r="66" spans="1:26" s="25" customFormat="1" outlineLevel="1" collapsed="1" x14ac:dyDescent="0.25">
      <c r="A66" s="26"/>
      <c r="B66" s="13" t="str">
        <f>CONCATENATE("     ","Inventory Adjustment                              ")</f>
        <v xml:space="preserve">     Inventory Adjustment                              </v>
      </c>
      <c r="C66" s="13"/>
      <c r="D66" s="1">
        <f>SUM(OSRRefD22_8x_0)</f>
        <v>0</v>
      </c>
      <c r="E66" s="1"/>
      <c r="F66" s="5">
        <f t="shared" si="41"/>
        <v>0</v>
      </c>
      <c r="G66" s="1"/>
      <c r="H66" s="1">
        <f>SUM(OSRRefH22_8x_0)</f>
        <v>100</v>
      </c>
      <c r="I66" s="1"/>
      <c r="J66" s="5">
        <f t="shared" si="42"/>
        <v>2.6962724572532964E-3</v>
      </c>
      <c r="K66" s="1"/>
      <c r="L66" s="1">
        <f t="shared" si="43"/>
        <v>-100</v>
      </c>
      <c r="M66" s="1"/>
      <c r="N66" s="5">
        <f t="shared" si="44"/>
        <v>-1</v>
      </c>
      <c r="O66" s="13"/>
      <c r="P66" s="1">
        <f>SUM(OSRRefP22_8x_0)</f>
        <v>0</v>
      </c>
      <c r="Q66" s="1"/>
      <c r="R66" s="5">
        <f t="shared" si="45"/>
        <v>0</v>
      </c>
      <c r="S66" s="1"/>
      <c r="T66" s="1">
        <f>SUM(OSRRefT22_8x_0)</f>
        <v>500</v>
      </c>
      <c r="U66" s="1"/>
      <c r="V66" s="5">
        <f t="shared" si="46"/>
        <v>1.6252519953218745E-3</v>
      </c>
      <c r="W66" s="1"/>
      <c r="X66" s="1">
        <f t="shared" si="47"/>
        <v>-500</v>
      </c>
      <c r="Y66" s="1"/>
      <c r="Z66" s="5">
        <f t="shared" si="48"/>
        <v>-1</v>
      </c>
    </row>
    <row r="67" spans="1:26" s="24" customFormat="1" hidden="1" outlineLevel="2" x14ac:dyDescent="0.25">
      <c r="A67" s="27"/>
      <c r="B67" s="11" t="str">
        <f>CONCATENATE("          ", "6408", " - ", "INVENTORY ADJUSTMENT")</f>
        <v xml:space="preserve">          6408 - INVENTORY ADJUSTMENT</v>
      </c>
      <c r="C67" s="11"/>
      <c r="D67" s="7"/>
      <c r="E67" s="2"/>
      <c r="F67" s="6">
        <f t="shared" si="41"/>
        <v>0</v>
      </c>
      <c r="G67" s="2"/>
      <c r="H67" s="7">
        <v>100</v>
      </c>
      <c r="I67" s="2"/>
      <c r="J67" s="6">
        <f t="shared" si="42"/>
        <v>2.6962724572532964E-3</v>
      </c>
      <c r="K67" s="2"/>
      <c r="L67" s="7">
        <f t="shared" si="43"/>
        <v>-100</v>
      </c>
      <c r="M67" s="2"/>
      <c r="N67" s="6">
        <f t="shared" si="44"/>
        <v>-1</v>
      </c>
      <c r="O67" s="11"/>
      <c r="P67" s="7"/>
      <c r="Q67" s="2"/>
      <c r="R67" s="6">
        <f t="shared" si="45"/>
        <v>0</v>
      </c>
      <c r="S67" s="2"/>
      <c r="T67" s="7">
        <v>500</v>
      </c>
      <c r="U67" s="2"/>
      <c r="V67" s="6">
        <f t="shared" si="46"/>
        <v>1.6252519953218745E-3</v>
      </c>
      <c r="W67" s="2"/>
      <c r="X67" s="7">
        <f t="shared" si="47"/>
        <v>-500</v>
      </c>
      <c r="Y67" s="2"/>
      <c r="Z67" s="6">
        <f t="shared" si="48"/>
        <v>-1</v>
      </c>
    </row>
    <row r="68" spans="1:26" s="25" customFormat="1" outlineLevel="1" collapsed="1" x14ac:dyDescent="0.25">
      <c r="A68" s="26"/>
      <c r="B68" s="13" t="str">
        <f>CONCATENATE("     ","Repair and Maintenance                            ")</f>
        <v xml:space="preserve">     Repair and Maintenance                            </v>
      </c>
      <c r="C68" s="13"/>
      <c r="D68" s="1">
        <f>SUM(OSRRefD22_9x_0)</f>
        <v>4858.63</v>
      </c>
      <c r="E68" s="1"/>
      <c r="F68" s="5">
        <f t="shared" si="41"/>
        <v>3.8658428879464672</v>
      </c>
      <c r="G68" s="1"/>
      <c r="H68" s="1">
        <f>SUM(OSRRefH22_9x_0)</f>
        <v>7066.2099999999991</v>
      </c>
      <c r="I68" s="1"/>
      <c r="J68" s="5">
        <f t="shared" si="42"/>
        <v>0.19052427400167815</v>
      </c>
      <c r="K68" s="1"/>
      <c r="L68" s="1">
        <f t="shared" si="43"/>
        <v>-2207.579999999999</v>
      </c>
      <c r="M68" s="1"/>
      <c r="N68" s="5">
        <f t="shared" si="44"/>
        <v>-0.31241358521753521</v>
      </c>
      <c r="O68" s="13"/>
      <c r="P68" s="1">
        <f>SUM(OSRRefP22_9x_0)</f>
        <v>29379.51</v>
      </c>
      <c r="Q68" s="1"/>
      <c r="R68" s="5">
        <f t="shared" si="45"/>
        <v>0.39261820036210215</v>
      </c>
      <c r="S68" s="1"/>
      <c r="T68" s="1">
        <f>SUM(OSRRefT22_9x_0)</f>
        <v>36516.17</v>
      </c>
      <c r="U68" s="1"/>
      <c r="V68" s="5">
        <f t="shared" si="46"/>
        <v>0.11869595630802554</v>
      </c>
      <c r="W68" s="1"/>
      <c r="X68" s="1">
        <f t="shared" si="47"/>
        <v>-7136.66</v>
      </c>
      <c r="Y68" s="1"/>
      <c r="Z68" s="5">
        <f t="shared" si="48"/>
        <v>-0.19543834964072082</v>
      </c>
    </row>
    <row r="69" spans="1:26" s="24" customFormat="1" hidden="1" outlineLevel="2" x14ac:dyDescent="0.25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7"/>
      <c r="E69" s="2"/>
      <c r="F69" s="6">
        <f t="shared" si="41"/>
        <v>0</v>
      </c>
      <c r="G69" s="2"/>
      <c r="H69" s="7"/>
      <c r="I69" s="2"/>
      <c r="J69" s="6">
        <f t="shared" si="42"/>
        <v>0</v>
      </c>
      <c r="K69" s="2"/>
      <c r="L69" s="7">
        <f t="shared" si="43"/>
        <v>0</v>
      </c>
      <c r="M69" s="2"/>
      <c r="N69" s="6">
        <f t="shared" si="44"/>
        <v>0</v>
      </c>
      <c r="O69" s="11"/>
      <c r="P69" s="7">
        <v>7.69</v>
      </c>
      <c r="Q69" s="2"/>
      <c r="R69" s="6">
        <f t="shared" si="45"/>
        <v>1.0276665474626929E-4</v>
      </c>
      <c r="S69" s="2"/>
      <c r="T69" s="7"/>
      <c r="U69" s="2"/>
      <c r="V69" s="6">
        <f t="shared" si="46"/>
        <v>0</v>
      </c>
      <c r="W69" s="2"/>
      <c r="X69" s="7">
        <f t="shared" si="47"/>
        <v>7.69</v>
      </c>
      <c r="Y69" s="2"/>
      <c r="Z69" s="6">
        <f t="shared" si="48"/>
        <v>0</v>
      </c>
    </row>
    <row r="70" spans="1:26" s="24" customFormat="1" hidden="1" outlineLevel="2" x14ac:dyDescent="0.25">
      <c r="A70" s="27"/>
      <c r="B70" s="11" t="str">
        <f>CONCATENATE("          ", "6373", " - ", "MAINTENANCE CONTRACTS")</f>
        <v xml:space="preserve">          6373 - MAINTENANCE CONTRACTS</v>
      </c>
      <c r="C70" s="11"/>
      <c r="D70" s="7">
        <v>4858.63</v>
      </c>
      <c r="E70" s="2"/>
      <c r="F70" s="6">
        <f t="shared" si="41"/>
        <v>3.8658428879464672</v>
      </c>
      <c r="G70" s="2"/>
      <c r="H70" s="7">
        <v>6696.73</v>
      </c>
      <c r="I70" s="2"/>
      <c r="J70" s="6">
        <f t="shared" si="42"/>
        <v>0.18056208652661868</v>
      </c>
      <c r="K70" s="2"/>
      <c r="L70" s="7">
        <f t="shared" si="43"/>
        <v>-1838.0999999999995</v>
      </c>
      <c r="M70" s="2"/>
      <c r="N70" s="6">
        <f t="shared" si="44"/>
        <v>-0.27447724486428443</v>
      </c>
      <c r="O70" s="11"/>
      <c r="P70" s="7">
        <v>29371.82</v>
      </c>
      <c r="Q70" s="2"/>
      <c r="R70" s="6">
        <f t="shared" si="45"/>
        <v>0.39251543370735592</v>
      </c>
      <c r="S70" s="2"/>
      <c r="T70" s="7">
        <v>36146.689999999995</v>
      </c>
      <c r="U70" s="2"/>
      <c r="V70" s="6">
        <f t="shared" si="46"/>
        <v>0.11749496009356247</v>
      </c>
      <c r="W70" s="2"/>
      <c r="X70" s="7">
        <f t="shared" si="47"/>
        <v>-6774.8699999999953</v>
      </c>
      <c r="Y70" s="2"/>
      <c r="Z70" s="6">
        <f t="shared" si="48"/>
        <v>-0.18742711988289928</v>
      </c>
    </row>
    <row r="71" spans="1:26" s="24" customFormat="1" hidden="1" outlineLevel="2" x14ac:dyDescent="0.25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7"/>
      <c r="E71" s="2"/>
      <c r="F71" s="6">
        <f t="shared" si="41"/>
        <v>0</v>
      </c>
      <c r="G71" s="2"/>
      <c r="H71" s="7">
        <v>369.48</v>
      </c>
      <c r="I71" s="2"/>
      <c r="J71" s="6">
        <f t="shared" si="42"/>
        <v>9.9621874750594804E-3</v>
      </c>
      <c r="K71" s="2"/>
      <c r="L71" s="7">
        <f t="shared" si="43"/>
        <v>-369.48</v>
      </c>
      <c r="M71" s="2"/>
      <c r="N71" s="6">
        <f t="shared" si="44"/>
        <v>-1</v>
      </c>
      <c r="O71" s="11"/>
      <c r="P71" s="7"/>
      <c r="Q71" s="2"/>
      <c r="R71" s="6">
        <f t="shared" si="45"/>
        <v>0</v>
      </c>
      <c r="S71" s="2"/>
      <c r="T71" s="7">
        <v>369.48</v>
      </c>
      <c r="U71" s="2"/>
      <c r="V71" s="6">
        <f t="shared" si="46"/>
        <v>1.2009962144630523E-3</v>
      </c>
      <c r="W71" s="2"/>
      <c r="X71" s="7">
        <f t="shared" si="47"/>
        <v>-369.48</v>
      </c>
      <c r="Y71" s="2"/>
      <c r="Z71" s="6">
        <f t="shared" si="48"/>
        <v>-1</v>
      </c>
    </row>
    <row r="72" spans="1:26" s="25" customFormat="1" outlineLevel="1" collapsed="1" x14ac:dyDescent="0.25">
      <c r="A72" s="26"/>
      <c r="B72" s="13" t="str">
        <f>CONCATENATE("     ","Royalty &amp; Commissions                             ")</f>
        <v xml:space="preserve">     Royalty &amp; Commissions                             </v>
      </c>
      <c r="C72" s="13"/>
      <c r="D72" s="1">
        <f>SUM(OSRRefD22_10x_0)</f>
        <v>5.97</v>
      </c>
      <c r="E72" s="1"/>
      <c r="F72" s="5">
        <f t="shared" ref="F72:F80" si="49">IF(D$12=0,0,D72/D$12)</f>
        <v>4.7501213389454242E-3</v>
      </c>
      <c r="G72" s="1"/>
      <c r="H72" s="1">
        <f>SUM(OSRRefH22_10x_0)</f>
        <v>12692.3</v>
      </c>
      <c r="I72" s="1"/>
      <c r="J72" s="5">
        <f t="shared" ref="J72:J80" si="50">IF(H$12=0,0,H72/H$12)</f>
        <v>0.34221898909196014</v>
      </c>
      <c r="K72" s="1"/>
      <c r="L72" s="1">
        <f t="shared" ref="L72:L80" si="51">+D72-H72</f>
        <v>-12686.33</v>
      </c>
      <c r="M72" s="1"/>
      <c r="N72" s="5">
        <f t="shared" ref="N72:N80" si="52">IF(H72=0,0,L72/H72)</f>
        <v>-0.99952963607856737</v>
      </c>
      <c r="O72" s="13"/>
      <c r="P72" s="1">
        <f>SUM(OSRRefP22_10x_0)</f>
        <v>10164.26</v>
      </c>
      <c r="Q72" s="1"/>
      <c r="R72" s="5">
        <f t="shared" ref="R72:R80" si="53">IF(P$12=0,0,P72/P$12)</f>
        <v>0.13583185932006697</v>
      </c>
      <c r="S72" s="1"/>
      <c r="T72" s="1">
        <f>SUM(OSRRefT22_10x_0)</f>
        <v>56559.98</v>
      </c>
      <c r="U72" s="1"/>
      <c r="V72" s="5">
        <f t="shared" ref="V72:V80" si="54">IF(T$12=0,0,T72/T$12)</f>
        <v>0.18384844070073064</v>
      </c>
      <c r="W72" s="1"/>
      <c r="X72" s="1">
        <f t="shared" ref="X72:X80" si="55">+P72-T72</f>
        <v>-46395.72</v>
      </c>
      <c r="Y72" s="1"/>
      <c r="Z72" s="5">
        <f t="shared" ref="Z72:Z80" si="56">IF(T72=0,0,X72/T72)</f>
        <v>-0.82029236926887172</v>
      </c>
    </row>
    <row r="73" spans="1:26" s="24" customFormat="1" hidden="1" outlineLevel="2" x14ac:dyDescent="0.25">
      <c r="A73" s="27"/>
      <c r="B73" s="11" t="str">
        <f>CONCATENATE("          ", "6259", " - ", "ROYALTY &amp; COMMISSIONS")</f>
        <v xml:space="preserve">          6259 - ROYALTY &amp; COMMISSIONS</v>
      </c>
      <c r="C73" s="11"/>
      <c r="D73" s="7">
        <v>5.97</v>
      </c>
      <c r="E73" s="2"/>
      <c r="F73" s="6">
        <f t="shared" si="49"/>
        <v>4.7501213389454242E-3</v>
      </c>
      <c r="G73" s="2"/>
      <c r="H73" s="7">
        <v>12692.3</v>
      </c>
      <c r="I73" s="2"/>
      <c r="J73" s="6">
        <f t="shared" si="50"/>
        <v>0.34221898909196014</v>
      </c>
      <c r="K73" s="2"/>
      <c r="L73" s="7">
        <f t="shared" si="51"/>
        <v>-12686.33</v>
      </c>
      <c r="M73" s="2"/>
      <c r="N73" s="6">
        <f t="shared" si="52"/>
        <v>-0.99952963607856737</v>
      </c>
      <c r="O73" s="11"/>
      <c r="P73" s="7">
        <v>10164.26</v>
      </c>
      <c r="Q73" s="2"/>
      <c r="R73" s="6">
        <f t="shared" si="53"/>
        <v>0.13583185932006697</v>
      </c>
      <c r="S73" s="2"/>
      <c r="T73" s="7">
        <v>56559.98</v>
      </c>
      <c r="U73" s="2"/>
      <c r="V73" s="6">
        <f t="shared" si="54"/>
        <v>0.18384844070073064</v>
      </c>
      <c r="W73" s="2"/>
      <c r="X73" s="7">
        <f t="shared" si="55"/>
        <v>-46395.72</v>
      </c>
      <c r="Y73" s="2"/>
      <c r="Z73" s="6">
        <f t="shared" si="56"/>
        <v>-0.82029236926887172</v>
      </c>
    </row>
    <row r="74" spans="1:26" s="25" customFormat="1" outlineLevel="1" collapsed="1" x14ac:dyDescent="0.25">
      <c r="A74" s="26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SUM(OSRRefD22_11x_0)</f>
        <v>1943.62</v>
      </c>
      <c r="E74" s="1"/>
      <c r="F74" s="5">
        <f t="shared" si="49"/>
        <v>1.5464708269348586</v>
      </c>
      <c r="G74" s="1"/>
      <c r="H74" s="1">
        <f>SUM(OSRRefH22_11x_0)</f>
        <v>4290.18</v>
      </c>
      <c r="I74" s="1"/>
      <c r="J74" s="5">
        <f t="shared" si="50"/>
        <v>0.11567494170658948</v>
      </c>
      <c r="K74" s="1"/>
      <c r="L74" s="1">
        <f t="shared" si="51"/>
        <v>-2346.5600000000004</v>
      </c>
      <c r="M74" s="1"/>
      <c r="N74" s="5">
        <f t="shared" si="52"/>
        <v>-0.54696073358227404</v>
      </c>
      <c r="O74" s="13"/>
      <c r="P74" s="1">
        <f>SUM(OSRRefP22_11x_0)</f>
        <v>25817.229999999996</v>
      </c>
      <c r="Q74" s="1"/>
      <c r="R74" s="5">
        <f t="shared" si="53"/>
        <v>0.34501305096424256</v>
      </c>
      <c r="S74" s="1"/>
      <c r="T74" s="1">
        <f>SUM(OSRRefT22_11x_0)</f>
        <v>23448.54</v>
      </c>
      <c r="U74" s="1"/>
      <c r="V74" s="5">
        <f t="shared" si="54"/>
        <v>7.6219572844769573E-2</v>
      </c>
      <c r="W74" s="1"/>
      <c r="X74" s="1">
        <f t="shared" si="55"/>
        <v>2368.6899999999951</v>
      </c>
      <c r="Y74" s="1"/>
      <c r="Z74" s="5">
        <f t="shared" si="56"/>
        <v>0.10101652384327532</v>
      </c>
    </row>
    <row r="75" spans="1:26" s="24" customFormat="1" hidden="1" outlineLevel="2" x14ac:dyDescent="0.25">
      <c r="A75" s="27"/>
      <c r="B75" s="11" t="str">
        <f>CONCATENATE("          ", "6234", " - ", "EXPENDABLE SUPPLIES &amp; EQUIPMEN")</f>
        <v xml:space="preserve">          6234 - EXPENDABLE SUPPLIES &amp; EQUIPMEN</v>
      </c>
      <c r="C75" s="11"/>
      <c r="D75" s="7"/>
      <c r="E75" s="2"/>
      <c r="F75" s="6">
        <f t="shared" si="49"/>
        <v>0</v>
      </c>
      <c r="G75" s="2"/>
      <c r="H75" s="7"/>
      <c r="I75" s="2"/>
      <c r="J75" s="6">
        <f t="shared" si="50"/>
        <v>0</v>
      </c>
      <c r="K75" s="2"/>
      <c r="L75" s="7">
        <f t="shared" si="51"/>
        <v>0</v>
      </c>
      <c r="M75" s="2"/>
      <c r="N75" s="6">
        <f t="shared" si="52"/>
        <v>0</v>
      </c>
      <c r="O75" s="11"/>
      <c r="P75" s="7"/>
      <c r="Q75" s="2"/>
      <c r="R75" s="6">
        <f t="shared" si="53"/>
        <v>0</v>
      </c>
      <c r="S75" s="2"/>
      <c r="T75" s="7">
        <v>1017.27</v>
      </c>
      <c r="U75" s="2"/>
      <c r="V75" s="6">
        <f t="shared" si="54"/>
        <v>3.3066401945621663E-3</v>
      </c>
      <c r="W75" s="2"/>
      <c r="X75" s="7">
        <f t="shared" si="55"/>
        <v>-1017.27</v>
      </c>
      <c r="Y75" s="2"/>
      <c r="Z75" s="6">
        <f t="shared" si="56"/>
        <v>-1</v>
      </c>
    </row>
    <row r="76" spans="1:26" s="24" customFormat="1" hidden="1" outlineLevel="2" x14ac:dyDescent="0.25">
      <c r="A76" s="27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49"/>
        <v>0</v>
      </c>
      <c r="G76" s="2"/>
      <c r="H76" s="7"/>
      <c r="I76" s="2"/>
      <c r="J76" s="6">
        <f t="shared" si="50"/>
        <v>0</v>
      </c>
      <c r="K76" s="2"/>
      <c r="L76" s="7">
        <f t="shared" si="51"/>
        <v>0</v>
      </c>
      <c r="M76" s="2"/>
      <c r="N76" s="6">
        <f t="shared" si="52"/>
        <v>0</v>
      </c>
      <c r="O76" s="11"/>
      <c r="P76" s="7">
        <v>310.91000000000003</v>
      </c>
      <c r="Q76" s="2"/>
      <c r="R76" s="6">
        <f t="shared" si="53"/>
        <v>4.1548999515165913E-3</v>
      </c>
      <c r="S76" s="2"/>
      <c r="T76" s="7"/>
      <c r="U76" s="2"/>
      <c r="V76" s="6">
        <f t="shared" si="54"/>
        <v>0</v>
      </c>
      <c r="W76" s="2"/>
      <c r="X76" s="7">
        <f t="shared" si="55"/>
        <v>310.91000000000003</v>
      </c>
      <c r="Y76" s="2"/>
      <c r="Z76" s="6">
        <f t="shared" si="56"/>
        <v>0</v>
      </c>
    </row>
    <row r="77" spans="1:26" s="24" customFormat="1" hidden="1" outlineLevel="2" x14ac:dyDescent="0.25">
      <c r="A77" s="27"/>
      <c r="B77" s="11" t="str">
        <f>CONCATENATE("          ", "6241", " - ", "OFFICE EXPENSE")</f>
        <v xml:space="preserve">          6241 - OFFICE EXPENSE</v>
      </c>
      <c r="C77" s="11"/>
      <c r="D77" s="7"/>
      <c r="E77" s="2"/>
      <c r="F77" s="6">
        <f t="shared" si="49"/>
        <v>0</v>
      </c>
      <c r="G77" s="2"/>
      <c r="H77" s="7">
        <v>54.4</v>
      </c>
      <c r="I77" s="2"/>
      <c r="J77" s="6">
        <f t="shared" si="50"/>
        <v>1.4667722167457933E-3</v>
      </c>
      <c r="K77" s="2"/>
      <c r="L77" s="7">
        <f t="shared" si="51"/>
        <v>-54.4</v>
      </c>
      <c r="M77" s="2"/>
      <c r="N77" s="6">
        <f t="shared" si="52"/>
        <v>-1</v>
      </c>
      <c r="O77" s="11"/>
      <c r="P77" s="7">
        <v>4596.8599999999997</v>
      </c>
      <c r="Q77" s="2"/>
      <c r="R77" s="6">
        <f t="shared" si="53"/>
        <v>6.143093947164309E-2</v>
      </c>
      <c r="S77" s="2"/>
      <c r="T77" s="7">
        <v>169.42</v>
      </c>
      <c r="U77" s="2"/>
      <c r="V77" s="6">
        <f t="shared" si="54"/>
        <v>5.5070038609486387E-4</v>
      </c>
      <c r="W77" s="2"/>
      <c r="X77" s="7">
        <f t="shared" si="55"/>
        <v>4427.4399999999996</v>
      </c>
      <c r="Y77" s="2"/>
      <c r="Z77" s="6">
        <f t="shared" si="56"/>
        <v>26.132924093967652</v>
      </c>
    </row>
    <row r="78" spans="1:26" s="24" customFormat="1" hidden="1" outlineLevel="2" x14ac:dyDescent="0.25">
      <c r="A78" s="27"/>
      <c r="B78" s="11" t="str">
        <f>CONCATENATE("          ", "6243", " - ", "PAPER SUPPLIES")</f>
        <v xml:space="preserve">          6243 - PAPER SUPPLIES</v>
      </c>
      <c r="C78" s="11"/>
      <c r="D78" s="7">
        <v>411.1</v>
      </c>
      <c r="E78" s="2"/>
      <c r="F78" s="6">
        <f t="shared" si="49"/>
        <v>0.32709797025803422</v>
      </c>
      <c r="G78" s="2"/>
      <c r="H78" s="7">
        <v>3229.02</v>
      </c>
      <c r="I78" s="2"/>
      <c r="J78" s="6">
        <f t="shared" si="50"/>
        <v>8.7063176899200401E-2</v>
      </c>
      <c r="K78" s="2"/>
      <c r="L78" s="7">
        <f t="shared" si="51"/>
        <v>-2817.92</v>
      </c>
      <c r="M78" s="2"/>
      <c r="N78" s="6">
        <f t="shared" si="52"/>
        <v>-0.87268583037577963</v>
      </c>
      <c r="O78" s="11"/>
      <c r="P78" s="7">
        <v>5093.3999999999996</v>
      </c>
      <c r="Q78" s="2"/>
      <c r="R78" s="6">
        <f t="shared" si="53"/>
        <v>6.8066538268484772E-2</v>
      </c>
      <c r="S78" s="2"/>
      <c r="T78" s="7">
        <v>9558.5</v>
      </c>
      <c r="U78" s="2"/>
      <c r="V78" s="6">
        <f t="shared" si="54"/>
        <v>3.1069942394568274E-2</v>
      </c>
      <c r="W78" s="2"/>
      <c r="X78" s="7">
        <f t="shared" si="55"/>
        <v>-4465.1000000000004</v>
      </c>
      <c r="Y78" s="2"/>
      <c r="Z78" s="6">
        <f t="shared" si="56"/>
        <v>-0.46713396453418427</v>
      </c>
    </row>
    <row r="79" spans="1:26" s="24" customFormat="1" hidden="1" outlineLevel="2" x14ac:dyDescent="0.25">
      <c r="A79" s="27"/>
      <c r="B79" s="11" t="str">
        <f>CONCATENATE("          ", "6245", " - ", "PRINTING")</f>
        <v xml:space="preserve">          6245 - PRINTING</v>
      </c>
      <c r="C79" s="11"/>
      <c r="D79" s="7"/>
      <c r="E79" s="2"/>
      <c r="F79" s="6">
        <f t="shared" si="49"/>
        <v>0</v>
      </c>
      <c r="G79" s="2"/>
      <c r="H79" s="7">
        <v>748.76</v>
      </c>
      <c r="I79" s="2"/>
      <c r="J79" s="6">
        <f t="shared" si="50"/>
        <v>2.0188609650929782E-2</v>
      </c>
      <c r="K79" s="2"/>
      <c r="L79" s="7">
        <f t="shared" si="51"/>
        <v>-748.76</v>
      </c>
      <c r="M79" s="2"/>
      <c r="N79" s="6">
        <f t="shared" si="52"/>
        <v>-1</v>
      </c>
      <c r="O79" s="11"/>
      <c r="P79" s="7">
        <v>439.61</v>
      </c>
      <c r="Q79" s="2"/>
      <c r="R79" s="6">
        <f t="shared" si="53"/>
        <v>5.8748048235380285E-3</v>
      </c>
      <c r="S79" s="2"/>
      <c r="T79" s="7">
        <v>1213.18</v>
      </c>
      <c r="U79" s="2"/>
      <c r="V79" s="6">
        <f t="shared" si="54"/>
        <v>3.9434464313691832E-3</v>
      </c>
      <c r="W79" s="2"/>
      <c r="X79" s="7">
        <f t="shared" si="55"/>
        <v>-773.57</v>
      </c>
      <c r="Y79" s="2"/>
      <c r="Z79" s="6">
        <f t="shared" si="56"/>
        <v>-0.63763827296856201</v>
      </c>
    </row>
    <row r="80" spans="1:26" s="24" customFormat="1" hidden="1" outlineLevel="2" x14ac:dyDescent="0.25">
      <c r="A80" s="27"/>
      <c r="B80" s="11" t="str">
        <f>CONCATENATE("          ", "6247", " - ", "STORE SUPPLIES")</f>
        <v xml:space="preserve">          6247 - STORE SUPPLIES</v>
      </c>
      <c r="C80" s="11"/>
      <c r="D80" s="7">
        <v>1532.52</v>
      </c>
      <c r="E80" s="2"/>
      <c r="F80" s="6">
        <f t="shared" si="49"/>
        <v>1.2193728566768245</v>
      </c>
      <c r="G80" s="2"/>
      <c r="H80" s="7">
        <v>258</v>
      </c>
      <c r="I80" s="2"/>
      <c r="J80" s="6">
        <f t="shared" si="50"/>
        <v>6.9563829397135055E-3</v>
      </c>
      <c r="K80" s="2"/>
      <c r="L80" s="7">
        <f t="shared" si="51"/>
        <v>1274.52</v>
      </c>
      <c r="M80" s="2"/>
      <c r="N80" s="6">
        <f t="shared" si="52"/>
        <v>4.9399999999999995</v>
      </c>
      <c r="O80" s="11"/>
      <c r="P80" s="7">
        <v>15376.449999999999</v>
      </c>
      <c r="Q80" s="2"/>
      <c r="R80" s="6">
        <f t="shared" si="53"/>
        <v>0.20548586844906011</v>
      </c>
      <c r="S80" s="2"/>
      <c r="T80" s="7">
        <v>11490.17</v>
      </c>
      <c r="U80" s="2"/>
      <c r="V80" s="6">
        <f t="shared" si="54"/>
        <v>3.7348843438175086E-2</v>
      </c>
      <c r="W80" s="2"/>
      <c r="X80" s="7">
        <f t="shared" si="55"/>
        <v>3886.2799999999988</v>
      </c>
      <c r="Y80" s="2"/>
      <c r="Z80" s="6">
        <f t="shared" si="56"/>
        <v>0.33822650143557481</v>
      </c>
    </row>
    <row r="81" spans="1:26" s="25" customFormat="1" outlineLevel="1" collapsed="1" x14ac:dyDescent="0.25">
      <c r="A81" s="26"/>
      <c r="B81" s="13" t="str">
        <f>CONCATENATE("     ","Telephone/Data Lines                              ")</f>
        <v xml:space="preserve">     Telephone/Data Lines                              </v>
      </c>
      <c r="C81" s="13"/>
      <c r="D81" s="1">
        <f>SUM(OSRRefD22_12x_0)</f>
        <v>183.3</v>
      </c>
      <c r="E81" s="1"/>
      <c r="F81" s="5">
        <f t="shared" ref="F81:F86" si="57">IF(D$12=0,0,D81/D$12)</f>
        <v>0.14584543407515851</v>
      </c>
      <c r="G81" s="1"/>
      <c r="H81" s="1">
        <f>SUM(OSRRefH22_12x_0)</f>
        <v>196.2</v>
      </c>
      <c r="I81" s="1"/>
      <c r="J81" s="5">
        <f t="shared" ref="J81:J86" si="58">IF(H$12=0,0,H81/H$12)</f>
        <v>5.2900865611309675E-3</v>
      </c>
      <c r="K81" s="1"/>
      <c r="L81" s="1">
        <f t="shared" ref="L81:L86" si="59">+D81-H81</f>
        <v>-12.899999999999977</v>
      </c>
      <c r="M81" s="1"/>
      <c r="N81" s="5">
        <f t="shared" ref="N81:N86" si="60">IF(H81=0,0,L81/H81)</f>
        <v>-6.5749235474006004E-2</v>
      </c>
      <c r="O81" s="13"/>
      <c r="P81" s="1">
        <f>SUM(OSRRefP22_12x_0)</f>
        <v>1257</v>
      </c>
      <c r="Q81" s="1"/>
      <c r="R81" s="5">
        <f t="shared" ref="R81:R86" si="61">IF(P$12=0,0,P81/P$12)</f>
        <v>1.6798138493635956E-2</v>
      </c>
      <c r="S81" s="1"/>
      <c r="T81" s="1">
        <f>SUM(OSRRefT22_12x_0)</f>
        <v>1225.8499999999999</v>
      </c>
      <c r="U81" s="1"/>
      <c r="V81" s="5">
        <f t="shared" ref="V81:V86" si="62">IF(T$12=0,0,T81/T$12)</f>
        <v>3.9846303169306391E-3</v>
      </c>
      <c r="W81" s="1"/>
      <c r="X81" s="1">
        <f t="shared" ref="X81:X86" si="63">+P81-T81</f>
        <v>31.150000000000091</v>
      </c>
      <c r="Y81" s="1"/>
      <c r="Z81" s="5">
        <f t="shared" ref="Z81:Z86" si="64">IF(T81=0,0,X81/T81)</f>
        <v>2.5410939348207442E-2</v>
      </c>
    </row>
    <row r="82" spans="1:26" s="24" customFormat="1" hidden="1" outlineLevel="2" x14ac:dyDescent="0.25">
      <c r="A82" s="27"/>
      <c r="B82" s="11" t="str">
        <f>CONCATENATE("          ", "6309", " - ", "TELEPHONE")</f>
        <v xml:space="preserve">          6309 - TELEPHONE</v>
      </c>
      <c r="C82" s="11"/>
      <c r="D82" s="7">
        <v>183.3</v>
      </c>
      <c r="E82" s="2"/>
      <c r="F82" s="6">
        <f t="shared" si="57"/>
        <v>0.14584543407515851</v>
      </c>
      <c r="G82" s="2"/>
      <c r="H82" s="7">
        <v>196.2</v>
      </c>
      <c r="I82" s="2"/>
      <c r="J82" s="6">
        <f t="shared" si="58"/>
        <v>5.2900865611309675E-3</v>
      </c>
      <c r="K82" s="2"/>
      <c r="L82" s="7">
        <f t="shared" si="59"/>
        <v>-12.899999999999977</v>
      </c>
      <c r="M82" s="2"/>
      <c r="N82" s="6">
        <f t="shared" si="60"/>
        <v>-6.5749235474006004E-2</v>
      </c>
      <c r="O82" s="11"/>
      <c r="P82" s="7">
        <v>1257</v>
      </c>
      <c r="Q82" s="2"/>
      <c r="R82" s="6">
        <f t="shared" si="61"/>
        <v>1.6798138493635956E-2</v>
      </c>
      <c r="S82" s="2"/>
      <c r="T82" s="7">
        <v>1225.8499999999999</v>
      </c>
      <c r="U82" s="2"/>
      <c r="V82" s="6">
        <f t="shared" si="62"/>
        <v>3.9846303169306391E-3</v>
      </c>
      <c r="W82" s="2"/>
      <c r="X82" s="7">
        <f t="shared" si="63"/>
        <v>31.150000000000091</v>
      </c>
      <c r="Y82" s="2"/>
      <c r="Z82" s="6">
        <f t="shared" si="64"/>
        <v>2.5410939348207442E-2</v>
      </c>
    </row>
    <row r="83" spans="1:26" s="25" customFormat="1" outlineLevel="1" collapsed="1" x14ac:dyDescent="0.25">
      <c r="A83" s="26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SUM(OSRRefD22_13x_0)</f>
        <v>0</v>
      </c>
      <c r="E83" s="1"/>
      <c r="F83" s="5">
        <f t="shared" si="57"/>
        <v>0</v>
      </c>
      <c r="G83" s="1"/>
      <c r="H83" s="1">
        <f>SUM(OSRRefH22_13x_0)</f>
        <v>0</v>
      </c>
      <c r="I83" s="1"/>
      <c r="J83" s="5">
        <f t="shared" si="58"/>
        <v>0</v>
      </c>
      <c r="K83" s="1"/>
      <c r="L83" s="1">
        <f t="shared" si="59"/>
        <v>0</v>
      </c>
      <c r="M83" s="1"/>
      <c r="N83" s="5">
        <f t="shared" si="60"/>
        <v>0</v>
      </c>
      <c r="O83" s="13"/>
      <c r="P83" s="1">
        <f>SUM(OSRRefP22_13x_0)</f>
        <v>0</v>
      </c>
      <c r="Q83" s="1"/>
      <c r="R83" s="5">
        <f t="shared" si="61"/>
        <v>0</v>
      </c>
      <c r="S83" s="1"/>
      <c r="T83" s="1">
        <f>SUM(OSRRefT22_13x_0)</f>
        <v>97.71</v>
      </c>
      <c r="U83" s="1"/>
      <c r="V83" s="5">
        <f t="shared" si="62"/>
        <v>3.1760674492580069E-4</v>
      </c>
      <c r="W83" s="1"/>
      <c r="X83" s="1">
        <f t="shared" si="63"/>
        <v>-97.71</v>
      </c>
      <c r="Y83" s="1"/>
      <c r="Z83" s="5">
        <f t="shared" si="64"/>
        <v>-1</v>
      </c>
    </row>
    <row r="84" spans="1:26" s="24" customFormat="1" hidden="1" outlineLevel="2" x14ac:dyDescent="0.25">
      <c r="A84" s="27"/>
      <c r="B84" s="11" t="str">
        <f>CONCATENATE("          ", "6376", " - ", "TRAINING")</f>
        <v xml:space="preserve">          6376 - TRAINING</v>
      </c>
      <c r="C84" s="11"/>
      <c r="D84" s="7"/>
      <c r="E84" s="2"/>
      <c r="F84" s="6">
        <f t="shared" si="57"/>
        <v>0</v>
      </c>
      <c r="G84" s="2"/>
      <c r="H84" s="7"/>
      <c r="I84" s="2"/>
      <c r="J84" s="6">
        <f t="shared" si="58"/>
        <v>0</v>
      </c>
      <c r="K84" s="2"/>
      <c r="L84" s="7">
        <f t="shared" si="59"/>
        <v>0</v>
      </c>
      <c r="M84" s="2"/>
      <c r="N84" s="6">
        <f t="shared" si="60"/>
        <v>0</v>
      </c>
      <c r="O84" s="11"/>
      <c r="P84" s="7"/>
      <c r="Q84" s="2"/>
      <c r="R84" s="6">
        <f t="shared" si="61"/>
        <v>0</v>
      </c>
      <c r="S84" s="2"/>
      <c r="T84" s="7">
        <v>97.71</v>
      </c>
      <c r="U84" s="2"/>
      <c r="V84" s="6">
        <f t="shared" si="62"/>
        <v>3.1760674492580069E-4</v>
      </c>
      <c r="W84" s="2"/>
      <c r="X84" s="7">
        <f t="shared" si="63"/>
        <v>-97.71</v>
      </c>
      <c r="Y84" s="2"/>
      <c r="Z84" s="6">
        <f t="shared" si="64"/>
        <v>-1</v>
      </c>
    </row>
    <row r="85" spans="1:26" s="25" customFormat="1" outlineLevel="1" collapsed="1" x14ac:dyDescent="0.25">
      <c r="A85" s="26"/>
      <c r="B85" s="13" t="str">
        <f>CONCATENATE("     ","Utilities                                         ")</f>
        <v xml:space="preserve">     Utilities                                         </v>
      </c>
      <c r="C85" s="13"/>
      <c r="D85" s="1">
        <f>SUM(OSRRefD22_14x_0)</f>
        <v>0</v>
      </c>
      <c r="E85" s="1"/>
      <c r="F85" s="5">
        <f t="shared" si="57"/>
        <v>0</v>
      </c>
      <c r="G85" s="1"/>
      <c r="H85" s="1">
        <f>SUM(OSRRefH22_14x_0)</f>
        <v>0</v>
      </c>
      <c r="I85" s="1"/>
      <c r="J85" s="5">
        <f t="shared" si="58"/>
        <v>0</v>
      </c>
      <c r="K85" s="1"/>
      <c r="L85" s="1">
        <f t="shared" si="59"/>
        <v>0</v>
      </c>
      <c r="M85" s="1"/>
      <c r="N85" s="5">
        <f t="shared" si="60"/>
        <v>0</v>
      </c>
      <c r="O85" s="13"/>
      <c r="P85" s="1">
        <f>SUM(OSRRefP22_14x_0)</f>
        <v>15.02</v>
      </c>
      <c r="Q85" s="1"/>
      <c r="R85" s="5">
        <f t="shared" si="61"/>
        <v>2.0072238677359746E-4</v>
      </c>
      <c r="S85" s="1"/>
      <c r="T85" s="1">
        <f>SUM(OSRRefT22_14x_0)</f>
        <v>0</v>
      </c>
      <c r="U85" s="1"/>
      <c r="V85" s="5">
        <f t="shared" si="62"/>
        <v>0</v>
      </c>
      <c r="W85" s="1"/>
      <c r="X85" s="1">
        <f t="shared" si="63"/>
        <v>15.02</v>
      </c>
      <c r="Y85" s="1"/>
      <c r="Z85" s="5">
        <f t="shared" si="64"/>
        <v>0</v>
      </c>
    </row>
    <row r="86" spans="1:26" s="24" customFormat="1" hidden="1" outlineLevel="2" x14ac:dyDescent="0.25">
      <c r="A86" s="27"/>
      <c r="B86" s="11" t="str">
        <f>CONCATENATE("          ", "6274", " - ", "UTILITIES")</f>
        <v xml:space="preserve">          6274 - UTILITIES</v>
      </c>
      <c r="C86" s="11"/>
      <c r="D86" s="7"/>
      <c r="E86" s="2"/>
      <c r="F86" s="6">
        <f t="shared" si="57"/>
        <v>0</v>
      </c>
      <c r="G86" s="2"/>
      <c r="H86" s="7"/>
      <c r="I86" s="2"/>
      <c r="J86" s="6">
        <f t="shared" si="58"/>
        <v>0</v>
      </c>
      <c r="K86" s="2"/>
      <c r="L86" s="7">
        <f t="shared" si="59"/>
        <v>0</v>
      </c>
      <c r="M86" s="2"/>
      <c r="N86" s="6">
        <f t="shared" si="60"/>
        <v>0</v>
      </c>
      <c r="O86" s="11"/>
      <c r="P86" s="7">
        <v>15.02</v>
      </c>
      <c r="Q86" s="2"/>
      <c r="R86" s="6">
        <f t="shared" si="61"/>
        <v>2.0072238677359746E-4</v>
      </c>
      <c r="S86" s="2"/>
      <c r="T86" s="7"/>
      <c r="U86" s="2"/>
      <c r="V86" s="6">
        <f t="shared" si="62"/>
        <v>0</v>
      </c>
      <c r="W86" s="2"/>
      <c r="X86" s="7">
        <f t="shared" si="63"/>
        <v>15.02</v>
      </c>
      <c r="Y86" s="2"/>
      <c r="Z86" s="6">
        <f t="shared" si="64"/>
        <v>0</v>
      </c>
    </row>
    <row r="87" spans="1:26" s="55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25">
      <c r="A88" s="10"/>
      <c r="B88" s="29" t="s">
        <v>0</v>
      </c>
      <c r="C88" s="10"/>
      <c r="D88" s="4">
        <f>SUM(OSRRefD25x_0)</f>
        <v>6782</v>
      </c>
      <c r="E88" s="4"/>
      <c r="F88" s="12">
        <f t="shared" ref="F88:F94" si="65">IF(D$12=0,0,D88/D$12)</f>
        <v>5.3962014942592749</v>
      </c>
      <c r="G88" s="4"/>
      <c r="H88" s="4">
        <f>SUM(OSRRefH25x_0)</f>
        <v>13269</v>
      </c>
      <c r="I88" s="4"/>
      <c r="J88" s="12">
        <f t="shared" ref="J88:J94" si="66">IF(H$12=0,0,H88/H$12)</f>
        <v>0.35776839235293995</v>
      </c>
      <c r="K88" s="4"/>
      <c r="L88" s="4">
        <f t="shared" ref="L88:L94" si="67">+D88-H88</f>
        <v>-6487</v>
      </c>
      <c r="M88" s="4"/>
      <c r="N88" s="12">
        <f t="shared" ref="N88:N94" si="68">IF(H88=0,0,L88/H88)</f>
        <v>-0.48888386464692141</v>
      </c>
      <c r="O88" s="10"/>
      <c r="P88" s="4">
        <f>SUM(OSRRefP25x_0)</f>
        <v>40692</v>
      </c>
      <c r="Q88" s="4"/>
      <c r="R88" s="12">
        <f t="shared" ref="R88:R94" si="69">IF(P$12=0,0,P88/P$12)</f>
        <v>0.54379463133097394</v>
      </c>
      <c r="S88" s="4"/>
      <c r="T88" s="4">
        <f>SUM(OSRRefT25x_0)</f>
        <v>165347.40000000002</v>
      </c>
      <c r="U88" s="4"/>
      <c r="V88" s="12">
        <f t="shared" ref="V88:V94" si="70">IF(T$12=0,0,T88/T$12)</f>
        <v>0.53746238354256826</v>
      </c>
      <c r="W88" s="4"/>
      <c r="X88" s="4">
        <f t="shared" ref="X88:X94" si="71">+P88-T88</f>
        <v>-124655.40000000002</v>
      </c>
      <c r="Y88" s="4"/>
      <c r="Z88" s="12">
        <f t="shared" ref="Z88:Z94" si="72">IF(T88=0,0,X88/T88)</f>
        <v>-0.75389997060733949</v>
      </c>
    </row>
    <row r="89" spans="1:26" s="24" customFormat="1" hidden="1" outlineLevel="1" x14ac:dyDescent="0.25">
      <c r="A89" s="44"/>
      <c r="B89" s="11" t="str">
        <f>CONCATENATE("          ", "4098", " - ", "TAXABLE SALES-GRAD RENTALS")</f>
        <v xml:space="preserve">          4098 - TAXABLE SALES-GRAD RENTALS</v>
      </c>
      <c r="C89" s="11"/>
      <c r="D89" s="2">
        <f t="shared" ref="D89:D91" si="73">0</f>
        <v>0</v>
      </c>
      <c r="E89" s="2"/>
      <c r="F89" s="19">
        <f t="shared" si="65"/>
        <v>0</v>
      </c>
      <c r="G89" s="2"/>
      <c r="H89" s="2">
        <f t="shared" ref="H89:H91" si="74">0</f>
        <v>0</v>
      </c>
      <c r="I89" s="2"/>
      <c r="J89" s="19">
        <f t="shared" si="66"/>
        <v>0</v>
      </c>
      <c r="K89" s="2"/>
      <c r="L89" s="2">
        <f t="shared" si="67"/>
        <v>0</v>
      </c>
      <c r="M89" s="2"/>
      <c r="N89" s="19">
        <f t="shared" si="68"/>
        <v>0</v>
      </c>
      <c r="O89" s="11"/>
      <c r="P89" s="2">
        <f t="shared" ref="P89:P91" si="75">0</f>
        <v>0</v>
      </c>
      <c r="Q89" s="2"/>
      <c r="R89" s="19">
        <f t="shared" si="69"/>
        <v>0</v>
      </c>
      <c r="S89" s="2"/>
      <c r="T89" s="2">
        <f>--1626.85</f>
        <v>1626.85</v>
      </c>
      <c r="U89" s="2"/>
      <c r="V89" s="19">
        <f t="shared" si="70"/>
        <v>5.2880824171787823E-3</v>
      </c>
      <c r="W89" s="2"/>
      <c r="X89" s="2">
        <f t="shared" si="71"/>
        <v>-1626.85</v>
      </c>
      <c r="Y89" s="2"/>
      <c r="Z89" s="19">
        <f t="shared" si="72"/>
        <v>-1</v>
      </c>
    </row>
    <row r="90" spans="1:26" s="24" customFormat="1" hidden="1" outlineLevel="1" x14ac:dyDescent="0.25">
      <c r="A90" s="44"/>
      <c r="B90" s="11" t="str">
        <f>CONCATENATE("          ", "4197", " - ", "NON-TAXABLE SALES-RETURNED CHE")</f>
        <v xml:space="preserve">          4197 - NON-TAXABLE SALES-RETURNED CHE</v>
      </c>
      <c r="C90" s="11"/>
      <c r="D90" s="2">
        <f t="shared" si="73"/>
        <v>0</v>
      </c>
      <c r="E90" s="2"/>
      <c r="F90" s="19">
        <f t="shared" si="65"/>
        <v>0</v>
      </c>
      <c r="G90" s="2"/>
      <c r="H90" s="2">
        <f t="shared" si="74"/>
        <v>0</v>
      </c>
      <c r="I90" s="2"/>
      <c r="J90" s="19">
        <f t="shared" si="66"/>
        <v>0</v>
      </c>
      <c r="K90" s="2"/>
      <c r="L90" s="2">
        <f t="shared" si="67"/>
        <v>0</v>
      </c>
      <c r="M90" s="2"/>
      <c r="N90" s="19">
        <f t="shared" si="68"/>
        <v>0</v>
      </c>
      <c r="O90" s="11"/>
      <c r="P90" s="2">
        <f t="shared" si="75"/>
        <v>0</v>
      </c>
      <c r="Q90" s="2"/>
      <c r="R90" s="19">
        <f t="shared" si="69"/>
        <v>0</v>
      </c>
      <c r="S90" s="2"/>
      <c r="T90" s="2">
        <f>--30</f>
        <v>30</v>
      </c>
      <c r="U90" s="2"/>
      <c r="V90" s="19">
        <f t="shared" si="70"/>
        <v>9.7515119719312471E-5</v>
      </c>
      <c r="W90" s="2"/>
      <c r="X90" s="2">
        <f t="shared" si="71"/>
        <v>-30</v>
      </c>
      <c r="Y90" s="2"/>
      <c r="Z90" s="19">
        <f t="shared" si="72"/>
        <v>-1</v>
      </c>
    </row>
    <row r="91" spans="1:26" s="24" customFormat="1" hidden="1" outlineLevel="1" x14ac:dyDescent="0.25">
      <c r="A91" s="44"/>
      <c r="B91" s="11" t="str">
        <f>CONCATENATE("          ", "4198", " - ", "NON-TAXABLE SALES-GRAD RENTALS")</f>
        <v xml:space="preserve">          4198 - NON-TAXABLE SALES-GRAD RENTALS</v>
      </c>
      <c r="C91" s="11"/>
      <c r="D91" s="2">
        <f t="shared" si="73"/>
        <v>0</v>
      </c>
      <c r="E91" s="2"/>
      <c r="F91" s="19">
        <f t="shared" si="65"/>
        <v>0</v>
      </c>
      <c r="G91" s="2"/>
      <c r="H91" s="2">
        <f t="shared" si="74"/>
        <v>0</v>
      </c>
      <c r="I91" s="2"/>
      <c r="J91" s="19">
        <f t="shared" si="66"/>
        <v>0</v>
      </c>
      <c r="K91" s="2"/>
      <c r="L91" s="2">
        <f t="shared" si="67"/>
        <v>0</v>
      </c>
      <c r="M91" s="2"/>
      <c r="N91" s="19">
        <f t="shared" si="68"/>
        <v>0</v>
      </c>
      <c r="O91" s="11"/>
      <c r="P91" s="2">
        <f t="shared" si="75"/>
        <v>0</v>
      </c>
      <c r="Q91" s="2"/>
      <c r="R91" s="19">
        <f t="shared" si="69"/>
        <v>0</v>
      </c>
      <c r="S91" s="2"/>
      <c r="T91" s="2">
        <f>--495</f>
        <v>495</v>
      </c>
      <c r="U91" s="2"/>
      <c r="V91" s="19">
        <f t="shared" si="70"/>
        <v>1.6089994753686557E-3</v>
      </c>
      <c r="W91" s="2"/>
      <c r="X91" s="2">
        <f t="shared" si="71"/>
        <v>-495</v>
      </c>
      <c r="Y91" s="2"/>
      <c r="Z91" s="19">
        <f t="shared" si="72"/>
        <v>-1</v>
      </c>
    </row>
    <row r="92" spans="1:26" s="24" customFormat="1" hidden="1" outlineLevel="1" x14ac:dyDescent="0.25">
      <c r="A92" s="44"/>
      <c r="B92" s="11" t="str">
        <f>CONCATENATE("          ", "9150", " - ", "MISC. INCOME")</f>
        <v xml:space="preserve">          9150 - MISC. INCOME</v>
      </c>
      <c r="C92" s="11"/>
      <c r="D92" s="2">
        <f>--6782</f>
        <v>6782</v>
      </c>
      <c r="E92" s="2"/>
      <c r="F92" s="19">
        <f t="shared" si="65"/>
        <v>5.3962014942592749</v>
      </c>
      <c r="G92" s="2"/>
      <c r="H92" s="2">
        <f>--13269</f>
        <v>13269</v>
      </c>
      <c r="I92" s="2"/>
      <c r="J92" s="19">
        <f t="shared" si="66"/>
        <v>0.35776839235293995</v>
      </c>
      <c r="K92" s="2"/>
      <c r="L92" s="2">
        <f t="shared" si="67"/>
        <v>-6487</v>
      </c>
      <c r="M92" s="2"/>
      <c r="N92" s="19">
        <f t="shared" si="68"/>
        <v>-0.48888386464692141</v>
      </c>
      <c r="O92" s="11"/>
      <c r="P92" s="2">
        <f>--40692</f>
        <v>40692</v>
      </c>
      <c r="Q92" s="2"/>
      <c r="R92" s="19">
        <f t="shared" si="69"/>
        <v>0.54379463133097394</v>
      </c>
      <c r="S92" s="2"/>
      <c r="T92" s="2">
        <f>--79614</f>
        <v>79614</v>
      </c>
      <c r="U92" s="2"/>
      <c r="V92" s="19">
        <f t="shared" si="70"/>
        <v>0.25878562471111144</v>
      </c>
      <c r="W92" s="2"/>
      <c r="X92" s="2">
        <f t="shared" si="71"/>
        <v>-38922</v>
      </c>
      <c r="Y92" s="2"/>
      <c r="Z92" s="19">
        <f t="shared" si="72"/>
        <v>-0.48888386464692141</v>
      </c>
    </row>
    <row r="93" spans="1:26" s="24" customFormat="1" hidden="1" outlineLevel="1" x14ac:dyDescent="0.25">
      <c r="A93" s="44"/>
      <c r="B93" s="11" t="str">
        <f>CONCATENATE("          ", "9160", " - ", "MISC. INCOME")</f>
        <v xml:space="preserve">          9160 - MISC. INCOME</v>
      </c>
      <c r="C93" s="11"/>
      <c r="D93" s="2">
        <f t="shared" ref="D93:D94" si="76">0</f>
        <v>0</v>
      </c>
      <c r="E93" s="2"/>
      <c r="F93" s="19">
        <f t="shared" si="65"/>
        <v>0</v>
      </c>
      <c r="G93" s="2"/>
      <c r="H93" s="2">
        <f t="shared" ref="H93:H94" si="77">0</f>
        <v>0</v>
      </c>
      <c r="I93" s="2"/>
      <c r="J93" s="19">
        <f t="shared" si="66"/>
        <v>0</v>
      </c>
      <c r="K93" s="2"/>
      <c r="L93" s="2">
        <f t="shared" si="67"/>
        <v>0</v>
      </c>
      <c r="M93" s="2"/>
      <c r="N93" s="19">
        <f t="shared" si="68"/>
        <v>0</v>
      </c>
      <c r="O93" s="11"/>
      <c r="P93" s="2">
        <f t="shared" ref="P93:P94" si="78">0</f>
        <v>0</v>
      </c>
      <c r="Q93" s="2"/>
      <c r="R93" s="19">
        <f t="shared" si="69"/>
        <v>0</v>
      </c>
      <c r="S93" s="2"/>
      <c r="T93" s="2">
        <f>--22475</f>
        <v>22475</v>
      </c>
      <c r="U93" s="2"/>
      <c r="V93" s="19">
        <f t="shared" si="70"/>
        <v>7.3055077189718251E-2</v>
      </c>
      <c r="W93" s="2"/>
      <c r="X93" s="2">
        <f t="shared" si="71"/>
        <v>-22475</v>
      </c>
      <c r="Y93" s="2"/>
      <c r="Z93" s="19">
        <f t="shared" si="72"/>
        <v>-1</v>
      </c>
    </row>
    <row r="94" spans="1:26" s="24" customFormat="1" hidden="1" outlineLevel="1" x14ac:dyDescent="0.25">
      <c r="A94" s="44"/>
      <c r="B94" s="11" t="str">
        <f>CONCATENATE("          ", "9163", " - ", "MISC. INCOME")</f>
        <v xml:space="preserve">          9163 - MISC. INCOME</v>
      </c>
      <c r="C94" s="11"/>
      <c r="D94" s="2">
        <f t="shared" si="76"/>
        <v>0</v>
      </c>
      <c r="E94" s="2"/>
      <c r="F94" s="19">
        <f t="shared" si="65"/>
        <v>0</v>
      </c>
      <c r="G94" s="2"/>
      <c r="H94" s="2">
        <f t="shared" si="77"/>
        <v>0</v>
      </c>
      <c r="I94" s="2"/>
      <c r="J94" s="19">
        <f t="shared" si="66"/>
        <v>0</v>
      </c>
      <c r="K94" s="2"/>
      <c r="L94" s="2">
        <f t="shared" si="67"/>
        <v>0</v>
      </c>
      <c r="M94" s="2"/>
      <c r="N94" s="19">
        <f t="shared" si="68"/>
        <v>0</v>
      </c>
      <c r="O94" s="11"/>
      <c r="P94" s="2">
        <f t="shared" si="78"/>
        <v>0</v>
      </c>
      <c r="Q94" s="2"/>
      <c r="R94" s="19">
        <f t="shared" si="69"/>
        <v>0</v>
      </c>
      <c r="S94" s="2"/>
      <c r="T94" s="2">
        <f>--61106.55</f>
        <v>61106.55</v>
      </c>
      <c r="U94" s="2"/>
      <c r="V94" s="19">
        <f t="shared" si="70"/>
        <v>0.19862708462947179</v>
      </c>
      <c r="W94" s="2"/>
      <c r="X94" s="2">
        <f t="shared" si="71"/>
        <v>-61106.55</v>
      </c>
      <c r="Y94" s="2"/>
      <c r="Z94" s="19">
        <f t="shared" si="72"/>
        <v>-1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8" t="s">
        <v>3</v>
      </c>
      <c r="C96" s="28"/>
      <c r="D96" s="20">
        <f>+D36-D38+D88</f>
        <v>-23899.91</v>
      </c>
      <c r="E96" s="14"/>
      <c r="F96" s="21">
        <f>IF(D$12=0,0,D96/D$12)</f>
        <v>-19.016327050230341</v>
      </c>
      <c r="G96" s="14"/>
      <c r="H96" s="20">
        <f>+H36-H38+H88</f>
        <v>2297.6100000000006</v>
      </c>
      <c r="I96" s="14"/>
      <c r="J96" s="21">
        <f>IF(H$12=0,0,H96/H$12)</f>
        <v>6.1949825605097486E-2</v>
      </c>
      <c r="K96" s="15"/>
      <c r="L96" s="20">
        <f>+D96-H96</f>
        <v>-26197.52</v>
      </c>
      <c r="M96" s="15"/>
      <c r="N96" s="21">
        <f>IF(H96=0,0,L96/H96)</f>
        <v>-11.402074329411864</v>
      </c>
      <c r="O96" s="29"/>
      <c r="P96" s="20">
        <f>+P36-P38+P88</f>
        <v>-76602.740000000005</v>
      </c>
      <c r="Q96" s="14"/>
      <c r="R96" s="21">
        <f>IF(P$12=0,0,P96/P$12)</f>
        <v>-1.0236940616642696</v>
      </c>
      <c r="S96" s="14"/>
      <c r="T96" s="20">
        <f>+T36-T38+T88</f>
        <v>194226.32</v>
      </c>
      <c r="U96" s="14"/>
      <c r="V96" s="21">
        <f>IF(T$12=0,0,T96/T$12)</f>
        <v>0.63133342824804983</v>
      </c>
      <c r="W96" s="15"/>
      <c r="X96" s="20">
        <f>+P96-T96</f>
        <v>-270829.06</v>
      </c>
      <c r="Y96" s="15"/>
      <c r="Z96" s="21">
        <f>IF(T96=0,0,X96/T96)</f>
        <v>-1.3943993790336964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1"/>
      <c r="B98" s="10" t="s">
        <v>13</v>
      </c>
      <c r="C98" s="10"/>
      <c r="D98" s="4">
        <v>2154.34</v>
      </c>
      <c r="E98" s="4"/>
      <c r="F98" s="12">
        <f>IF(D$12=0,0,D98/D$12)</f>
        <v>1.7141334012300984</v>
      </c>
      <c r="G98" s="4"/>
      <c r="H98" s="4">
        <v>4577.91</v>
      </c>
      <c r="I98" s="4"/>
      <c r="J98" s="12">
        <f>IF(H$12=0,0,H98/H$12)</f>
        <v>0.12343292644784438</v>
      </c>
      <c r="K98" s="4"/>
      <c r="L98" s="4">
        <f>+D98-H98</f>
        <v>-2423.5699999999997</v>
      </c>
      <c r="M98" s="4"/>
      <c r="N98" s="12">
        <f>IF(H98=0,0,L98/H98)</f>
        <v>-0.52940533999139339</v>
      </c>
      <c r="O98" s="10"/>
      <c r="P98" s="4">
        <v>13845.08</v>
      </c>
      <c r="Q98" s="4"/>
      <c r="R98" s="12">
        <f>IF(P$12=0,0,P98/P$12)</f>
        <v>0.1850211386598801</v>
      </c>
      <c r="S98" s="4"/>
      <c r="T98" s="4">
        <v>33227.990000000005</v>
      </c>
      <c r="U98" s="4"/>
      <c r="V98" s="12">
        <f>IF(T$12=0,0,T98/T$12)</f>
        <v>0.1080077140960706</v>
      </c>
      <c r="W98" s="4"/>
      <c r="X98" s="4">
        <f>+P98-T98</f>
        <v>-19382.910000000003</v>
      </c>
      <c r="Y98" s="4"/>
      <c r="Z98" s="12">
        <f>IF(T98=0,0,X98/T98)</f>
        <v>-0.58333080032827744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4</v>
      </c>
      <c r="C100" s="28"/>
      <c r="D100" s="33">
        <f>+D96-D98</f>
        <v>-26054.25</v>
      </c>
      <c r="E100" s="14"/>
      <c r="F100" s="34">
        <f>IF(D$12=0,0,D100/D$12)</f>
        <v>-20.730460451460441</v>
      </c>
      <c r="G100" s="14"/>
      <c r="H100" s="33">
        <f>+H96-H98</f>
        <v>-2280.2999999999993</v>
      </c>
      <c r="I100" s="14"/>
      <c r="J100" s="34">
        <f>IF(H$12=0,0,H100/H$12)</f>
        <v>-6.1483100842746906E-2</v>
      </c>
      <c r="K100" s="15"/>
      <c r="L100" s="33">
        <f>D100-H100</f>
        <v>-23773.95</v>
      </c>
      <c r="M100" s="15"/>
      <c r="N100" s="34">
        <f>IF(H100=0,0,L100/H100)</f>
        <v>10.425799236942511</v>
      </c>
      <c r="O100" s="29"/>
      <c r="P100" s="33">
        <f>+P96-P98</f>
        <v>-90447.82</v>
      </c>
      <c r="Q100" s="14"/>
      <c r="R100" s="34">
        <f>IF(P$12=0,0,P100/P$12)</f>
        <v>-1.2087152003241497</v>
      </c>
      <c r="S100" s="14"/>
      <c r="T100" s="33">
        <f>+T96-T98</f>
        <v>160998.33000000002</v>
      </c>
      <c r="U100" s="14"/>
      <c r="V100" s="34">
        <f>IF(T$12=0,0,T100/T$12)</f>
        <v>0.52332571415197926</v>
      </c>
      <c r="W100" s="15"/>
      <c r="X100" s="33">
        <f>P100-T100</f>
        <v>-251446.15000000002</v>
      </c>
      <c r="Y100" s="15"/>
      <c r="Z100" s="34">
        <f>IF(T100=0,0,X100/T100)</f>
        <v>-1.5617935291626939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5</v>
      </c>
      <c r="C103" s="28"/>
      <c r="D103" s="30">
        <f>SUM(D100:D102)</f>
        <v>-26054.25</v>
      </c>
      <c r="E103" s="14"/>
      <c r="F103" s="32">
        <f>IF(D$12=0,0,D103/D$12)</f>
        <v>-20.730460451460441</v>
      </c>
      <c r="G103" s="14"/>
      <c r="H103" s="30">
        <f>SUM(H100:H102)</f>
        <v>-2280.2999999999993</v>
      </c>
      <c r="I103" s="14"/>
      <c r="J103" s="32">
        <f>IF(H$12=0,0,H103/H$12)</f>
        <v>-6.1483100842746906E-2</v>
      </c>
      <c r="K103" s="15"/>
      <c r="L103" s="30">
        <f>+D103-H103</f>
        <v>-23773.95</v>
      </c>
      <c r="M103" s="15"/>
      <c r="N103" s="32">
        <f>IF(H103=0,0,L103/H103)</f>
        <v>10.425799236942511</v>
      </c>
      <c r="O103" s="29"/>
      <c r="P103" s="30">
        <f>SUM(P100:P102)</f>
        <v>-90447.82</v>
      </c>
      <c r="Q103" s="14"/>
      <c r="R103" s="32">
        <f>IF(P$12=0,0,P103/P$12)</f>
        <v>-1.2087152003241497</v>
      </c>
      <c r="S103" s="14"/>
      <c r="T103" s="30">
        <f>SUM(T100:T102)</f>
        <v>160998.33000000002</v>
      </c>
      <c r="U103" s="14"/>
      <c r="V103" s="32">
        <f>IF(T$12=0,0,T103/T$12)</f>
        <v>0.52332571415197926</v>
      </c>
      <c r="W103" s="15"/>
      <c r="X103" s="30">
        <f>+P103-T103</f>
        <v>-251446.15000000002</v>
      </c>
      <c r="Y103" s="15"/>
      <c r="Z103" s="32">
        <f>IF(T103=0,0,X103/T103)</f>
        <v>-1.5617935291626939</v>
      </c>
    </row>
    <row r="104" spans="1:26" ht="15.75" thickTop="1" x14ac:dyDescent="0.25">
      <c r="A104" s="9"/>
      <c r="C104" s="9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58">
        <v>44209.521429050925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61" t="s">
        <v>313</v>
      </c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A107" s="9"/>
      <c r="B107" s="57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","316", " - ", "Campus Copy Center")</f>
        <v>Department 316 - Campus Copy Center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1256.8100000000002</v>
      </c>
      <c r="E12" s="4"/>
      <c r="F12" s="12"/>
      <c r="G12" s="4"/>
      <c r="H12" s="4">
        <f>SUM(OSRRefH13x_0)</f>
        <v>36849.589999999997</v>
      </c>
      <c r="I12" s="4"/>
      <c r="J12" s="12"/>
      <c r="K12" s="4"/>
      <c r="L12" s="4">
        <f t="shared" ref="L12:L24" si="0">+D12-H12</f>
        <v>-35592.78</v>
      </c>
      <c r="M12" s="4"/>
      <c r="N12" s="12">
        <f t="shared" ref="N12:N24" si="1">IF(H12=0,0,L12/H12)</f>
        <v>-0.96589351469039419</v>
      </c>
      <c r="O12" s="10"/>
      <c r="P12" s="4">
        <f>SUM(OSRRefP13x_0)</f>
        <v>74829.719999999987</v>
      </c>
      <c r="Q12" s="4"/>
      <c r="R12" s="12"/>
      <c r="S12" s="4"/>
      <c r="T12" s="4">
        <f>SUM(OSRRefT13x_0)</f>
        <v>300095.71000000002</v>
      </c>
      <c r="U12" s="4"/>
      <c r="V12" s="12"/>
      <c r="W12" s="4"/>
      <c r="X12" s="4">
        <f t="shared" ref="X12:X24" si="2">+P12-T12</f>
        <v>-225265.99000000005</v>
      </c>
      <c r="Y12" s="4"/>
      <c r="Z12" s="12">
        <f t="shared" ref="Z12:Z24" si="3">IF(T12=0,0,X12/T12)</f>
        <v>-0.75064715187031505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-8.65</f>
        <v>-8.65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-8.65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--251.9</f>
        <v>251.9</v>
      </c>
      <c r="E14" s="2"/>
      <c r="F14" s="19"/>
      <c r="G14" s="2"/>
      <c r="H14" s="2">
        <f>--96.53</f>
        <v>96.53</v>
      </c>
      <c r="I14" s="2"/>
      <c r="J14" s="19"/>
      <c r="K14" s="2"/>
      <c r="L14" s="2">
        <f t="shared" si="0"/>
        <v>155.37</v>
      </c>
      <c r="M14" s="2"/>
      <c r="N14" s="19">
        <f t="shared" si="1"/>
        <v>1.6095514347871129</v>
      </c>
      <c r="O14" s="11"/>
      <c r="P14" s="2">
        <f>--60944.27</f>
        <v>60944.27</v>
      </c>
      <c r="Q14" s="2"/>
      <c r="R14" s="19"/>
      <c r="S14" s="2"/>
      <c r="T14" s="2">
        <f>--97064.88</f>
        <v>97064.88</v>
      </c>
      <c r="U14" s="2"/>
      <c r="V14" s="19"/>
      <c r="W14" s="2"/>
      <c r="X14" s="2">
        <f t="shared" si="2"/>
        <v>-36120.610000000008</v>
      </c>
      <c r="Y14" s="2"/>
      <c r="Z14" s="19">
        <f t="shared" si="3"/>
        <v>-0.3721285185743804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--964.03</f>
        <v>964.03</v>
      </c>
      <c r="E15" s="2"/>
      <c r="F15" s="19"/>
      <c r="G15" s="2"/>
      <c r="H15" s="2">
        <f>--8211.3</f>
        <v>8211.2999999999993</v>
      </c>
      <c r="I15" s="2"/>
      <c r="J15" s="19"/>
      <c r="K15" s="2"/>
      <c r="L15" s="2">
        <f t="shared" si="0"/>
        <v>-7247.2699999999995</v>
      </c>
      <c r="M15" s="2"/>
      <c r="N15" s="19">
        <f t="shared" si="1"/>
        <v>-0.88259715270420036</v>
      </c>
      <c r="O15" s="11"/>
      <c r="P15" s="2">
        <f>--12853.85</f>
        <v>12853.85</v>
      </c>
      <c r="Q15" s="2"/>
      <c r="R15" s="19"/>
      <c r="S15" s="2"/>
      <c r="T15" s="2">
        <f>--48106.94</f>
        <v>48106.94</v>
      </c>
      <c r="U15" s="2"/>
      <c r="V15" s="19"/>
      <c r="W15" s="2"/>
      <c r="X15" s="2">
        <f t="shared" si="2"/>
        <v>-35253.090000000004</v>
      </c>
      <c r="Y15" s="2"/>
      <c r="Z15" s="19">
        <f t="shared" si="3"/>
        <v>-0.73280674264461643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--7.98</f>
        <v>7.98</v>
      </c>
      <c r="E16" s="2"/>
      <c r="F16" s="19"/>
      <c r="G16" s="2"/>
      <c r="H16" s="2">
        <f>--2.08</f>
        <v>2.08</v>
      </c>
      <c r="I16" s="2"/>
      <c r="J16" s="19"/>
      <c r="K16" s="2"/>
      <c r="L16" s="2">
        <f t="shared" si="0"/>
        <v>5.9</v>
      </c>
      <c r="M16" s="2"/>
      <c r="N16" s="19">
        <f t="shared" si="1"/>
        <v>2.8365384615384617</v>
      </c>
      <c r="O16" s="11"/>
      <c r="P16" s="2">
        <f>--15.96</f>
        <v>15.96</v>
      </c>
      <c r="Q16" s="2"/>
      <c r="R16" s="19"/>
      <c r="S16" s="2"/>
      <c r="T16" s="2">
        <f>--104.06</f>
        <v>104.06</v>
      </c>
      <c r="U16" s="2"/>
      <c r="V16" s="19"/>
      <c r="W16" s="2"/>
      <c r="X16" s="2">
        <f t="shared" si="2"/>
        <v>-88.1</v>
      </c>
      <c r="Y16" s="2"/>
      <c r="Z16" s="19">
        <f t="shared" si="3"/>
        <v>-0.8466269459926965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>0</f>
        <v>0</v>
      </c>
      <c r="E17" s="2"/>
      <c r="F17" s="19"/>
      <c r="G17" s="2"/>
      <c r="H17" s="2">
        <f>--115.39</f>
        <v>115.39</v>
      </c>
      <c r="I17" s="2"/>
      <c r="J17" s="19"/>
      <c r="K17" s="2"/>
      <c r="L17" s="2">
        <f t="shared" si="0"/>
        <v>-115.39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--1793.94</f>
        <v>1793.94</v>
      </c>
      <c r="U17" s="2"/>
      <c r="V17" s="19"/>
      <c r="W17" s="2"/>
      <c r="X17" s="2">
        <f t="shared" si="2"/>
        <v>-1793.94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--8.15</f>
        <v>8.15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8.15</v>
      </c>
      <c r="M18" s="2"/>
      <c r="N18" s="19">
        <f t="shared" si="1"/>
        <v>0</v>
      </c>
      <c r="O18" s="11"/>
      <c r="P18" s="2">
        <f>--519.65</f>
        <v>519.65</v>
      </c>
      <c r="Q18" s="2"/>
      <c r="R18" s="19"/>
      <c r="S18" s="2"/>
      <c r="T18" s="2">
        <f>--152.75</f>
        <v>152.75</v>
      </c>
      <c r="U18" s="2"/>
      <c r="V18" s="19"/>
      <c r="W18" s="2"/>
      <c r="X18" s="2">
        <f t="shared" si="2"/>
        <v>366.9</v>
      </c>
      <c r="Y18" s="2"/>
      <c r="Z18" s="19">
        <f t="shared" si="3"/>
        <v>2.401963993453355</v>
      </c>
    </row>
    <row r="19" spans="1:26" s="24" customFormat="1" hidden="1" outlineLevel="1" x14ac:dyDescent="0.25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0</f>
        <v>0</v>
      </c>
      <c r="E19" s="2"/>
      <c r="F19" s="19"/>
      <c r="G19" s="2"/>
      <c r="H19" s="2">
        <f>--1239.89</f>
        <v>1239.8900000000001</v>
      </c>
      <c r="I19" s="2"/>
      <c r="J19" s="19"/>
      <c r="K19" s="2"/>
      <c r="L19" s="2">
        <f t="shared" si="0"/>
        <v>-1239.8900000000001</v>
      </c>
      <c r="M19" s="2"/>
      <c r="N19" s="19">
        <f t="shared" si="1"/>
        <v>-1</v>
      </c>
      <c r="O19" s="11"/>
      <c r="P19" s="2">
        <f>--1110.59</f>
        <v>1110.5899999999999</v>
      </c>
      <c r="Q19" s="2"/>
      <c r="R19" s="19"/>
      <c r="S19" s="2"/>
      <c r="T19" s="2">
        <f>--6756.89</f>
        <v>6756.89</v>
      </c>
      <c r="U19" s="2"/>
      <c r="V19" s="19"/>
      <c r="W19" s="2"/>
      <c r="X19" s="2">
        <f t="shared" si="2"/>
        <v>-5646.3</v>
      </c>
      <c r="Y19" s="2"/>
      <c r="Z19" s="19">
        <f t="shared" si="3"/>
        <v>-0.83563592125963271</v>
      </c>
    </row>
    <row r="20" spans="1:26" s="24" customFormat="1" hidden="1" outlineLevel="1" x14ac:dyDescent="0.25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--19.9</f>
        <v>19.899999999999999</v>
      </c>
      <c r="E20" s="2"/>
      <c r="F20" s="19"/>
      <c r="G20" s="2"/>
      <c r="H20" s="2">
        <f>--27126.9</f>
        <v>27126.9</v>
      </c>
      <c r="I20" s="2"/>
      <c r="J20" s="19"/>
      <c r="K20" s="2"/>
      <c r="L20" s="2">
        <f t="shared" si="0"/>
        <v>-27107</v>
      </c>
      <c r="M20" s="2"/>
      <c r="N20" s="19">
        <f t="shared" si="1"/>
        <v>-0.99926641083205225</v>
      </c>
      <c r="O20" s="11"/>
      <c r="P20" s="2">
        <f>--127.9</f>
        <v>127.9</v>
      </c>
      <c r="Q20" s="2"/>
      <c r="R20" s="19"/>
      <c r="S20" s="2"/>
      <c r="T20" s="2">
        <f>--146467.95</f>
        <v>146467.95000000001</v>
      </c>
      <c r="U20" s="2"/>
      <c r="V20" s="19"/>
      <c r="W20" s="2"/>
      <c r="X20" s="2">
        <f t="shared" si="2"/>
        <v>-146340.05000000002</v>
      </c>
      <c r="Y20" s="2"/>
      <c r="Z20" s="19">
        <f t="shared" si="3"/>
        <v>-0.9991267714199592</v>
      </c>
    </row>
    <row r="21" spans="1:26" s="24" customFormat="1" hidden="1" outlineLevel="1" x14ac:dyDescent="0.25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>--13</f>
        <v>13</v>
      </c>
      <c r="E21" s="2"/>
      <c r="F21" s="19"/>
      <c r="G21" s="2"/>
      <c r="H21" s="2">
        <f>--57.5</f>
        <v>57.5</v>
      </c>
      <c r="I21" s="2"/>
      <c r="J21" s="19"/>
      <c r="K21" s="2"/>
      <c r="L21" s="2">
        <f t="shared" si="0"/>
        <v>-44.5</v>
      </c>
      <c r="M21" s="2"/>
      <c r="N21" s="19">
        <f t="shared" si="1"/>
        <v>-0.77391304347826084</v>
      </c>
      <c r="O21" s="11"/>
      <c r="P21" s="2">
        <f>--104.5</f>
        <v>104.5</v>
      </c>
      <c r="Q21" s="2"/>
      <c r="R21" s="19"/>
      <c r="S21" s="2"/>
      <c r="T21" s="2">
        <f>--307.4</f>
        <v>307.39999999999998</v>
      </c>
      <c r="U21" s="2"/>
      <c r="V21" s="19"/>
      <c r="W21" s="2"/>
      <c r="X21" s="2">
        <f t="shared" si="2"/>
        <v>-202.89999999999998</v>
      </c>
      <c r="Y21" s="2"/>
      <c r="Z21" s="19">
        <f t="shared" si="3"/>
        <v>-0.6600520494469746</v>
      </c>
    </row>
    <row r="22" spans="1:26" s="24" customFormat="1" hidden="1" outlineLevel="1" x14ac:dyDescent="0.25">
      <c r="A22" s="44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-8.15</f>
        <v>-8.15</v>
      </c>
      <c r="E22" s="2"/>
      <c r="F22" s="19"/>
      <c r="G22" s="2"/>
      <c r="H22" s="2">
        <f t="shared" ref="H22:H24" si="4">0</f>
        <v>0</v>
      </c>
      <c r="I22" s="2"/>
      <c r="J22" s="19"/>
      <c r="K22" s="2"/>
      <c r="L22" s="2">
        <f t="shared" si="0"/>
        <v>-8.15</v>
      </c>
      <c r="M22" s="2"/>
      <c r="N22" s="19">
        <f t="shared" si="1"/>
        <v>0</v>
      </c>
      <c r="O22" s="11"/>
      <c r="P22" s="2">
        <f>-838.35</f>
        <v>-838.35</v>
      </c>
      <c r="Q22" s="2"/>
      <c r="R22" s="19"/>
      <c r="S22" s="2"/>
      <c r="T22" s="2">
        <f>-634.75</f>
        <v>-634.75</v>
      </c>
      <c r="U22" s="2"/>
      <c r="V22" s="19"/>
      <c r="W22" s="2"/>
      <c r="X22" s="2">
        <f t="shared" si="2"/>
        <v>-203.60000000000002</v>
      </c>
      <c r="Y22" s="2"/>
      <c r="Z22" s="19">
        <f t="shared" si="3"/>
        <v>0.32075620322961801</v>
      </c>
    </row>
    <row r="23" spans="1:26" s="24" customFormat="1" hidden="1" outlineLevel="1" x14ac:dyDescent="0.25">
      <c r="A23" s="44"/>
      <c r="B23" s="11" t="str">
        <f>CONCATENATE("          ", "4242", " - ", "SALES RETURN TAXABLE-EVERYDAY")</f>
        <v xml:space="preserve">          4242 - SALES RETURN TAXABLE-EVERYDAY</v>
      </c>
      <c r="C23" s="11"/>
      <c r="D23" s="2">
        <f t="shared" ref="D23:D24" si="5">0</f>
        <v>0</v>
      </c>
      <c r="E23" s="2"/>
      <c r="F23" s="19"/>
      <c r="G23" s="2"/>
      <c r="H23" s="2">
        <f t="shared" si="4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6">0</f>
        <v>0</v>
      </c>
      <c r="Q23" s="2"/>
      <c r="R23" s="19"/>
      <c r="S23" s="2"/>
      <c r="T23" s="2">
        <f>-16.2</f>
        <v>-16.2</v>
      </c>
      <c r="U23" s="2"/>
      <c r="V23" s="19"/>
      <c r="W23" s="2"/>
      <c r="X23" s="2">
        <f t="shared" si="2"/>
        <v>16.2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"4346", " - ", "SALES RETURN NON TAXABLE-COIN-")</f>
        <v xml:space="preserve">          4346 - SALES RETURN NON TAXABLE-COIN-</v>
      </c>
      <c r="C24" s="11"/>
      <c r="D24" s="2">
        <f t="shared" si="5"/>
        <v>0</v>
      </c>
      <c r="E24" s="2"/>
      <c r="F24" s="19"/>
      <c r="G24" s="2"/>
      <c r="H24" s="2">
        <f t="shared" si="4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6"/>
        <v>0</v>
      </c>
      <c r="Q24" s="2"/>
      <c r="R24" s="19"/>
      <c r="S24" s="2"/>
      <c r="T24" s="2">
        <f>-8.15</f>
        <v>-8.15</v>
      </c>
      <c r="U24" s="2"/>
      <c r="V24" s="19"/>
      <c r="W24" s="2"/>
      <c r="X24" s="2">
        <f t="shared" si="2"/>
        <v>8.15</v>
      </c>
      <c r="Y24" s="2"/>
      <c r="Z24" s="19">
        <f t="shared" si="3"/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9" t="s">
        <v>8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6</v>
      </c>
      <c r="C28" s="28"/>
      <c r="D28" s="20">
        <f>D12-D26</f>
        <v>1256.8100000000002</v>
      </c>
      <c r="E28" s="14"/>
      <c r="F28" s="21">
        <f>IF(D$12=0,0,D28/D$12)</f>
        <v>1</v>
      </c>
      <c r="G28" s="14"/>
      <c r="H28" s="20">
        <f>H12-H26</f>
        <v>36849.589999999997</v>
      </c>
      <c r="I28" s="14"/>
      <c r="J28" s="21">
        <f>IF(H$12=0,0,H28/H$12)</f>
        <v>1</v>
      </c>
      <c r="K28" s="15"/>
      <c r="L28" s="20">
        <f>+D28-H28</f>
        <v>-35592.78</v>
      </c>
      <c r="M28" s="15"/>
      <c r="N28" s="21">
        <f>IF(H28=0,0,L28/H28)</f>
        <v>-0.96589351469039419</v>
      </c>
      <c r="O28" s="29"/>
      <c r="P28" s="20">
        <f>P12-P26</f>
        <v>74829.719999999987</v>
      </c>
      <c r="Q28" s="14"/>
      <c r="R28" s="21">
        <f>IF(P$12=0,0,P28/P$12)</f>
        <v>1</v>
      </c>
      <c r="S28" s="14"/>
      <c r="T28" s="20">
        <f>T12-T26</f>
        <v>300095.71000000002</v>
      </c>
      <c r="U28" s="14"/>
      <c r="V28" s="21">
        <f>IF(T$12=0,0,T28/T$12)</f>
        <v>1</v>
      </c>
      <c r="W28" s="15"/>
      <c r="X28" s="20">
        <f>+P28-T28</f>
        <v>-225265.99000000005</v>
      </c>
      <c r="Y28" s="15"/>
      <c r="Z28" s="21">
        <f>IF(T28=0,0,X28/T28)</f>
        <v>-0.75064715187031505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9</v>
      </c>
      <c r="C30" s="10"/>
      <c r="D30" s="22">
        <f>SUM(OSRRefD22x_0)</f>
        <v>31938.720000000001</v>
      </c>
      <c r="E30" s="22"/>
      <c r="F30" s="36">
        <f t="shared" ref="F30:F39" si="7">IF(D$12=0,0,D30/D$12)</f>
        <v>25.412528544489618</v>
      </c>
      <c r="G30" s="22"/>
      <c r="H30" s="22">
        <f>SUM(OSRRefH22x_0)</f>
        <v>48434.079999999994</v>
      </c>
      <c r="I30" s="22"/>
      <c r="J30" s="36">
        <f t="shared" ref="J30:J39" si="8">IF(H$12=0,0,H30/H$12)</f>
        <v>1.3143722901665935</v>
      </c>
      <c r="K30" s="4"/>
      <c r="L30" s="22">
        <f t="shared" ref="L30:L39" si="9">+D30-H30</f>
        <v>-16495.359999999993</v>
      </c>
      <c r="M30" s="4"/>
      <c r="N30" s="36">
        <f t="shared" ref="N30:N39" si="10">IF(H30=0,0,L30/H30)</f>
        <v>-0.34057341442224143</v>
      </c>
      <c r="O30" s="10"/>
      <c r="P30" s="22">
        <f>SUM(OSRRefP22x_0)</f>
        <v>192124.46</v>
      </c>
      <c r="Q30" s="22"/>
      <c r="R30" s="36">
        <f t="shared" ref="R30:R39" si="11">IF(P$12=0,0,P30/P$12)</f>
        <v>2.5674886929952434</v>
      </c>
      <c r="S30" s="22"/>
      <c r="T30" s="22">
        <f>SUM(OSRRefT22x_0)</f>
        <v>272446.40000000008</v>
      </c>
      <c r="U30" s="22"/>
      <c r="V30" s="36">
        <f t="shared" ref="V30:V39" si="12">IF(T$12=0,0,T30/T$12)</f>
        <v>0.90786502746073927</v>
      </c>
      <c r="W30" s="4"/>
      <c r="X30" s="22">
        <f t="shared" ref="X30:X39" si="13">+P30-T30</f>
        <v>-80321.94000000009</v>
      </c>
      <c r="Y30" s="4"/>
      <c r="Z30" s="36">
        <f t="shared" ref="Z30:Z39" si="14">IF(T30=0,0,X30/T30)</f>
        <v>-0.29481740261570738</v>
      </c>
    </row>
    <row r="31" spans="1:26" s="25" customFormat="1" outlineLevel="1" collapsed="1" x14ac:dyDescent="0.25">
      <c r="A31" s="26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8896.2999999999993</v>
      </c>
      <c r="E31" s="1"/>
      <c r="F31" s="5">
        <f t="shared" si="7"/>
        <v>7.0784764602445858</v>
      </c>
      <c r="G31" s="1"/>
      <c r="H31" s="1">
        <f>SUM(OSRRefH22_0x_0)</f>
        <v>7538.7500000000009</v>
      </c>
      <c r="I31" s="1"/>
      <c r="J31" s="5">
        <f t="shared" si="8"/>
        <v>0.20458165206180046</v>
      </c>
      <c r="K31" s="1"/>
      <c r="L31" s="1">
        <f t="shared" si="9"/>
        <v>1357.5499999999984</v>
      </c>
      <c r="M31" s="1"/>
      <c r="N31" s="5">
        <f t="shared" si="10"/>
        <v>0.18007627259160977</v>
      </c>
      <c r="O31" s="13"/>
      <c r="P31" s="1">
        <f>SUM(OSRRefP22_0x_0)</f>
        <v>54708.87</v>
      </c>
      <c r="Q31" s="1"/>
      <c r="R31" s="5">
        <f t="shared" si="11"/>
        <v>0.73111151558498433</v>
      </c>
      <c r="S31" s="1"/>
      <c r="T31" s="1">
        <f>SUM(OSRRefT22_0x_0)</f>
        <v>47281.36</v>
      </c>
      <c r="U31" s="1"/>
      <c r="V31" s="5">
        <f t="shared" si="12"/>
        <v>0.15755426826994626</v>
      </c>
      <c r="W31" s="1"/>
      <c r="X31" s="1">
        <f t="shared" si="13"/>
        <v>7427.510000000002</v>
      </c>
      <c r="Y31" s="1"/>
      <c r="Z31" s="5">
        <f t="shared" si="14"/>
        <v>0.15709171648192866</v>
      </c>
    </row>
    <row r="32" spans="1:26" s="24" customFormat="1" hidden="1" outlineLevel="2" x14ac:dyDescent="0.25">
      <c r="A32" s="27"/>
      <c r="B32" s="11" t="str">
        <f>CONCATENATE("          ", "6111", " - ", "F.I.C.A.")</f>
        <v xml:space="preserve">          6111 - F.I.C.A.</v>
      </c>
      <c r="C32" s="11"/>
      <c r="D32" s="7">
        <v>1206.3</v>
      </c>
      <c r="E32" s="2"/>
      <c r="F32" s="6">
        <f t="shared" si="7"/>
        <v>0.95981094994470106</v>
      </c>
      <c r="G32" s="2"/>
      <c r="H32" s="7">
        <v>1091.3900000000001</v>
      </c>
      <c r="I32" s="2"/>
      <c r="J32" s="6">
        <f t="shared" si="8"/>
        <v>2.9617425865525238E-2</v>
      </c>
      <c r="K32" s="2"/>
      <c r="L32" s="7">
        <f t="shared" si="9"/>
        <v>114.90999999999985</v>
      </c>
      <c r="M32" s="2"/>
      <c r="N32" s="6">
        <f t="shared" si="10"/>
        <v>0.10528775231585395</v>
      </c>
      <c r="O32" s="11"/>
      <c r="P32" s="7">
        <v>7826.77</v>
      </c>
      <c r="Q32" s="2"/>
      <c r="R32" s="6">
        <f t="shared" si="11"/>
        <v>0.10459440446924032</v>
      </c>
      <c r="S32" s="2"/>
      <c r="T32" s="7">
        <v>7898.16</v>
      </c>
      <c r="U32" s="2"/>
      <c r="V32" s="6">
        <f t="shared" si="12"/>
        <v>2.6318803424414162E-2</v>
      </c>
      <c r="W32" s="2"/>
      <c r="X32" s="7">
        <f t="shared" si="13"/>
        <v>-71.389999999999418</v>
      </c>
      <c r="Y32" s="2"/>
      <c r="Z32" s="6">
        <f t="shared" si="14"/>
        <v>-9.0388141035379656E-3</v>
      </c>
    </row>
    <row r="33" spans="1:26" s="24" customFormat="1" hidden="1" outlineLevel="2" x14ac:dyDescent="0.25">
      <c r="A33" s="27"/>
      <c r="B33" s="11" t="str">
        <f>CONCATENATE("          ", "6112", " - ", "COMPENSATION INSURANCE")</f>
        <v xml:space="preserve">          6112 - COMPENSATION INSURANCE</v>
      </c>
      <c r="C33" s="11"/>
      <c r="D33" s="7">
        <v>556.65</v>
      </c>
      <c r="E33" s="2"/>
      <c r="F33" s="6">
        <f t="shared" si="7"/>
        <v>0.44290704243282586</v>
      </c>
      <c r="G33" s="2"/>
      <c r="H33" s="7">
        <v>301.45</v>
      </c>
      <c r="I33" s="2"/>
      <c r="J33" s="6">
        <f t="shared" si="8"/>
        <v>8.1805523480722592E-3</v>
      </c>
      <c r="K33" s="2"/>
      <c r="L33" s="7">
        <f t="shared" si="9"/>
        <v>255.2</v>
      </c>
      <c r="M33" s="2"/>
      <c r="N33" s="6">
        <f t="shared" si="10"/>
        <v>0.84657488804113457</v>
      </c>
      <c r="O33" s="11"/>
      <c r="P33" s="7">
        <v>2343.9499999999998</v>
      </c>
      <c r="Q33" s="2"/>
      <c r="R33" s="6">
        <f t="shared" si="11"/>
        <v>3.1323784186283204E-2</v>
      </c>
      <c r="S33" s="2"/>
      <c r="T33" s="7">
        <v>1193.3599999999999</v>
      </c>
      <c r="U33" s="2"/>
      <c r="V33" s="6">
        <f t="shared" si="12"/>
        <v>3.9765979993516059E-3</v>
      </c>
      <c r="W33" s="2"/>
      <c r="X33" s="7">
        <f t="shared" si="13"/>
        <v>1150.5899999999999</v>
      </c>
      <c r="Y33" s="2"/>
      <c r="Z33" s="6">
        <f t="shared" si="14"/>
        <v>0.96416001877053026</v>
      </c>
    </row>
    <row r="34" spans="1:26" s="24" customFormat="1" hidden="1" outlineLevel="2" x14ac:dyDescent="0.25">
      <c r="A34" s="27"/>
      <c r="B34" s="11" t="str">
        <f>CONCATENATE("          ", "6113", " - ", "GROUP INSURANCE")</f>
        <v xml:space="preserve">          6113 - GROUP INSURANCE</v>
      </c>
      <c r="C34" s="11"/>
      <c r="D34" s="7">
        <v>3423.78</v>
      </c>
      <c r="E34" s="2"/>
      <c r="F34" s="6">
        <f t="shared" si="7"/>
        <v>2.7241826529069626</v>
      </c>
      <c r="G34" s="2"/>
      <c r="H34" s="7">
        <v>3051.28</v>
      </c>
      <c r="I34" s="2"/>
      <c r="J34" s="6">
        <f t="shared" si="8"/>
        <v>8.2803634992953803E-2</v>
      </c>
      <c r="K34" s="2"/>
      <c r="L34" s="7">
        <f t="shared" si="9"/>
        <v>372.5</v>
      </c>
      <c r="M34" s="2"/>
      <c r="N34" s="6">
        <f t="shared" si="10"/>
        <v>0.12207991400330352</v>
      </c>
      <c r="O34" s="11"/>
      <c r="P34" s="7">
        <v>19741.329999999998</v>
      </c>
      <c r="Q34" s="2"/>
      <c r="R34" s="6">
        <f t="shared" si="11"/>
        <v>0.26381670277531444</v>
      </c>
      <c r="S34" s="2"/>
      <c r="T34" s="7">
        <v>17383.439999999999</v>
      </c>
      <c r="U34" s="2"/>
      <c r="V34" s="6">
        <f t="shared" si="12"/>
        <v>5.7926319573178828E-2</v>
      </c>
      <c r="W34" s="2"/>
      <c r="X34" s="7">
        <f t="shared" si="13"/>
        <v>2357.8899999999994</v>
      </c>
      <c r="Y34" s="2"/>
      <c r="Z34" s="6">
        <f t="shared" si="14"/>
        <v>0.13564001141316101</v>
      </c>
    </row>
    <row r="35" spans="1:26" s="24" customFormat="1" hidden="1" outlineLevel="2" x14ac:dyDescent="0.25">
      <c r="A35" s="27"/>
      <c r="B35" s="11" t="str">
        <f>CONCATENATE("          ", "6114", " - ", "STATE UNEMPLOYMENT INSURANCE")</f>
        <v xml:space="preserve">          6114 - STATE UNEMPLOYMENT INSURANCE</v>
      </c>
      <c r="C35" s="11"/>
      <c r="D35" s="7"/>
      <c r="E35" s="2"/>
      <c r="F35" s="6">
        <f t="shared" si="7"/>
        <v>0</v>
      </c>
      <c r="G35" s="2"/>
      <c r="H35" s="7">
        <v>63.88</v>
      </c>
      <c r="I35" s="2"/>
      <c r="J35" s="6">
        <f t="shared" si="8"/>
        <v>1.7335335345657851E-3</v>
      </c>
      <c r="K35" s="2"/>
      <c r="L35" s="7">
        <f t="shared" si="9"/>
        <v>-63.88</v>
      </c>
      <c r="M35" s="2"/>
      <c r="N35" s="6">
        <f t="shared" si="10"/>
        <v>-1</v>
      </c>
      <c r="O35" s="11"/>
      <c r="P35" s="7">
        <v>251.18</v>
      </c>
      <c r="Q35" s="2"/>
      <c r="R35" s="6">
        <f t="shared" si="11"/>
        <v>3.3566876903989491E-3</v>
      </c>
      <c r="S35" s="2"/>
      <c r="T35" s="7">
        <v>312</v>
      </c>
      <c r="U35" s="2"/>
      <c r="V35" s="6">
        <f t="shared" si="12"/>
        <v>1.0396683111531318E-3</v>
      </c>
      <c r="W35" s="2"/>
      <c r="X35" s="7">
        <f t="shared" si="13"/>
        <v>-60.819999999999993</v>
      </c>
      <c r="Y35" s="2"/>
      <c r="Z35" s="6">
        <f t="shared" si="14"/>
        <v>-0.19493589743589743</v>
      </c>
    </row>
    <row r="36" spans="1:26" s="24" customFormat="1" hidden="1" outlineLevel="2" x14ac:dyDescent="0.25">
      <c r="A36" s="27"/>
      <c r="B36" s="11" t="str">
        <f>CONCATENATE("          ", "6115", " - ", "P.E.R.S.")</f>
        <v xml:space="preserve">          6115 - P.E.R.S.</v>
      </c>
      <c r="C36" s="11"/>
      <c r="D36" s="7">
        <v>1385.13</v>
      </c>
      <c r="E36" s="2"/>
      <c r="F36" s="6">
        <f t="shared" si="7"/>
        <v>1.10209976050477</v>
      </c>
      <c r="G36" s="2"/>
      <c r="H36" s="7">
        <v>1187.75</v>
      </c>
      <c r="I36" s="2"/>
      <c r="J36" s="6">
        <f t="shared" si="8"/>
        <v>3.223238033313261E-2</v>
      </c>
      <c r="K36" s="2"/>
      <c r="L36" s="7">
        <f t="shared" si="9"/>
        <v>197.38000000000011</v>
      </c>
      <c r="M36" s="2"/>
      <c r="N36" s="6">
        <f t="shared" si="10"/>
        <v>0.16617975163123563</v>
      </c>
      <c r="O36" s="11"/>
      <c r="P36" s="7">
        <v>10064.209999999999</v>
      </c>
      <c r="Q36" s="2"/>
      <c r="R36" s="6">
        <f t="shared" si="11"/>
        <v>0.13449482371442792</v>
      </c>
      <c r="S36" s="2"/>
      <c r="T36" s="7">
        <v>7821.41</v>
      </c>
      <c r="U36" s="2"/>
      <c r="V36" s="6">
        <f t="shared" si="12"/>
        <v>2.6063051684410948E-2</v>
      </c>
      <c r="W36" s="2"/>
      <c r="X36" s="7">
        <f t="shared" si="13"/>
        <v>2242.7999999999993</v>
      </c>
      <c r="Y36" s="2"/>
      <c r="Z36" s="6">
        <f t="shared" si="14"/>
        <v>0.28675136580232968</v>
      </c>
    </row>
    <row r="37" spans="1:26" s="24" customFormat="1" hidden="1" outlineLevel="2" x14ac:dyDescent="0.25">
      <c r="A37" s="27"/>
      <c r="B37" s="11" t="str">
        <f>CONCATENATE("          ", "6118", " - ", "VACATION")</f>
        <v xml:space="preserve">          6118 - VACATION</v>
      </c>
      <c r="C37" s="11"/>
      <c r="D37" s="7">
        <v>1216.0999999999999</v>
      </c>
      <c r="E37" s="2"/>
      <c r="F37" s="6">
        <f t="shared" si="7"/>
        <v>0.96760846906055786</v>
      </c>
      <c r="G37" s="2"/>
      <c r="H37" s="7">
        <v>969.46</v>
      </c>
      <c r="I37" s="2"/>
      <c r="J37" s="6">
        <f t="shared" si="8"/>
        <v>2.6308569511899593E-2</v>
      </c>
      <c r="K37" s="2"/>
      <c r="L37" s="7">
        <f t="shared" si="9"/>
        <v>246.63999999999987</v>
      </c>
      <c r="M37" s="2"/>
      <c r="N37" s="6">
        <f t="shared" si="10"/>
        <v>0.25440967136343928</v>
      </c>
      <c r="O37" s="11"/>
      <c r="P37" s="7">
        <v>7667.43</v>
      </c>
      <c r="Q37" s="2"/>
      <c r="R37" s="6">
        <f t="shared" si="11"/>
        <v>0.10246503661914012</v>
      </c>
      <c r="S37" s="2"/>
      <c r="T37" s="7">
        <v>6910.41</v>
      </c>
      <c r="U37" s="2"/>
      <c r="V37" s="6">
        <f t="shared" si="12"/>
        <v>2.3027353506652925E-2</v>
      </c>
      <c r="W37" s="2"/>
      <c r="X37" s="7">
        <f t="shared" si="13"/>
        <v>757.02000000000044</v>
      </c>
      <c r="Y37" s="2"/>
      <c r="Z37" s="6">
        <f t="shared" si="14"/>
        <v>0.10954776923511057</v>
      </c>
    </row>
    <row r="38" spans="1:26" s="24" customFormat="1" hidden="1" outlineLevel="2" x14ac:dyDescent="0.25">
      <c r="A38" s="27"/>
      <c r="B38" s="11" t="str">
        <f>CONCATENATE("          ", "6119", " - ", "SICK LEAVE")</f>
        <v xml:space="preserve">          6119 - SICK LEAVE</v>
      </c>
      <c r="C38" s="11"/>
      <c r="D38" s="7">
        <v>738.5</v>
      </c>
      <c r="E38" s="2"/>
      <c r="F38" s="6">
        <f t="shared" si="7"/>
        <v>0.587598761944924</v>
      </c>
      <c r="G38" s="2"/>
      <c r="H38" s="7">
        <v>556.54</v>
      </c>
      <c r="I38" s="2"/>
      <c r="J38" s="6">
        <f t="shared" si="8"/>
        <v>1.5103017428416436E-2</v>
      </c>
      <c r="K38" s="2"/>
      <c r="L38" s="7">
        <f t="shared" si="9"/>
        <v>181.96000000000004</v>
      </c>
      <c r="M38" s="2"/>
      <c r="N38" s="6">
        <f t="shared" si="10"/>
        <v>0.32694864699752046</v>
      </c>
      <c r="O38" s="11"/>
      <c r="P38" s="7">
        <v>4694.2700000000004</v>
      </c>
      <c r="Q38" s="2"/>
      <c r="R38" s="6">
        <f t="shared" si="11"/>
        <v>6.273269497734324E-2</v>
      </c>
      <c r="S38" s="2"/>
      <c r="T38" s="7">
        <v>4096.3</v>
      </c>
      <c r="U38" s="2"/>
      <c r="V38" s="6">
        <f t="shared" si="12"/>
        <v>1.3649978535181326E-2</v>
      </c>
      <c r="W38" s="2"/>
      <c r="X38" s="7">
        <f t="shared" si="13"/>
        <v>597.97000000000025</v>
      </c>
      <c r="Y38" s="2"/>
      <c r="Z38" s="6">
        <f t="shared" si="14"/>
        <v>0.1459780777775066</v>
      </c>
    </row>
    <row r="39" spans="1:26" s="24" customFormat="1" hidden="1" outlineLevel="2" x14ac:dyDescent="0.25">
      <c r="A39" s="27"/>
      <c r="B39" s="11" t="str">
        <f>CONCATENATE("          ", "6156", " - ", "EMPLOYEE MEALS")</f>
        <v xml:space="preserve">          6156 - EMPLOYEE MEALS</v>
      </c>
      <c r="C39" s="11"/>
      <c r="D39" s="7">
        <v>369.84</v>
      </c>
      <c r="E39" s="2"/>
      <c r="F39" s="6">
        <f t="shared" si="7"/>
        <v>0.29426882344984517</v>
      </c>
      <c r="G39" s="2"/>
      <c r="H39" s="7">
        <v>317</v>
      </c>
      <c r="I39" s="2"/>
      <c r="J39" s="6">
        <f t="shared" si="8"/>
        <v>8.6025380472347195E-3</v>
      </c>
      <c r="K39" s="2"/>
      <c r="L39" s="7">
        <f t="shared" si="9"/>
        <v>52.839999999999975</v>
      </c>
      <c r="M39" s="2"/>
      <c r="N39" s="6">
        <f t="shared" si="10"/>
        <v>0.16668769716088319</v>
      </c>
      <c r="O39" s="11"/>
      <c r="P39" s="7">
        <v>2119.73</v>
      </c>
      <c r="Q39" s="2"/>
      <c r="R39" s="6">
        <f t="shared" si="11"/>
        <v>2.8327381152836072E-2</v>
      </c>
      <c r="S39" s="2"/>
      <c r="T39" s="7">
        <v>1666.28</v>
      </c>
      <c r="U39" s="2"/>
      <c r="V39" s="6">
        <f t="shared" si="12"/>
        <v>5.5524952356033339E-3</v>
      </c>
      <c r="W39" s="2"/>
      <c r="X39" s="7">
        <f t="shared" si="13"/>
        <v>453.45000000000005</v>
      </c>
      <c r="Y39" s="2"/>
      <c r="Z39" s="6">
        <f t="shared" si="14"/>
        <v>0.2721331348872939</v>
      </c>
    </row>
    <row r="40" spans="1:26" s="25" customFormat="1" outlineLevel="1" collapsed="1" x14ac:dyDescent="0.25">
      <c r="A40" s="26"/>
      <c r="B40" s="13" t="str">
        <f>CONCATENATE("     ","*Payroll                                          ")</f>
        <v xml:space="preserve">     *Payroll                                          </v>
      </c>
      <c r="C40" s="13"/>
      <c r="D40" s="1">
        <f>SUM(OSRRefD22_1x_0)</f>
        <v>14567.890000000001</v>
      </c>
      <c r="E40" s="1"/>
      <c r="F40" s="5">
        <f t="shared" ref="F40:F43" si="15">IF(D$12=0,0,D40/D$12)</f>
        <v>11.591163342112173</v>
      </c>
      <c r="G40" s="1"/>
      <c r="H40" s="1">
        <f>SUM(OSRRefH22_1x_0)</f>
        <v>16061.960000000001</v>
      </c>
      <c r="I40" s="1"/>
      <c r="J40" s="5">
        <f t="shared" ref="J40:J43" si="16">IF(H$12=0,0,H40/H$12)</f>
        <v>0.43587893379546427</v>
      </c>
      <c r="K40" s="1"/>
      <c r="L40" s="1">
        <f t="shared" ref="L40:L43" si="17">+D40-H40</f>
        <v>-1494.0699999999997</v>
      </c>
      <c r="M40" s="1"/>
      <c r="N40" s="5">
        <f t="shared" ref="N40:N43" si="18">IF(H40=0,0,L40/H40)</f>
        <v>-9.301915830944664E-2</v>
      </c>
      <c r="O40" s="13"/>
      <c r="P40" s="1">
        <f>SUM(OSRRefP22_1x_0)</f>
        <v>87263.33</v>
      </c>
      <c r="Q40" s="1"/>
      <c r="R40" s="5">
        <f t="shared" ref="R40:R43" si="19">IF(P$12=0,0,P40/P$12)</f>
        <v>1.1661587134095921</v>
      </c>
      <c r="S40" s="1"/>
      <c r="T40" s="1">
        <f>SUM(OSRRefT22_1x_0)</f>
        <v>101860.43</v>
      </c>
      <c r="U40" s="1"/>
      <c r="V40" s="5">
        <f t="shared" ref="V40:V43" si="20">IF(T$12=0,0,T40/T$12)</f>
        <v>0.33942647830587108</v>
      </c>
      <c r="W40" s="1"/>
      <c r="X40" s="1">
        <f t="shared" ref="X40:X43" si="21">+P40-T40</f>
        <v>-14597.099999999991</v>
      </c>
      <c r="Y40" s="1"/>
      <c r="Z40" s="5">
        <f t="shared" ref="Z40:Z43" si="22">IF(T40=0,0,X40/T40)</f>
        <v>-0.14330491241790352</v>
      </c>
    </row>
    <row r="41" spans="1:26" s="24" customFormat="1" hidden="1" outlineLevel="2" x14ac:dyDescent="0.25">
      <c r="A41" s="27"/>
      <c r="B41" s="11" t="str">
        <f>CONCATENATE("          ", "6002", " - ", "STAFF SALARIES")</f>
        <v xml:space="preserve">          6002 - STAFF SALARIES</v>
      </c>
      <c r="C41" s="11"/>
      <c r="D41" s="7">
        <v>14236.79</v>
      </c>
      <c r="E41" s="2"/>
      <c r="F41" s="6">
        <f t="shared" si="15"/>
        <v>11.327718589126439</v>
      </c>
      <c r="G41" s="2"/>
      <c r="H41" s="7">
        <v>11747.2</v>
      </c>
      <c r="I41" s="2"/>
      <c r="J41" s="6">
        <f t="shared" si="16"/>
        <v>0.3187878074084407</v>
      </c>
      <c r="K41" s="2"/>
      <c r="L41" s="7">
        <f t="shared" si="17"/>
        <v>2489.59</v>
      </c>
      <c r="M41" s="2"/>
      <c r="N41" s="6">
        <f t="shared" si="18"/>
        <v>0.21193050258785073</v>
      </c>
      <c r="O41" s="11"/>
      <c r="P41" s="7">
        <v>83030.710000000006</v>
      </c>
      <c r="Q41" s="2"/>
      <c r="R41" s="6">
        <f t="shared" si="19"/>
        <v>1.1095953586355798</v>
      </c>
      <c r="S41" s="2"/>
      <c r="T41" s="7">
        <v>67593.759999999995</v>
      </c>
      <c r="U41" s="2"/>
      <c r="V41" s="6">
        <f t="shared" si="20"/>
        <v>0.2252406740502888</v>
      </c>
      <c r="W41" s="2"/>
      <c r="X41" s="7">
        <f t="shared" si="21"/>
        <v>15436.950000000012</v>
      </c>
      <c r="Y41" s="2"/>
      <c r="Z41" s="6">
        <f t="shared" si="22"/>
        <v>0.22837832959728846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7"/>
      <c r="E42" s="2"/>
      <c r="F42" s="6">
        <f t="shared" si="15"/>
        <v>0</v>
      </c>
      <c r="G42" s="2"/>
      <c r="H42" s="7">
        <v>1897</v>
      </c>
      <c r="I42" s="2"/>
      <c r="J42" s="6">
        <f t="shared" si="16"/>
        <v>5.1479541563420383E-2</v>
      </c>
      <c r="K42" s="2"/>
      <c r="L42" s="7">
        <f t="shared" si="17"/>
        <v>-1897</v>
      </c>
      <c r="M42" s="2"/>
      <c r="N42" s="6">
        <f t="shared" si="18"/>
        <v>-1</v>
      </c>
      <c r="O42" s="11"/>
      <c r="P42" s="7">
        <v>383.25</v>
      </c>
      <c r="Q42" s="2"/>
      <c r="R42" s="6">
        <f t="shared" si="19"/>
        <v>5.1216281445393627E-3</v>
      </c>
      <c r="S42" s="2"/>
      <c r="T42" s="7">
        <v>11858</v>
      </c>
      <c r="U42" s="2"/>
      <c r="V42" s="6">
        <f t="shared" si="20"/>
        <v>3.9514060364275114E-2</v>
      </c>
      <c r="W42" s="2"/>
      <c r="X42" s="7">
        <f t="shared" si="21"/>
        <v>-11474.75</v>
      </c>
      <c r="Y42" s="2"/>
      <c r="Z42" s="6">
        <f t="shared" si="22"/>
        <v>-0.96768004722550172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7">
        <v>331.1</v>
      </c>
      <c r="E43" s="2"/>
      <c r="F43" s="6">
        <f t="shared" si="15"/>
        <v>0.26344475298573372</v>
      </c>
      <c r="G43" s="2"/>
      <c r="H43" s="7">
        <v>2417.7600000000002</v>
      </c>
      <c r="I43" s="2"/>
      <c r="J43" s="6">
        <f t="shared" si="16"/>
        <v>6.56115848236032E-2</v>
      </c>
      <c r="K43" s="2"/>
      <c r="L43" s="7">
        <f t="shared" si="17"/>
        <v>-2086.6600000000003</v>
      </c>
      <c r="M43" s="2"/>
      <c r="N43" s="6">
        <f t="shared" si="18"/>
        <v>-0.86305505922837678</v>
      </c>
      <c r="O43" s="11"/>
      <c r="P43" s="7">
        <v>3849.37</v>
      </c>
      <c r="Q43" s="2"/>
      <c r="R43" s="6">
        <f t="shared" si="19"/>
        <v>5.1441726629472898E-2</v>
      </c>
      <c r="S43" s="2"/>
      <c r="T43" s="7">
        <v>22408.670000000002</v>
      </c>
      <c r="U43" s="2"/>
      <c r="V43" s="6">
        <f t="shared" si="20"/>
        <v>7.4671743891307207E-2</v>
      </c>
      <c r="W43" s="2"/>
      <c r="X43" s="7">
        <f t="shared" si="21"/>
        <v>-18559.300000000003</v>
      </c>
      <c r="Y43" s="2"/>
      <c r="Z43" s="6">
        <f t="shared" si="22"/>
        <v>-0.82821961321220761</v>
      </c>
    </row>
    <row r="44" spans="1:26" s="25" customFormat="1" outlineLevel="1" collapsed="1" x14ac:dyDescent="0.25">
      <c r="A44" s="26"/>
      <c r="B44" s="13" t="str">
        <f>CONCATENATE("     ","Advertising/Promo                                 ")</f>
        <v xml:space="preserve">     Advertising/Promo                                 </v>
      </c>
      <c r="C44" s="13"/>
      <c r="D44" s="1">
        <f>SUM(OSRRefD22_2x_0)</f>
        <v>0</v>
      </c>
      <c r="E44" s="1"/>
      <c r="F44" s="5">
        <f t="shared" ref="F44:F54" si="23">IF(D$12=0,0,D44/D$12)</f>
        <v>0</v>
      </c>
      <c r="G44" s="1"/>
      <c r="H44" s="1">
        <f>SUM(OSRRefH22_2x_0)</f>
        <v>397.5</v>
      </c>
      <c r="I44" s="1"/>
      <c r="J44" s="5">
        <f t="shared" ref="J44:J54" si="24">IF(H$12=0,0,H44/H$12)</f>
        <v>1.0787094239040382E-2</v>
      </c>
      <c r="K44" s="1"/>
      <c r="L44" s="1">
        <f t="shared" ref="L44:L54" si="25">+D44-H44</f>
        <v>-397.5</v>
      </c>
      <c r="M44" s="1"/>
      <c r="N44" s="5">
        <f t="shared" ref="N44:N54" si="26">IF(H44=0,0,L44/H44)</f>
        <v>-1</v>
      </c>
      <c r="O44" s="13"/>
      <c r="P44" s="1">
        <f>SUM(OSRRefP22_2x_0)</f>
        <v>0</v>
      </c>
      <c r="Q44" s="1"/>
      <c r="R44" s="5">
        <f t="shared" ref="R44:R54" si="27">IF(P$12=0,0,P44/P$12)</f>
        <v>0</v>
      </c>
      <c r="S44" s="1"/>
      <c r="T44" s="1">
        <f>SUM(OSRRefT22_2x_0)</f>
        <v>397.5</v>
      </c>
      <c r="U44" s="1"/>
      <c r="V44" s="5">
        <f t="shared" ref="V44:V54" si="28">IF(T$12=0,0,T44/T$12)</f>
        <v>1.3245774156518265E-3</v>
      </c>
      <c r="W44" s="1"/>
      <c r="X44" s="1">
        <f t="shared" ref="X44:X54" si="29">+P44-T44</f>
        <v>-397.5</v>
      </c>
      <c r="Y44" s="1"/>
      <c r="Z44" s="5">
        <f t="shared" ref="Z44:Z54" si="30">IF(T44=0,0,X44/T44)</f>
        <v>-1</v>
      </c>
    </row>
    <row r="45" spans="1:26" s="24" customFormat="1" hidden="1" outlineLevel="2" x14ac:dyDescent="0.25">
      <c r="A45" s="27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23"/>
        <v>0</v>
      </c>
      <c r="G45" s="2"/>
      <c r="H45" s="7">
        <v>397.5</v>
      </c>
      <c r="I45" s="2"/>
      <c r="J45" s="6">
        <f t="shared" si="24"/>
        <v>1.0787094239040382E-2</v>
      </c>
      <c r="K45" s="2"/>
      <c r="L45" s="7">
        <f t="shared" si="25"/>
        <v>-397.5</v>
      </c>
      <c r="M45" s="2"/>
      <c r="N45" s="6">
        <f t="shared" si="26"/>
        <v>-1</v>
      </c>
      <c r="O45" s="11"/>
      <c r="P45" s="7"/>
      <c r="Q45" s="2"/>
      <c r="R45" s="6">
        <f t="shared" si="27"/>
        <v>0</v>
      </c>
      <c r="S45" s="2"/>
      <c r="T45" s="7">
        <v>397.5</v>
      </c>
      <c r="U45" s="2"/>
      <c r="V45" s="6">
        <f t="shared" si="28"/>
        <v>1.3245774156518265E-3</v>
      </c>
      <c r="W45" s="2"/>
      <c r="X45" s="7">
        <f t="shared" si="29"/>
        <v>-397.5</v>
      </c>
      <c r="Y45" s="2"/>
      <c r="Z45" s="6">
        <f t="shared" si="30"/>
        <v>-1</v>
      </c>
    </row>
    <row r="46" spans="1:26" s="25" customFormat="1" outlineLevel="1" collapsed="1" x14ac:dyDescent="0.25">
      <c r="A46" s="26"/>
      <c r="B46" s="13" t="str">
        <f>CONCATENATE("     ","Depreciation                                      ")</f>
        <v xml:space="preserve">     Depreciation                                      </v>
      </c>
      <c r="C46" s="13"/>
      <c r="D46" s="1">
        <f>SUM(OSRRefD22_3x_0)</f>
        <v>169.88</v>
      </c>
      <c r="E46" s="1"/>
      <c r="F46" s="5">
        <f t="shared" si="23"/>
        <v>0.13516760687773011</v>
      </c>
      <c r="G46" s="1"/>
      <c r="H46" s="1">
        <f>SUM(OSRRefH22_3x_0)</f>
        <v>169.88</v>
      </c>
      <c r="I46" s="1"/>
      <c r="J46" s="5">
        <f t="shared" si="24"/>
        <v>4.6100919983098863E-3</v>
      </c>
      <c r="K46" s="1"/>
      <c r="L46" s="1">
        <f t="shared" si="25"/>
        <v>0</v>
      </c>
      <c r="M46" s="1"/>
      <c r="N46" s="5">
        <f t="shared" si="26"/>
        <v>0</v>
      </c>
      <c r="O46" s="13"/>
      <c r="P46" s="1">
        <f>SUM(OSRRefP22_3x_0)</f>
        <v>1019.28</v>
      </c>
      <c r="Q46" s="1"/>
      <c r="R46" s="5">
        <f t="shared" si="27"/>
        <v>1.3621325858228525E-2</v>
      </c>
      <c r="S46" s="1"/>
      <c r="T46" s="1">
        <f>SUM(OSRRefT22_3x_0)</f>
        <v>169.88</v>
      </c>
      <c r="U46" s="1"/>
      <c r="V46" s="5">
        <f t="shared" si="28"/>
        <v>5.6608606634196798E-4</v>
      </c>
      <c r="W46" s="1"/>
      <c r="X46" s="1">
        <f t="shared" si="29"/>
        <v>849.4</v>
      </c>
      <c r="Y46" s="1"/>
      <c r="Z46" s="5">
        <f t="shared" si="30"/>
        <v>5</v>
      </c>
    </row>
    <row r="47" spans="1:26" s="24" customFormat="1" hidden="1" outlineLevel="2" x14ac:dyDescent="0.25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169.88</v>
      </c>
      <c r="E47" s="2"/>
      <c r="F47" s="6">
        <f t="shared" si="23"/>
        <v>0.13516760687773011</v>
      </c>
      <c r="G47" s="2"/>
      <c r="H47" s="7">
        <v>169.88</v>
      </c>
      <c r="I47" s="2"/>
      <c r="J47" s="6">
        <f t="shared" si="24"/>
        <v>4.6100919983098863E-3</v>
      </c>
      <c r="K47" s="2"/>
      <c r="L47" s="7">
        <f t="shared" si="25"/>
        <v>0</v>
      </c>
      <c r="M47" s="2"/>
      <c r="N47" s="6">
        <f t="shared" si="26"/>
        <v>0</v>
      </c>
      <c r="O47" s="11"/>
      <c r="P47" s="7">
        <v>1019.28</v>
      </c>
      <c r="Q47" s="2"/>
      <c r="R47" s="6">
        <f t="shared" si="27"/>
        <v>1.3621325858228525E-2</v>
      </c>
      <c r="S47" s="2"/>
      <c r="T47" s="7">
        <v>169.88</v>
      </c>
      <c r="U47" s="2"/>
      <c r="V47" s="6">
        <f t="shared" si="28"/>
        <v>5.6608606634196798E-4</v>
      </c>
      <c r="W47" s="2"/>
      <c r="X47" s="7">
        <f t="shared" si="29"/>
        <v>849.4</v>
      </c>
      <c r="Y47" s="2"/>
      <c r="Z47" s="6">
        <f t="shared" si="30"/>
        <v>5</v>
      </c>
    </row>
    <row r="48" spans="1:26" s="25" customFormat="1" outlineLevel="1" collapsed="1" x14ac:dyDescent="0.25">
      <c r="A48" s="26"/>
      <c r="B48" s="13" t="str">
        <f>CONCATENATE("     ","Discounts and Markdowns                           ")</f>
        <v xml:space="preserve">     Discounts and Markdowns                           </v>
      </c>
      <c r="C48" s="13"/>
      <c r="D48" s="1">
        <f>SUM(OSRRefD22_4x_0)</f>
        <v>0</v>
      </c>
      <c r="E48" s="1"/>
      <c r="F48" s="5">
        <f t="shared" si="23"/>
        <v>0</v>
      </c>
      <c r="G48" s="1"/>
      <c r="H48" s="1">
        <f>SUM(OSRRefH22_4x_0)</f>
        <v>43.8</v>
      </c>
      <c r="I48" s="1"/>
      <c r="J48" s="5">
        <f t="shared" si="24"/>
        <v>1.1886156670942608E-3</v>
      </c>
      <c r="K48" s="1"/>
      <c r="L48" s="1">
        <f t="shared" si="25"/>
        <v>-43.8</v>
      </c>
      <c r="M48" s="1"/>
      <c r="N48" s="5">
        <f t="shared" si="26"/>
        <v>-1</v>
      </c>
      <c r="O48" s="13"/>
      <c r="P48" s="1">
        <f>SUM(OSRRefP22_4x_0)</f>
        <v>0</v>
      </c>
      <c r="Q48" s="1"/>
      <c r="R48" s="5">
        <f t="shared" si="27"/>
        <v>0</v>
      </c>
      <c r="S48" s="1"/>
      <c r="T48" s="1">
        <f>SUM(OSRRefT22_4x_0)</f>
        <v>464.27</v>
      </c>
      <c r="U48" s="1"/>
      <c r="V48" s="5">
        <f t="shared" si="28"/>
        <v>1.5470730987790526E-3</v>
      </c>
      <c r="W48" s="1"/>
      <c r="X48" s="1">
        <f t="shared" si="29"/>
        <v>-464.27</v>
      </c>
      <c r="Y48" s="1"/>
      <c r="Z48" s="5">
        <f t="shared" si="30"/>
        <v>-1</v>
      </c>
    </row>
    <row r="49" spans="1:26" s="24" customFormat="1" hidden="1" outlineLevel="2" x14ac:dyDescent="0.25">
      <c r="A49" s="27"/>
      <c r="B49" s="11" t="str">
        <f>CONCATENATE("          ", "6382", " - ", "DISCOUNTS/MARK DOWNS")</f>
        <v xml:space="preserve">          6382 - DISCOUNTS/MARK DOWNS</v>
      </c>
      <c r="C49" s="11"/>
      <c r="D49" s="7"/>
      <c r="E49" s="2"/>
      <c r="F49" s="6">
        <f t="shared" si="23"/>
        <v>0</v>
      </c>
      <c r="G49" s="2"/>
      <c r="H49" s="7">
        <v>43.8</v>
      </c>
      <c r="I49" s="2"/>
      <c r="J49" s="6">
        <f t="shared" si="24"/>
        <v>1.1886156670942608E-3</v>
      </c>
      <c r="K49" s="2"/>
      <c r="L49" s="7">
        <f t="shared" si="25"/>
        <v>-43.8</v>
      </c>
      <c r="M49" s="2"/>
      <c r="N49" s="6">
        <f t="shared" si="26"/>
        <v>-1</v>
      </c>
      <c r="O49" s="11"/>
      <c r="P49" s="7"/>
      <c r="Q49" s="2"/>
      <c r="R49" s="6">
        <f t="shared" si="27"/>
        <v>0</v>
      </c>
      <c r="S49" s="2"/>
      <c r="T49" s="7">
        <v>464.27</v>
      </c>
      <c r="U49" s="2"/>
      <c r="V49" s="6">
        <f t="shared" si="28"/>
        <v>1.5470730987790526E-3</v>
      </c>
      <c r="W49" s="2"/>
      <c r="X49" s="7">
        <f t="shared" si="29"/>
        <v>-464.27</v>
      </c>
      <c r="Y49" s="2"/>
      <c r="Z49" s="6">
        <f t="shared" si="30"/>
        <v>-1</v>
      </c>
    </row>
    <row r="50" spans="1:26" s="25" customFormat="1" outlineLevel="1" collapsed="1" x14ac:dyDescent="0.25">
      <c r="A50" s="26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SUM(OSRRefD22_5x_0)</f>
        <v>1205.6400000000001</v>
      </c>
      <c r="E50" s="1"/>
      <c r="F50" s="5">
        <f t="shared" si="23"/>
        <v>0.95928581090220477</v>
      </c>
      <c r="G50" s="1"/>
      <c r="H50" s="1">
        <f>SUM(OSRRefH22_5x_0)</f>
        <v>0</v>
      </c>
      <c r="I50" s="1"/>
      <c r="J50" s="5">
        <f t="shared" si="24"/>
        <v>0</v>
      </c>
      <c r="K50" s="1"/>
      <c r="L50" s="1">
        <f t="shared" si="25"/>
        <v>1205.6400000000001</v>
      </c>
      <c r="M50" s="1"/>
      <c r="N50" s="5">
        <f t="shared" si="26"/>
        <v>0</v>
      </c>
      <c r="O50" s="13"/>
      <c r="P50" s="1">
        <f>SUM(OSRRefP22_5x_0)</f>
        <v>7233.84</v>
      </c>
      <c r="Q50" s="1"/>
      <c r="R50" s="5">
        <f t="shared" si="27"/>
        <v>9.6670681114402163E-2</v>
      </c>
      <c r="S50" s="1"/>
      <c r="T50" s="1">
        <f>SUM(OSRRefT22_5x_0)</f>
        <v>9932.16</v>
      </c>
      <c r="U50" s="1"/>
      <c r="V50" s="5">
        <f t="shared" si="28"/>
        <v>3.3096641068277845E-2</v>
      </c>
      <c r="W50" s="1"/>
      <c r="X50" s="1">
        <f t="shared" si="29"/>
        <v>-2698.3199999999997</v>
      </c>
      <c r="Y50" s="1"/>
      <c r="Z50" s="5">
        <f t="shared" si="30"/>
        <v>-0.27167504349507055</v>
      </c>
    </row>
    <row r="51" spans="1:26" s="24" customFormat="1" hidden="1" outlineLevel="2" x14ac:dyDescent="0.25">
      <c r="A51" s="27"/>
      <c r="B51" s="11" t="str">
        <f>CONCATENATE("          ", "6351", " - ", "EQUIPMENT RENTAL")</f>
        <v xml:space="preserve">          6351 - EQUIPMENT RENTAL</v>
      </c>
      <c r="C51" s="11"/>
      <c r="D51" s="7">
        <v>1205.6400000000001</v>
      </c>
      <c r="E51" s="2"/>
      <c r="F51" s="6">
        <f t="shared" si="23"/>
        <v>0.95928581090220477</v>
      </c>
      <c r="G51" s="2"/>
      <c r="H51" s="7"/>
      <c r="I51" s="2"/>
      <c r="J51" s="6">
        <f t="shared" si="24"/>
        <v>0</v>
      </c>
      <c r="K51" s="2"/>
      <c r="L51" s="7">
        <f t="shared" si="25"/>
        <v>1205.6400000000001</v>
      </c>
      <c r="M51" s="2"/>
      <c r="N51" s="6">
        <f t="shared" si="26"/>
        <v>0</v>
      </c>
      <c r="O51" s="11"/>
      <c r="P51" s="7">
        <v>7233.84</v>
      </c>
      <c r="Q51" s="2"/>
      <c r="R51" s="6">
        <f t="shared" si="27"/>
        <v>9.6670681114402163E-2</v>
      </c>
      <c r="S51" s="2"/>
      <c r="T51" s="7">
        <v>9932.16</v>
      </c>
      <c r="U51" s="2"/>
      <c r="V51" s="6">
        <f t="shared" si="28"/>
        <v>3.3096641068277845E-2</v>
      </c>
      <c r="W51" s="2"/>
      <c r="X51" s="7">
        <f t="shared" si="29"/>
        <v>-2698.3199999999997</v>
      </c>
      <c r="Y51" s="2"/>
      <c r="Z51" s="6">
        <f t="shared" si="30"/>
        <v>-0.27167504349507055</v>
      </c>
    </row>
    <row r="52" spans="1:26" s="25" customFormat="1" outlineLevel="1" collapsed="1" x14ac:dyDescent="0.25">
      <c r="A52" s="26"/>
      <c r="B52" s="13" t="str">
        <f>CONCATENATE("     ","Freight out/Postage                               ")</f>
        <v xml:space="preserve">     Freight out/Postage                               </v>
      </c>
      <c r="C52" s="13"/>
      <c r="D52" s="1">
        <f>SUM(OSRRefD22_6x_0)</f>
        <v>107.48999999999978</v>
      </c>
      <c r="E52" s="1"/>
      <c r="F52" s="5">
        <f t="shared" si="23"/>
        <v>8.5526054057494583E-2</v>
      </c>
      <c r="G52" s="1"/>
      <c r="H52" s="1">
        <f>SUM(OSRRefH22_6x_0)</f>
        <v>0</v>
      </c>
      <c r="I52" s="1"/>
      <c r="J52" s="5">
        <f t="shared" si="24"/>
        <v>0</v>
      </c>
      <c r="K52" s="1"/>
      <c r="L52" s="1">
        <f t="shared" si="25"/>
        <v>107.48999999999978</v>
      </c>
      <c r="M52" s="1"/>
      <c r="N52" s="5">
        <f t="shared" si="26"/>
        <v>0</v>
      </c>
      <c r="O52" s="13"/>
      <c r="P52" s="1">
        <f>SUM(OSRRefP22_6x_0)</f>
        <v>-24733.87999999999</v>
      </c>
      <c r="Q52" s="1"/>
      <c r="R52" s="5">
        <f t="shared" si="27"/>
        <v>-0.33053551449878465</v>
      </c>
      <c r="S52" s="1"/>
      <c r="T52" s="1">
        <f>SUM(OSRRefT22_6x_0)</f>
        <v>9.1300000000000008</v>
      </c>
      <c r="U52" s="1"/>
      <c r="V52" s="5">
        <f t="shared" si="28"/>
        <v>3.0423627182141325E-5</v>
      </c>
      <c r="W52" s="1"/>
      <c r="X52" s="1">
        <f t="shared" si="29"/>
        <v>-24743.009999999991</v>
      </c>
      <c r="Y52" s="1"/>
      <c r="Z52" s="5">
        <f t="shared" si="30"/>
        <v>-2710.0777656078849</v>
      </c>
    </row>
    <row r="53" spans="1:26" s="24" customFormat="1" hidden="1" outlineLevel="2" x14ac:dyDescent="0.25">
      <c r="A53" s="27"/>
      <c r="B53" s="11" t="str">
        <f>CONCATENATE("          ", "6305", " - ", "FREIGHT OUT")</f>
        <v xml:space="preserve">          6305 - FREIGHT OUT</v>
      </c>
      <c r="C53" s="11"/>
      <c r="D53" s="7">
        <v>9824.01</v>
      </c>
      <c r="E53" s="2"/>
      <c r="F53" s="6">
        <f t="shared" si="23"/>
        <v>7.8166230376906602</v>
      </c>
      <c r="G53" s="2"/>
      <c r="H53" s="7"/>
      <c r="I53" s="2"/>
      <c r="J53" s="6">
        <f t="shared" si="24"/>
        <v>0</v>
      </c>
      <c r="K53" s="2"/>
      <c r="L53" s="7">
        <f t="shared" si="25"/>
        <v>9824.01</v>
      </c>
      <c r="M53" s="2"/>
      <c r="N53" s="6">
        <f t="shared" si="26"/>
        <v>0</v>
      </c>
      <c r="O53" s="11"/>
      <c r="P53" s="7">
        <v>108062.24</v>
      </c>
      <c r="Q53" s="2"/>
      <c r="R53" s="6">
        <f t="shared" si="27"/>
        <v>1.4441085707657335</v>
      </c>
      <c r="S53" s="2"/>
      <c r="T53" s="7">
        <v>9.1300000000000008</v>
      </c>
      <c r="U53" s="2"/>
      <c r="V53" s="6">
        <f t="shared" si="28"/>
        <v>3.0423627182141325E-5</v>
      </c>
      <c r="W53" s="2"/>
      <c r="X53" s="7">
        <f t="shared" si="29"/>
        <v>108053.11</v>
      </c>
      <c r="Y53" s="2"/>
      <c r="Z53" s="6">
        <f t="shared" si="30"/>
        <v>11834.951807228914</v>
      </c>
    </row>
    <row r="54" spans="1:26" s="24" customFormat="1" hidden="1" outlineLevel="2" x14ac:dyDescent="0.25">
      <c r="A54" s="27"/>
      <c r="B54" s="11" t="str">
        <f>CONCATENATE("          ", "6307", " - ", "POSTAGE")</f>
        <v xml:space="preserve">          6307 - POSTAGE</v>
      </c>
      <c r="C54" s="11"/>
      <c r="D54" s="7">
        <v>-9716.52</v>
      </c>
      <c r="E54" s="2"/>
      <c r="F54" s="6">
        <f t="shared" si="23"/>
        <v>-7.731096983633166</v>
      </c>
      <c r="G54" s="2"/>
      <c r="H54" s="7"/>
      <c r="I54" s="2"/>
      <c r="J54" s="6">
        <f t="shared" si="24"/>
        <v>0</v>
      </c>
      <c r="K54" s="2"/>
      <c r="L54" s="7">
        <f t="shared" si="25"/>
        <v>-9716.52</v>
      </c>
      <c r="M54" s="2"/>
      <c r="N54" s="6">
        <f t="shared" si="26"/>
        <v>0</v>
      </c>
      <c r="O54" s="11"/>
      <c r="P54" s="7">
        <v>-132796.12</v>
      </c>
      <c r="Q54" s="2"/>
      <c r="R54" s="6">
        <f t="shared" si="27"/>
        <v>-1.7746440852645182</v>
      </c>
      <c r="S54" s="2"/>
      <c r="T54" s="7"/>
      <c r="U54" s="2"/>
      <c r="V54" s="6">
        <f t="shared" si="28"/>
        <v>0</v>
      </c>
      <c r="W54" s="2"/>
      <c r="X54" s="7">
        <f t="shared" si="29"/>
        <v>-132796.12</v>
      </c>
      <c r="Y54" s="2"/>
      <c r="Z54" s="6">
        <f t="shared" si="30"/>
        <v>0</v>
      </c>
    </row>
    <row r="55" spans="1:26" s="25" customFormat="1" outlineLevel="1" collapsed="1" x14ac:dyDescent="0.25">
      <c r="A55" s="26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SUM(OSRRefD22_7x_0)</f>
        <v>0</v>
      </c>
      <c r="E55" s="1"/>
      <c r="F55" s="5">
        <f t="shared" ref="F55:F60" si="31">IF(D$12=0,0,D55/D$12)</f>
        <v>0</v>
      </c>
      <c r="G55" s="1"/>
      <c r="H55" s="1">
        <f>SUM(OSRRefH22_7x_0)</f>
        <v>75</v>
      </c>
      <c r="I55" s="1"/>
      <c r="J55" s="5">
        <f t="shared" ref="J55:J60" si="32">IF(H$12=0,0,H55/H$12)</f>
        <v>2.0353007998189397E-3</v>
      </c>
      <c r="K55" s="1"/>
      <c r="L55" s="1">
        <f t="shared" ref="L55:L60" si="33">+D55-H55</f>
        <v>-75</v>
      </c>
      <c r="M55" s="1"/>
      <c r="N55" s="5">
        <f t="shared" ref="N55:N60" si="34">IF(H55=0,0,L55/H55)</f>
        <v>-1</v>
      </c>
      <c r="O55" s="13"/>
      <c r="P55" s="1">
        <f>SUM(OSRRefP22_7x_0)</f>
        <v>0</v>
      </c>
      <c r="Q55" s="1"/>
      <c r="R55" s="5">
        <f t="shared" ref="R55:R60" si="35">IF(P$12=0,0,P55/P$12)</f>
        <v>0</v>
      </c>
      <c r="S55" s="1"/>
      <c r="T55" s="1">
        <f>SUM(OSRRefT22_7x_0)</f>
        <v>75</v>
      </c>
      <c r="U55" s="1"/>
      <c r="V55" s="5">
        <f t="shared" ref="V55:V60" si="36">IF(T$12=0,0,T55/T$12)</f>
        <v>2.4992026710411822E-4</v>
      </c>
      <c r="W55" s="1"/>
      <c r="X55" s="1">
        <f t="shared" ref="X55:X60" si="37">+P55-T55</f>
        <v>-75</v>
      </c>
      <c r="Y55" s="1"/>
      <c r="Z55" s="5">
        <f t="shared" ref="Z55:Z60" si="38">IF(T55=0,0,X55/T55)</f>
        <v>-1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31"/>
        <v>0</v>
      </c>
      <c r="G56" s="2"/>
      <c r="H56" s="7">
        <v>75</v>
      </c>
      <c r="I56" s="2"/>
      <c r="J56" s="6">
        <f t="shared" si="32"/>
        <v>2.0353007998189397E-3</v>
      </c>
      <c r="K56" s="2"/>
      <c r="L56" s="7">
        <f t="shared" si="33"/>
        <v>-75</v>
      </c>
      <c r="M56" s="2"/>
      <c r="N56" s="6">
        <f t="shared" si="34"/>
        <v>-1</v>
      </c>
      <c r="O56" s="11"/>
      <c r="P56" s="7"/>
      <c r="Q56" s="2"/>
      <c r="R56" s="6">
        <f t="shared" si="35"/>
        <v>0</v>
      </c>
      <c r="S56" s="2"/>
      <c r="T56" s="7">
        <v>75</v>
      </c>
      <c r="U56" s="2"/>
      <c r="V56" s="6">
        <f t="shared" si="36"/>
        <v>2.4992026710411822E-4</v>
      </c>
      <c r="W56" s="2"/>
      <c r="X56" s="7">
        <f t="shared" si="37"/>
        <v>-75</v>
      </c>
      <c r="Y56" s="2"/>
      <c r="Z56" s="6">
        <f t="shared" si="38"/>
        <v>-1</v>
      </c>
    </row>
    <row r="57" spans="1:26" s="25" customFormat="1" outlineLevel="1" collapsed="1" x14ac:dyDescent="0.25">
      <c r="A57" s="26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SUM(OSRRefD22_8x_0)</f>
        <v>4858.63</v>
      </c>
      <c r="E57" s="1"/>
      <c r="F57" s="5">
        <f t="shared" si="31"/>
        <v>3.8658428879464672</v>
      </c>
      <c r="G57" s="1"/>
      <c r="H57" s="1">
        <f>SUM(OSRRefH22_8x_0)</f>
        <v>7066.2099999999991</v>
      </c>
      <c r="I57" s="1"/>
      <c r="J57" s="5">
        <f t="shared" si="32"/>
        <v>0.19175817152918118</v>
      </c>
      <c r="K57" s="1"/>
      <c r="L57" s="1">
        <f t="shared" si="33"/>
        <v>-2207.579999999999</v>
      </c>
      <c r="M57" s="1"/>
      <c r="N57" s="5">
        <f t="shared" si="34"/>
        <v>-0.31241358521753521</v>
      </c>
      <c r="O57" s="13"/>
      <c r="P57" s="1">
        <f>SUM(OSRRefP22_8x_0)</f>
        <v>29379.51</v>
      </c>
      <c r="Q57" s="1"/>
      <c r="R57" s="5">
        <f t="shared" si="35"/>
        <v>0.39261820036210215</v>
      </c>
      <c r="S57" s="1"/>
      <c r="T57" s="1">
        <f>SUM(OSRRefT22_8x_0)</f>
        <v>36516.17</v>
      </c>
      <c r="U57" s="1"/>
      <c r="V57" s="5">
        <f t="shared" si="36"/>
        <v>0.12168174613359183</v>
      </c>
      <c r="W57" s="1"/>
      <c r="X57" s="1">
        <f t="shared" si="37"/>
        <v>-7136.66</v>
      </c>
      <c r="Y57" s="1"/>
      <c r="Z57" s="5">
        <f t="shared" si="38"/>
        <v>-0.19543834964072082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31"/>
        <v>0</v>
      </c>
      <c r="G58" s="2"/>
      <c r="H58" s="7"/>
      <c r="I58" s="2"/>
      <c r="J58" s="6">
        <f t="shared" si="32"/>
        <v>0</v>
      </c>
      <c r="K58" s="2"/>
      <c r="L58" s="7">
        <f t="shared" si="33"/>
        <v>0</v>
      </c>
      <c r="M58" s="2"/>
      <c r="N58" s="6">
        <f t="shared" si="34"/>
        <v>0</v>
      </c>
      <c r="O58" s="11"/>
      <c r="P58" s="7">
        <v>7.69</v>
      </c>
      <c r="Q58" s="2"/>
      <c r="R58" s="6">
        <f t="shared" si="35"/>
        <v>1.0276665474626929E-4</v>
      </c>
      <c r="S58" s="2"/>
      <c r="T58" s="7"/>
      <c r="U58" s="2"/>
      <c r="V58" s="6">
        <f t="shared" si="36"/>
        <v>0</v>
      </c>
      <c r="W58" s="2"/>
      <c r="X58" s="7">
        <f t="shared" si="37"/>
        <v>7.69</v>
      </c>
      <c r="Y58" s="2"/>
      <c r="Z58" s="6">
        <f t="shared" si="38"/>
        <v>0</v>
      </c>
    </row>
    <row r="59" spans="1:26" s="24" customFormat="1" hidden="1" outlineLevel="2" x14ac:dyDescent="0.25">
      <c r="A59" s="27"/>
      <c r="B59" s="11" t="str">
        <f>CONCATENATE("          ", "6373", " - ", "MAINTENANCE CONTRACTS")</f>
        <v xml:space="preserve">          6373 - MAINTENANCE CONTRACTS</v>
      </c>
      <c r="C59" s="11"/>
      <c r="D59" s="7">
        <v>4858.63</v>
      </c>
      <c r="E59" s="2"/>
      <c r="F59" s="6">
        <f t="shared" si="31"/>
        <v>3.8658428879464672</v>
      </c>
      <c r="G59" s="2"/>
      <c r="H59" s="7">
        <v>6696.73</v>
      </c>
      <c r="I59" s="2"/>
      <c r="J59" s="6">
        <f t="shared" si="32"/>
        <v>0.18173146566895318</v>
      </c>
      <c r="K59" s="2"/>
      <c r="L59" s="7">
        <f t="shared" si="33"/>
        <v>-1838.0999999999995</v>
      </c>
      <c r="M59" s="2"/>
      <c r="N59" s="6">
        <f t="shared" si="34"/>
        <v>-0.27447724486428443</v>
      </c>
      <c r="O59" s="11"/>
      <c r="P59" s="7">
        <v>29371.82</v>
      </c>
      <c r="Q59" s="2"/>
      <c r="R59" s="6">
        <f t="shared" si="35"/>
        <v>0.39251543370735592</v>
      </c>
      <c r="S59" s="2"/>
      <c r="T59" s="7">
        <v>36146.689999999995</v>
      </c>
      <c r="U59" s="2"/>
      <c r="V59" s="6">
        <f t="shared" si="36"/>
        <v>0.12045053892973009</v>
      </c>
      <c r="W59" s="2"/>
      <c r="X59" s="7">
        <f t="shared" si="37"/>
        <v>-6774.8699999999953</v>
      </c>
      <c r="Y59" s="2"/>
      <c r="Z59" s="6">
        <f t="shared" si="38"/>
        <v>-0.18742711988289928</v>
      </c>
    </row>
    <row r="60" spans="1:26" s="24" customFormat="1" hidden="1" outlineLevel="2" x14ac:dyDescent="0.25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7"/>
      <c r="E60" s="2"/>
      <c r="F60" s="6">
        <f t="shared" si="31"/>
        <v>0</v>
      </c>
      <c r="G60" s="2"/>
      <c r="H60" s="7">
        <v>369.48</v>
      </c>
      <c r="I60" s="2"/>
      <c r="J60" s="6">
        <f t="shared" si="32"/>
        <v>1.0026705860228026E-2</v>
      </c>
      <c r="K60" s="2"/>
      <c r="L60" s="7">
        <f t="shared" si="33"/>
        <v>-369.48</v>
      </c>
      <c r="M60" s="2"/>
      <c r="N60" s="6">
        <f t="shared" si="34"/>
        <v>-1</v>
      </c>
      <c r="O60" s="11"/>
      <c r="P60" s="7"/>
      <c r="Q60" s="2"/>
      <c r="R60" s="6">
        <f t="shared" si="35"/>
        <v>0</v>
      </c>
      <c r="S60" s="2"/>
      <c r="T60" s="7">
        <v>369.48</v>
      </c>
      <c r="U60" s="2"/>
      <c r="V60" s="6">
        <f t="shared" si="36"/>
        <v>1.2312072038617279E-3</v>
      </c>
      <c r="W60" s="2"/>
      <c r="X60" s="7">
        <f t="shared" si="37"/>
        <v>-369.48</v>
      </c>
      <c r="Y60" s="2"/>
      <c r="Z60" s="6">
        <f t="shared" si="38"/>
        <v>-1</v>
      </c>
    </row>
    <row r="61" spans="1:26" s="25" customFormat="1" outlineLevel="1" collapsed="1" x14ac:dyDescent="0.25">
      <c r="A61" s="26"/>
      <c r="B61" s="13" t="str">
        <f>CONCATENATE("     ","Royalty &amp; Commissions                             ")</f>
        <v xml:space="preserve">     Royalty &amp; Commissions                             </v>
      </c>
      <c r="C61" s="13"/>
      <c r="D61" s="1">
        <f>SUM(OSRRefD22_9x_0)</f>
        <v>5.97</v>
      </c>
      <c r="E61" s="1"/>
      <c r="F61" s="5">
        <f t="shared" ref="F61:F69" si="39">IF(D$12=0,0,D61/D$12)</f>
        <v>4.7501213389454242E-3</v>
      </c>
      <c r="G61" s="1"/>
      <c r="H61" s="1">
        <f>SUM(OSRRefH22_9x_0)</f>
        <v>12692.3</v>
      </c>
      <c r="I61" s="1"/>
      <c r="J61" s="5">
        <f t="shared" ref="J61:J69" si="40">IF(H$12=0,0,H61/H$12)</f>
        <v>0.34443531122055904</v>
      </c>
      <c r="K61" s="1"/>
      <c r="L61" s="1">
        <f t="shared" ref="L61:L69" si="41">+D61-H61</f>
        <v>-12686.33</v>
      </c>
      <c r="M61" s="1"/>
      <c r="N61" s="5">
        <f t="shared" ref="N61:N69" si="42">IF(H61=0,0,L61/H61)</f>
        <v>-0.99952963607856737</v>
      </c>
      <c r="O61" s="13"/>
      <c r="P61" s="1">
        <f>SUM(OSRRefP22_9x_0)</f>
        <v>10164.26</v>
      </c>
      <c r="Q61" s="1"/>
      <c r="R61" s="5">
        <f t="shared" ref="R61:R69" si="43">IF(P$12=0,0,P61/P$12)</f>
        <v>0.13583185932006697</v>
      </c>
      <c r="S61" s="1"/>
      <c r="T61" s="1">
        <f>SUM(OSRRefT22_9x_0)</f>
        <v>56559.98</v>
      </c>
      <c r="U61" s="1"/>
      <c r="V61" s="5">
        <f t="shared" ref="V61:V69" si="44">IF(T$12=0,0,T61/T$12)</f>
        <v>0.18847313745338112</v>
      </c>
      <c r="W61" s="1"/>
      <c r="X61" s="1">
        <f t="shared" ref="X61:X69" si="45">+P61-T61</f>
        <v>-46395.72</v>
      </c>
      <c r="Y61" s="1"/>
      <c r="Z61" s="5">
        <f t="shared" ref="Z61:Z69" si="46">IF(T61=0,0,X61/T61)</f>
        <v>-0.82029236926887172</v>
      </c>
    </row>
    <row r="62" spans="1:26" s="24" customFormat="1" hidden="1" outlineLevel="2" x14ac:dyDescent="0.25">
      <c r="A62" s="27"/>
      <c r="B62" s="11" t="str">
        <f>CONCATENATE("          ", "6259", " - ", "ROYALTY &amp; COMMISSIONS")</f>
        <v xml:space="preserve">          6259 - ROYALTY &amp; COMMISSIONS</v>
      </c>
      <c r="C62" s="11"/>
      <c r="D62" s="7">
        <v>5.97</v>
      </c>
      <c r="E62" s="2"/>
      <c r="F62" s="6">
        <f t="shared" si="39"/>
        <v>4.7501213389454242E-3</v>
      </c>
      <c r="G62" s="2"/>
      <c r="H62" s="7">
        <v>12692.3</v>
      </c>
      <c r="I62" s="2"/>
      <c r="J62" s="6">
        <f t="shared" si="40"/>
        <v>0.34443531122055904</v>
      </c>
      <c r="K62" s="2"/>
      <c r="L62" s="7">
        <f t="shared" si="41"/>
        <v>-12686.33</v>
      </c>
      <c r="M62" s="2"/>
      <c r="N62" s="6">
        <f t="shared" si="42"/>
        <v>-0.99952963607856737</v>
      </c>
      <c r="O62" s="11"/>
      <c r="P62" s="7">
        <v>10164.26</v>
      </c>
      <c r="Q62" s="2"/>
      <c r="R62" s="6">
        <f t="shared" si="43"/>
        <v>0.13583185932006697</v>
      </c>
      <c r="S62" s="2"/>
      <c r="T62" s="7">
        <v>56559.98</v>
      </c>
      <c r="U62" s="2"/>
      <c r="V62" s="6">
        <f t="shared" si="44"/>
        <v>0.18847313745338112</v>
      </c>
      <c r="W62" s="2"/>
      <c r="X62" s="7">
        <f t="shared" si="45"/>
        <v>-46395.72</v>
      </c>
      <c r="Y62" s="2"/>
      <c r="Z62" s="6">
        <f t="shared" si="46"/>
        <v>-0.82029236926887172</v>
      </c>
    </row>
    <row r="63" spans="1:26" s="25" customFormat="1" outlineLevel="1" collapsed="1" x14ac:dyDescent="0.25">
      <c r="A63" s="26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SUM(OSRRefD22_10x_0)</f>
        <v>1943.62</v>
      </c>
      <c r="E63" s="1"/>
      <c r="F63" s="5">
        <f t="shared" si="39"/>
        <v>1.5464708269348586</v>
      </c>
      <c r="G63" s="1"/>
      <c r="H63" s="1">
        <f>SUM(OSRRefH22_10x_0)</f>
        <v>4284.13</v>
      </c>
      <c r="I63" s="1"/>
      <c r="J63" s="5">
        <f t="shared" si="40"/>
        <v>0.11625990954037753</v>
      </c>
      <c r="K63" s="1"/>
      <c r="L63" s="1">
        <f t="shared" si="41"/>
        <v>-2340.5100000000002</v>
      </c>
      <c r="M63" s="1"/>
      <c r="N63" s="5">
        <f t="shared" si="42"/>
        <v>-0.54632095664697389</v>
      </c>
      <c r="O63" s="13"/>
      <c r="P63" s="1">
        <f>SUM(OSRRefP22_10x_0)</f>
        <v>25817.229999999996</v>
      </c>
      <c r="Q63" s="1"/>
      <c r="R63" s="5">
        <f t="shared" si="43"/>
        <v>0.34501305096424256</v>
      </c>
      <c r="S63" s="1"/>
      <c r="T63" s="1">
        <f>SUM(OSRRefT22_10x_0)</f>
        <v>18267.86</v>
      </c>
      <c r="U63" s="1"/>
      <c r="V63" s="5">
        <f t="shared" si="44"/>
        <v>6.0873446008275156E-2</v>
      </c>
      <c r="W63" s="1"/>
      <c r="X63" s="1">
        <f t="shared" si="45"/>
        <v>7549.3699999999953</v>
      </c>
      <c r="Y63" s="1"/>
      <c r="Z63" s="5">
        <f t="shared" si="46"/>
        <v>0.4132596812106068</v>
      </c>
    </row>
    <row r="64" spans="1:26" s="24" customFormat="1" hidden="1" outlineLevel="2" x14ac:dyDescent="0.25">
      <c r="A64" s="27"/>
      <c r="B64" s="11" t="str">
        <f>CONCATENATE("          ", "6234", " - ", "EXPENDABLE SUPPLIES &amp; EQUIPMEN")</f>
        <v xml:space="preserve">          6234 - EXPENDABLE SUPPLIES &amp; EQUIPMEN</v>
      </c>
      <c r="C64" s="11"/>
      <c r="D64" s="7"/>
      <c r="E64" s="2"/>
      <c r="F64" s="6">
        <f t="shared" si="39"/>
        <v>0</v>
      </c>
      <c r="G64" s="2"/>
      <c r="H64" s="7"/>
      <c r="I64" s="2"/>
      <c r="J64" s="6">
        <f t="shared" si="40"/>
        <v>0</v>
      </c>
      <c r="K64" s="2"/>
      <c r="L64" s="7">
        <f t="shared" si="41"/>
        <v>0</v>
      </c>
      <c r="M64" s="2"/>
      <c r="N64" s="6">
        <f t="shared" si="42"/>
        <v>0</v>
      </c>
      <c r="O64" s="11"/>
      <c r="P64" s="7"/>
      <c r="Q64" s="2"/>
      <c r="R64" s="6">
        <f t="shared" si="43"/>
        <v>0</v>
      </c>
      <c r="S64" s="2"/>
      <c r="T64" s="7">
        <v>1017.27</v>
      </c>
      <c r="U64" s="2"/>
      <c r="V64" s="6">
        <f t="shared" si="44"/>
        <v>3.3898185348934175E-3</v>
      </c>
      <c r="W64" s="2"/>
      <c r="X64" s="7">
        <f t="shared" si="45"/>
        <v>-1017.27</v>
      </c>
      <c r="Y64" s="2"/>
      <c r="Z64" s="6">
        <f t="shared" si="46"/>
        <v>-1</v>
      </c>
    </row>
    <row r="65" spans="1:26" s="24" customFormat="1" hidden="1" outlineLevel="2" x14ac:dyDescent="0.25">
      <c r="A65" s="27"/>
      <c r="B65" s="11" t="str">
        <f>CONCATENATE("          ", "6235", " - ", "COVID-19 EXPENSES")</f>
        <v xml:space="preserve">          6235 - COVID-19 EXPENSES</v>
      </c>
      <c r="C65" s="11"/>
      <c r="D65" s="7"/>
      <c r="E65" s="2"/>
      <c r="F65" s="6">
        <f t="shared" si="39"/>
        <v>0</v>
      </c>
      <c r="G65" s="2"/>
      <c r="H65" s="7"/>
      <c r="I65" s="2"/>
      <c r="J65" s="6">
        <f t="shared" si="40"/>
        <v>0</v>
      </c>
      <c r="K65" s="2"/>
      <c r="L65" s="7">
        <f t="shared" si="41"/>
        <v>0</v>
      </c>
      <c r="M65" s="2"/>
      <c r="N65" s="6">
        <f t="shared" si="42"/>
        <v>0</v>
      </c>
      <c r="O65" s="11"/>
      <c r="P65" s="7">
        <v>310.91000000000003</v>
      </c>
      <c r="Q65" s="2"/>
      <c r="R65" s="6">
        <f t="shared" si="43"/>
        <v>4.1548999515165913E-3</v>
      </c>
      <c r="S65" s="2"/>
      <c r="T65" s="7"/>
      <c r="U65" s="2"/>
      <c r="V65" s="6">
        <f t="shared" si="44"/>
        <v>0</v>
      </c>
      <c r="W65" s="2"/>
      <c r="X65" s="7">
        <f t="shared" si="45"/>
        <v>310.91000000000003</v>
      </c>
      <c r="Y65" s="2"/>
      <c r="Z65" s="6">
        <f t="shared" si="46"/>
        <v>0</v>
      </c>
    </row>
    <row r="66" spans="1:26" s="24" customFormat="1" hidden="1" outlineLevel="2" x14ac:dyDescent="0.25">
      <c r="A66" s="27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39"/>
        <v>0</v>
      </c>
      <c r="G66" s="2"/>
      <c r="H66" s="7">
        <v>43.15</v>
      </c>
      <c r="I66" s="2"/>
      <c r="J66" s="6">
        <f t="shared" si="40"/>
        <v>1.1709763934958301E-3</v>
      </c>
      <c r="K66" s="2"/>
      <c r="L66" s="7">
        <f t="shared" si="41"/>
        <v>-43.15</v>
      </c>
      <c r="M66" s="2"/>
      <c r="N66" s="6">
        <f t="shared" si="42"/>
        <v>-1</v>
      </c>
      <c r="O66" s="11"/>
      <c r="P66" s="7">
        <v>4596.8599999999997</v>
      </c>
      <c r="Q66" s="2"/>
      <c r="R66" s="6">
        <f t="shared" si="43"/>
        <v>6.143093947164309E-2</v>
      </c>
      <c r="S66" s="2"/>
      <c r="T66" s="7">
        <v>43.15</v>
      </c>
      <c r="U66" s="2"/>
      <c r="V66" s="6">
        <f t="shared" si="44"/>
        <v>1.4378746034056933E-4</v>
      </c>
      <c r="W66" s="2"/>
      <c r="X66" s="7">
        <f t="shared" si="45"/>
        <v>4553.71</v>
      </c>
      <c r="Y66" s="2"/>
      <c r="Z66" s="6">
        <f t="shared" si="46"/>
        <v>105.53209733487833</v>
      </c>
    </row>
    <row r="67" spans="1:26" s="24" customFormat="1" hidden="1" outlineLevel="2" x14ac:dyDescent="0.25">
      <c r="A67" s="27"/>
      <c r="B67" s="11" t="str">
        <f>CONCATENATE("          ", "6243", " - ", "PAPER SUPPLIES")</f>
        <v xml:space="preserve">          6243 - PAPER SUPPLIES</v>
      </c>
      <c r="C67" s="11"/>
      <c r="D67" s="7">
        <v>411.1</v>
      </c>
      <c r="E67" s="2"/>
      <c r="F67" s="6">
        <f t="shared" si="39"/>
        <v>0.32709797025803422</v>
      </c>
      <c r="G67" s="2"/>
      <c r="H67" s="7">
        <v>3229.02</v>
      </c>
      <c r="I67" s="2"/>
      <c r="J67" s="6">
        <f t="shared" si="40"/>
        <v>8.7627026515084708E-2</v>
      </c>
      <c r="K67" s="2"/>
      <c r="L67" s="7">
        <f t="shared" si="41"/>
        <v>-2817.92</v>
      </c>
      <c r="M67" s="2"/>
      <c r="N67" s="6">
        <f t="shared" si="42"/>
        <v>-0.87268583037577963</v>
      </c>
      <c r="O67" s="11"/>
      <c r="P67" s="7">
        <v>5093.3999999999996</v>
      </c>
      <c r="Q67" s="2"/>
      <c r="R67" s="6">
        <f t="shared" si="43"/>
        <v>6.8066538268484772E-2</v>
      </c>
      <c r="S67" s="2"/>
      <c r="T67" s="7">
        <v>9558.5</v>
      </c>
      <c r="U67" s="2"/>
      <c r="V67" s="6">
        <f t="shared" si="44"/>
        <v>3.1851504974862853E-2</v>
      </c>
      <c r="W67" s="2"/>
      <c r="X67" s="7">
        <f t="shared" si="45"/>
        <v>-4465.1000000000004</v>
      </c>
      <c r="Y67" s="2"/>
      <c r="Z67" s="6">
        <f t="shared" si="46"/>
        <v>-0.46713396453418427</v>
      </c>
    </row>
    <row r="68" spans="1:26" s="24" customFormat="1" hidden="1" outlineLevel="2" x14ac:dyDescent="0.25">
      <c r="A68" s="27"/>
      <c r="B68" s="11" t="str">
        <f>CONCATENATE("          ", "6245", " - ", "PRINTING")</f>
        <v xml:space="preserve">          6245 - PRINTING</v>
      </c>
      <c r="C68" s="11"/>
      <c r="D68" s="7"/>
      <c r="E68" s="2"/>
      <c r="F68" s="6">
        <f t="shared" si="39"/>
        <v>0</v>
      </c>
      <c r="G68" s="2"/>
      <c r="H68" s="7">
        <v>748.76</v>
      </c>
      <c r="I68" s="2"/>
      <c r="J68" s="6">
        <f t="shared" si="40"/>
        <v>2.031935769163239E-2</v>
      </c>
      <c r="K68" s="2"/>
      <c r="L68" s="7">
        <f t="shared" si="41"/>
        <v>-748.76</v>
      </c>
      <c r="M68" s="2"/>
      <c r="N68" s="6">
        <f t="shared" si="42"/>
        <v>-1</v>
      </c>
      <c r="O68" s="11"/>
      <c r="P68" s="7">
        <v>439.61</v>
      </c>
      <c r="Q68" s="2"/>
      <c r="R68" s="6">
        <f t="shared" si="43"/>
        <v>5.8748048235380285E-3</v>
      </c>
      <c r="S68" s="2"/>
      <c r="T68" s="7">
        <v>1213.18</v>
      </c>
      <c r="U68" s="2"/>
      <c r="V68" s="6">
        <f t="shared" si="44"/>
        <v>4.0426435952716552E-3</v>
      </c>
      <c r="W68" s="2"/>
      <c r="X68" s="7">
        <f t="shared" si="45"/>
        <v>-773.57</v>
      </c>
      <c r="Y68" s="2"/>
      <c r="Z68" s="6">
        <f t="shared" si="46"/>
        <v>-0.63763827296856201</v>
      </c>
    </row>
    <row r="69" spans="1:26" s="24" customFormat="1" hidden="1" outlineLevel="2" x14ac:dyDescent="0.25">
      <c r="A69" s="27"/>
      <c r="B69" s="11" t="str">
        <f>CONCATENATE("          ", "6247", " - ", "STORE SUPPLIES")</f>
        <v xml:space="preserve">          6247 - STORE SUPPLIES</v>
      </c>
      <c r="C69" s="11"/>
      <c r="D69" s="7">
        <v>1532.52</v>
      </c>
      <c r="E69" s="2"/>
      <c r="F69" s="6">
        <f t="shared" si="39"/>
        <v>1.2193728566768245</v>
      </c>
      <c r="G69" s="2"/>
      <c r="H69" s="7">
        <v>263.2</v>
      </c>
      <c r="I69" s="2"/>
      <c r="J69" s="6">
        <f t="shared" si="40"/>
        <v>7.1425489401645992E-3</v>
      </c>
      <c r="K69" s="2"/>
      <c r="L69" s="7">
        <f t="shared" si="41"/>
        <v>1269.32</v>
      </c>
      <c r="M69" s="2"/>
      <c r="N69" s="6">
        <f t="shared" si="42"/>
        <v>4.8226443768996958</v>
      </c>
      <c r="O69" s="11"/>
      <c r="P69" s="7">
        <v>15376.449999999999</v>
      </c>
      <c r="Q69" s="2"/>
      <c r="R69" s="6">
        <f t="shared" si="43"/>
        <v>0.20548586844906011</v>
      </c>
      <c r="S69" s="2"/>
      <c r="T69" s="7">
        <v>6435.76</v>
      </c>
      <c r="U69" s="2"/>
      <c r="V69" s="6">
        <f t="shared" si="44"/>
        <v>2.1445691442906666E-2</v>
      </c>
      <c r="W69" s="2"/>
      <c r="X69" s="7">
        <f t="shared" si="45"/>
        <v>8940.6899999999987</v>
      </c>
      <c r="Y69" s="2"/>
      <c r="Z69" s="6">
        <f t="shared" si="46"/>
        <v>1.3892205427175655</v>
      </c>
    </row>
    <row r="70" spans="1:26" s="25" customFormat="1" outlineLevel="1" collapsed="1" x14ac:dyDescent="0.25">
      <c r="A70" s="26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SUM(OSRRefD22_11x_0)</f>
        <v>183.3</v>
      </c>
      <c r="E70" s="1"/>
      <c r="F70" s="5">
        <f t="shared" ref="F70:F75" si="47">IF(D$12=0,0,D70/D$12)</f>
        <v>0.14584543407515851</v>
      </c>
      <c r="G70" s="1"/>
      <c r="H70" s="1">
        <f>SUM(OSRRefH22_11x_0)</f>
        <v>104.55</v>
      </c>
      <c r="I70" s="1"/>
      <c r="J70" s="5">
        <f t="shared" ref="J70:J75" si="48">IF(H$12=0,0,H70/H$12)</f>
        <v>2.8372093149476021E-3</v>
      </c>
      <c r="K70" s="1"/>
      <c r="L70" s="1">
        <f t="shared" ref="L70:L75" si="49">+D70-H70</f>
        <v>78.750000000000014</v>
      </c>
      <c r="M70" s="1"/>
      <c r="N70" s="5">
        <f t="shared" ref="N70:N75" si="50">IF(H70=0,0,L70/H70)</f>
        <v>0.75322812051649946</v>
      </c>
      <c r="O70" s="13"/>
      <c r="P70" s="1">
        <f>SUM(OSRRefP22_11x_0)</f>
        <v>1257</v>
      </c>
      <c r="Q70" s="1"/>
      <c r="R70" s="5">
        <f t="shared" ref="R70:R75" si="51">IF(P$12=0,0,P70/P$12)</f>
        <v>1.6798138493635956E-2</v>
      </c>
      <c r="S70" s="1"/>
      <c r="T70" s="1">
        <f>SUM(OSRRefT22_11x_0)</f>
        <v>814.95</v>
      </c>
      <c r="U70" s="1"/>
      <c r="V70" s="5">
        <f t="shared" ref="V70:V75" si="52">IF(T$12=0,0,T70/T$12)</f>
        <v>2.7156336223533484E-3</v>
      </c>
      <c r="W70" s="1"/>
      <c r="X70" s="1">
        <f t="shared" ref="X70:X75" si="53">+P70-T70</f>
        <v>442.04999999999995</v>
      </c>
      <c r="Y70" s="1"/>
      <c r="Z70" s="5">
        <f t="shared" ref="Z70:Z75" si="54">IF(T70=0,0,X70/T70)</f>
        <v>0.54242591570034959</v>
      </c>
    </row>
    <row r="71" spans="1:26" s="24" customFormat="1" hidden="1" outlineLevel="2" x14ac:dyDescent="0.25">
      <c r="A71" s="27"/>
      <c r="B71" s="11" t="str">
        <f>CONCATENATE("          ", "6309", " - ", "TELEPHONE")</f>
        <v xml:space="preserve">          6309 - TELEPHONE</v>
      </c>
      <c r="C71" s="11"/>
      <c r="D71" s="7">
        <v>183.3</v>
      </c>
      <c r="E71" s="2"/>
      <c r="F71" s="6">
        <f t="shared" si="47"/>
        <v>0.14584543407515851</v>
      </c>
      <c r="G71" s="2"/>
      <c r="H71" s="7">
        <v>104.55</v>
      </c>
      <c r="I71" s="2"/>
      <c r="J71" s="6">
        <f t="shared" si="48"/>
        <v>2.8372093149476021E-3</v>
      </c>
      <c r="K71" s="2"/>
      <c r="L71" s="7">
        <f t="shared" si="49"/>
        <v>78.750000000000014</v>
      </c>
      <c r="M71" s="2"/>
      <c r="N71" s="6">
        <f t="shared" si="50"/>
        <v>0.75322812051649946</v>
      </c>
      <c r="O71" s="11"/>
      <c r="P71" s="7">
        <v>1257</v>
      </c>
      <c r="Q71" s="2"/>
      <c r="R71" s="6">
        <f t="shared" si="51"/>
        <v>1.6798138493635956E-2</v>
      </c>
      <c r="S71" s="2"/>
      <c r="T71" s="7">
        <v>814.95</v>
      </c>
      <c r="U71" s="2"/>
      <c r="V71" s="6">
        <f t="shared" si="52"/>
        <v>2.7156336223533484E-3</v>
      </c>
      <c r="W71" s="2"/>
      <c r="X71" s="7">
        <f t="shared" si="53"/>
        <v>442.04999999999995</v>
      </c>
      <c r="Y71" s="2"/>
      <c r="Z71" s="6">
        <f t="shared" si="54"/>
        <v>0.54242591570034959</v>
      </c>
    </row>
    <row r="72" spans="1:26" s="25" customFormat="1" outlineLevel="1" collapsed="1" x14ac:dyDescent="0.25">
      <c r="A72" s="26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SUM(OSRRefD22_12x_0)</f>
        <v>0</v>
      </c>
      <c r="E72" s="1"/>
      <c r="F72" s="5">
        <f t="shared" si="47"/>
        <v>0</v>
      </c>
      <c r="G72" s="1"/>
      <c r="H72" s="1">
        <f>SUM(OSRRefH22_12x_0)</f>
        <v>0</v>
      </c>
      <c r="I72" s="1"/>
      <c r="J72" s="5">
        <f t="shared" si="48"/>
        <v>0</v>
      </c>
      <c r="K72" s="1"/>
      <c r="L72" s="1">
        <f t="shared" si="49"/>
        <v>0</v>
      </c>
      <c r="M72" s="1"/>
      <c r="N72" s="5">
        <f t="shared" si="50"/>
        <v>0</v>
      </c>
      <c r="O72" s="13"/>
      <c r="P72" s="1">
        <f>SUM(OSRRefP22_12x_0)</f>
        <v>0</v>
      </c>
      <c r="Q72" s="1"/>
      <c r="R72" s="5">
        <f t="shared" si="51"/>
        <v>0</v>
      </c>
      <c r="S72" s="1"/>
      <c r="T72" s="1">
        <f>SUM(OSRRefT22_12x_0)</f>
        <v>97.71</v>
      </c>
      <c r="U72" s="1"/>
      <c r="V72" s="5">
        <f t="shared" si="52"/>
        <v>3.2559612398324516E-4</v>
      </c>
      <c r="W72" s="1"/>
      <c r="X72" s="1">
        <f t="shared" si="53"/>
        <v>-97.71</v>
      </c>
      <c r="Y72" s="1"/>
      <c r="Z72" s="5">
        <f t="shared" si="54"/>
        <v>-1</v>
      </c>
    </row>
    <row r="73" spans="1:26" s="24" customFormat="1" hidden="1" outlineLevel="2" x14ac:dyDescent="0.25">
      <c r="A73" s="27"/>
      <c r="B73" s="11" t="str">
        <f>CONCATENATE("          ", "6376", " - ", "TRAINING")</f>
        <v xml:space="preserve">          6376 - TRAINING</v>
      </c>
      <c r="C73" s="11"/>
      <c r="D73" s="7"/>
      <c r="E73" s="2"/>
      <c r="F73" s="6">
        <f t="shared" si="47"/>
        <v>0</v>
      </c>
      <c r="G73" s="2"/>
      <c r="H73" s="7"/>
      <c r="I73" s="2"/>
      <c r="J73" s="6">
        <f t="shared" si="48"/>
        <v>0</v>
      </c>
      <c r="K73" s="2"/>
      <c r="L73" s="7">
        <f t="shared" si="49"/>
        <v>0</v>
      </c>
      <c r="M73" s="2"/>
      <c r="N73" s="6">
        <f t="shared" si="50"/>
        <v>0</v>
      </c>
      <c r="O73" s="11"/>
      <c r="P73" s="7"/>
      <c r="Q73" s="2"/>
      <c r="R73" s="6">
        <f t="shared" si="51"/>
        <v>0</v>
      </c>
      <c r="S73" s="2"/>
      <c r="T73" s="7">
        <v>97.71</v>
      </c>
      <c r="U73" s="2"/>
      <c r="V73" s="6">
        <f t="shared" si="52"/>
        <v>3.2559612398324516E-4</v>
      </c>
      <c r="W73" s="2"/>
      <c r="X73" s="7">
        <f t="shared" si="53"/>
        <v>-97.71</v>
      </c>
      <c r="Y73" s="2"/>
      <c r="Z73" s="6">
        <f t="shared" si="54"/>
        <v>-1</v>
      </c>
    </row>
    <row r="74" spans="1:26" s="25" customFormat="1" outlineLevel="1" collapsed="1" x14ac:dyDescent="0.25">
      <c r="A74" s="26"/>
      <c r="B74" s="13" t="str">
        <f>CONCATENATE("     ","Utilities                                         ")</f>
        <v xml:space="preserve">     Utilities                                         </v>
      </c>
      <c r="C74" s="13"/>
      <c r="D74" s="1">
        <f>SUM(OSRRefD22_13x_0)</f>
        <v>0</v>
      </c>
      <c r="E74" s="1"/>
      <c r="F74" s="5">
        <f t="shared" si="47"/>
        <v>0</v>
      </c>
      <c r="G74" s="1"/>
      <c r="H74" s="1">
        <f>SUM(OSRRefH22_13x_0)</f>
        <v>0</v>
      </c>
      <c r="I74" s="1"/>
      <c r="J74" s="5">
        <f t="shared" si="48"/>
        <v>0</v>
      </c>
      <c r="K74" s="1"/>
      <c r="L74" s="1">
        <f t="shared" si="49"/>
        <v>0</v>
      </c>
      <c r="M74" s="1"/>
      <c r="N74" s="5">
        <f t="shared" si="50"/>
        <v>0</v>
      </c>
      <c r="O74" s="13"/>
      <c r="P74" s="1">
        <f>SUM(OSRRefP22_13x_0)</f>
        <v>15.02</v>
      </c>
      <c r="Q74" s="1"/>
      <c r="R74" s="5">
        <f t="shared" si="51"/>
        <v>2.0072238677359746E-4</v>
      </c>
      <c r="S74" s="1"/>
      <c r="T74" s="1">
        <f>SUM(OSRRefT22_13x_0)</f>
        <v>0</v>
      </c>
      <c r="U74" s="1"/>
      <c r="V74" s="5">
        <f t="shared" si="52"/>
        <v>0</v>
      </c>
      <c r="W74" s="1"/>
      <c r="X74" s="1">
        <f t="shared" si="53"/>
        <v>15.02</v>
      </c>
      <c r="Y74" s="1"/>
      <c r="Z74" s="5">
        <f t="shared" si="54"/>
        <v>0</v>
      </c>
    </row>
    <row r="75" spans="1:26" s="24" customFormat="1" hidden="1" outlineLevel="2" x14ac:dyDescent="0.25">
      <c r="A75" s="27"/>
      <c r="B75" s="11" t="str">
        <f>CONCATENATE("          ", "6274", " - ", "UTILITIES")</f>
        <v xml:space="preserve">          6274 - UTILITIES</v>
      </c>
      <c r="C75" s="11"/>
      <c r="D75" s="7"/>
      <c r="E75" s="2"/>
      <c r="F75" s="6">
        <f t="shared" si="47"/>
        <v>0</v>
      </c>
      <c r="G75" s="2"/>
      <c r="H75" s="7"/>
      <c r="I75" s="2"/>
      <c r="J75" s="6">
        <f t="shared" si="48"/>
        <v>0</v>
      </c>
      <c r="K75" s="2"/>
      <c r="L75" s="7">
        <f t="shared" si="49"/>
        <v>0</v>
      </c>
      <c r="M75" s="2"/>
      <c r="N75" s="6">
        <f t="shared" si="50"/>
        <v>0</v>
      </c>
      <c r="O75" s="11"/>
      <c r="P75" s="7">
        <v>15.02</v>
      </c>
      <c r="Q75" s="2"/>
      <c r="R75" s="6">
        <f t="shared" si="51"/>
        <v>2.0072238677359746E-4</v>
      </c>
      <c r="S75" s="2"/>
      <c r="T75" s="7"/>
      <c r="U75" s="2"/>
      <c r="V75" s="6">
        <f t="shared" si="52"/>
        <v>0</v>
      </c>
      <c r="W75" s="2"/>
      <c r="X75" s="7">
        <f t="shared" si="53"/>
        <v>15.02</v>
      </c>
      <c r="Y75" s="2"/>
      <c r="Z75" s="6">
        <f t="shared" si="54"/>
        <v>0</v>
      </c>
    </row>
    <row r="76" spans="1:26" s="55" customFormat="1" x14ac:dyDescent="0.25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9" t="s">
        <v>0</v>
      </c>
      <c r="C77" s="10"/>
      <c r="D77" s="4">
        <f>SUM(OSRRefD25x_0)</f>
        <v>6782</v>
      </c>
      <c r="E77" s="4"/>
      <c r="F77" s="12">
        <f t="shared" ref="F77:F78" si="55">IF(D$12=0,0,D77/D$12)</f>
        <v>5.3962014942592749</v>
      </c>
      <c r="G77" s="4"/>
      <c r="H77" s="4">
        <f>SUM(OSRRefH25x_0)</f>
        <v>13269</v>
      </c>
      <c r="I77" s="4"/>
      <c r="J77" s="12">
        <f t="shared" ref="J77:J78" si="56">IF(H$12=0,0,H77/H$12)</f>
        <v>0.36008541750396683</v>
      </c>
      <c r="K77" s="4"/>
      <c r="L77" s="4">
        <f t="shared" ref="L77:L78" si="57">+D77-H77</f>
        <v>-6487</v>
      </c>
      <c r="M77" s="4"/>
      <c r="N77" s="12">
        <f t="shared" ref="N77:N78" si="58">IF(H77=0,0,L77/H77)</f>
        <v>-0.48888386464692141</v>
      </c>
      <c r="O77" s="10"/>
      <c r="P77" s="4">
        <f>SUM(OSRRefP25x_0)</f>
        <v>40692</v>
      </c>
      <c r="Q77" s="4"/>
      <c r="R77" s="12">
        <f t="shared" ref="R77:R78" si="59">IF(P$12=0,0,P77/P$12)</f>
        <v>0.54379463133097394</v>
      </c>
      <c r="S77" s="4"/>
      <c r="T77" s="4">
        <f>SUM(OSRRefT25x_0)</f>
        <v>79614</v>
      </c>
      <c r="U77" s="4"/>
      <c r="V77" s="12">
        <f t="shared" ref="V77:V78" si="60">IF(T$12=0,0,T77/T$12)</f>
        <v>0.26529536193636355</v>
      </c>
      <c r="W77" s="4"/>
      <c r="X77" s="4">
        <f t="shared" ref="X77:X78" si="61">+P77-T77</f>
        <v>-38922</v>
      </c>
      <c r="Y77" s="4"/>
      <c r="Z77" s="12">
        <f t="shared" ref="Z77:Z78" si="62">IF(T77=0,0,X77/T77)</f>
        <v>-0.48888386464692141</v>
      </c>
    </row>
    <row r="78" spans="1:26" s="24" customFormat="1" hidden="1" outlineLevel="1" x14ac:dyDescent="0.25">
      <c r="A78" s="44"/>
      <c r="B78" s="11" t="str">
        <f>CONCATENATE("          ", "9150", " - ", "MISC. INCOME")</f>
        <v xml:space="preserve">          9150 - MISC. INCOME</v>
      </c>
      <c r="C78" s="11"/>
      <c r="D78" s="2">
        <f>--6782</f>
        <v>6782</v>
      </c>
      <c r="E78" s="2"/>
      <c r="F78" s="19">
        <f t="shared" si="55"/>
        <v>5.3962014942592749</v>
      </c>
      <c r="G78" s="2"/>
      <c r="H78" s="2">
        <f>--13269</f>
        <v>13269</v>
      </c>
      <c r="I78" s="2"/>
      <c r="J78" s="19">
        <f t="shared" si="56"/>
        <v>0.36008541750396683</v>
      </c>
      <c r="K78" s="2"/>
      <c r="L78" s="2">
        <f t="shared" si="57"/>
        <v>-6487</v>
      </c>
      <c r="M78" s="2"/>
      <c r="N78" s="19">
        <f t="shared" si="58"/>
        <v>-0.48888386464692141</v>
      </c>
      <c r="O78" s="11"/>
      <c r="P78" s="2">
        <f>--40692</f>
        <v>40692</v>
      </c>
      <c r="Q78" s="2"/>
      <c r="R78" s="19">
        <f t="shared" si="59"/>
        <v>0.54379463133097394</v>
      </c>
      <c r="S78" s="2"/>
      <c r="T78" s="2">
        <f>--79614</f>
        <v>79614</v>
      </c>
      <c r="U78" s="2"/>
      <c r="V78" s="19">
        <f t="shared" si="60"/>
        <v>0.26529536193636355</v>
      </c>
      <c r="W78" s="2"/>
      <c r="X78" s="2">
        <f t="shared" si="61"/>
        <v>-38922</v>
      </c>
      <c r="Y78" s="2"/>
      <c r="Z78" s="19">
        <f t="shared" si="62"/>
        <v>-0.48888386464692141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3</v>
      </c>
      <c r="C80" s="28"/>
      <c r="D80" s="20">
        <f>+D28-D30+D77</f>
        <v>-23899.91</v>
      </c>
      <c r="E80" s="14"/>
      <c r="F80" s="21">
        <f>IF(D$12=0,0,D80/D$12)</f>
        <v>-19.016327050230341</v>
      </c>
      <c r="G80" s="14"/>
      <c r="H80" s="20">
        <f>+H28-H30+H77</f>
        <v>1684.510000000002</v>
      </c>
      <c r="I80" s="14"/>
      <c r="J80" s="21">
        <f>IF(H$12=0,0,H80/H$12)</f>
        <v>4.571312733737342E-2</v>
      </c>
      <c r="K80" s="15"/>
      <c r="L80" s="20">
        <f>+D80-H80</f>
        <v>-25584.420000000002</v>
      </c>
      <c r="M80" s="15"/>
      <c r="N80" s="21">
        <f>IF(H80=0,0,L80/H80)</f>
        <v>-15.188048750081609</v>
      </c>
      <c r="O80" s="29"/>
      <c r="P80" s="20">
        <f>+P28-P30+P77</f>
        <v>-76602.740000000005</v>
      </c>
      <c r="Q80" s="14"/>
      <c r="R80" s="21">
        <f>IF(P$12=0,0,P80/P$12)</f>
        <v>-1.0236940616642696</v>
      </c>
      <c r="S80" s="14"/>
      <c r="T80" s="20">
        <f>+T28-T30+T77</f>
        <v>107263.30999999994</v>
      </c>
      <c r="U80" s="14"/>
      <c r="V80" s="21">
        <f>IF(T$12=0,0,T80/T$12)</f>
        <v>0.35743033447562422</v>
      </c>
      <c r="W80" s="15"/>
      <c r="X80" s="20">
        <f>+P80-T80</f>
        <v>-183866.04999999993</v>
      </c>
      <c r="Y80" s="15"/>
      <c r="Z80" s="21">
        <f>IF(T80=0,0,X80/T80)</f>
        <v>-1.7141560334097468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>
        <v>2154.34</v>
      </c>
      <c r="E82" s="4"/>
      <c r="F82" s="12">
        <f>IF(D$12=0,0,D82/D$12)</f>
        <v>1.7141334012300984</v>
      </c>
      <c r="G82" s="4"/>
      <c r="H82" s="4">
        <v>4536.67</v>
      </c>
      <c r="I82" s="4"/>
      <c r="J82" s="12">
        <f>IF(H$12=0,0,H82/H$12)</f>
        <v>0.12311317439352787</v>
      </c>
      <c r="K82" s="4"/>
      <c r="L82" s="4">
        <f>+D82-H82</f>
        <v>-2382.33</v>
      </c>
      <c r="M82" s="4"/>
      <c r="N82" s="12">
        <f>IF(H82=0,0,L82/H82)</f>
        <v>-0.5251274613317698</v>
      </c>
      <c r="O82" s="10"/>
      <c r="P82" s="4">
        <v>13845.08</v>
      </c>
      <c r="Q82" s="4"/>
      <c r="R82" s="12">
        <f>IF(P$12=0,0,P82/P$12)</f>
        <v>0.1850211386598801</v>
      </c>
      <c r="S82" s="4"/>
      <c r="T82" s="4">
        <v>32412.649999999998</v>
      </c>
      <c r="U82" s="4"/>
      <c r="V82" s="12">
        <f>IF(T$12=0,0,T82/T$12)</f>
        <v>0.10800770860736394</v>
      </c>
      <c r="W82" s="4"/>
      <c r="X82" s="4">
        <f>+P82-T82</f>
        <v>-18567.57</v>
      </c>
      <c r="Y82" s="4"/>
      <c r="Z82" s="12">
        <f>IF(T82=0,0,X82/T82)</f>
        <v>-0.57284948931975632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4</v>
      </c>
      <c r="C84" s="28"/>
      <c r="D84" s="33">
        <f>+D80-D82</f>
        <v>-26054.25</v>
      </c>
      <c r="E84" s="14"/>
      <c r="F84" s="34">
        <f>IF(D$12=0,0,D84/D$12)</f>
        <v>-20.730460451460441</v>
      </c>
      <c r="G84" s="14"/>
      <c r="H84" s="33">
        <f>+H80-H82</f>
        <v>-2852.159999999998</v>
      </c>
      <c r="I84" s="14"/>
      <c r="J84" s="34">
        <f>IF(H$12=0,0,H84/H$12)</f>
        <v>-7.7400047056154442E-2</v>
      </c>
      <c r="K84" s="15"/>
      <c r="L84" s="33">
        <f>D84-H84</f>
        <v>-23202.090000000004</v>
      </c>
      <c r="M84" s="15"/>
      <c r="N84" s="34">
        <f>IF(H84=0,0,L84/H84)</f>
        <v>8.1349187983843887</v>
      </c>
      <c r="O84" s="29"/>
      <c r="P84" s="33">
        <f>+P80-P82</f>
        <v>-90447.82</v>
      </c>
      <c r="Q84" s="14"/>
      <c r="R84" s="34">
        <f>IF(P$12=0,0,P84/P$12)</f>
        <v>-1.2087152003241497</v>
      </c>
      <c r="S84" s="14"/>
      <c r="T84" s="33">
        <f>+T80-T82</f>
        <v>74850.659999999945</v>
      </c>
      <c r="U84" s="14"/>
      <c r="V84" s="34">
        <f>IF(T$12=0,0,T84/T$12)</f>
        <v>0.24942262586826031</v>
      </c>
      <c r="W84" s="15"/>
      <c r="X84" s="33">
        <f>P84-T84</f>
        <v>-165298.47999999995</v>
      </c>
      <c r="Y84" s="15"/>
      <c r="Z84" s="34">
        <f>IF(T84=0,0,X84/T84)</f>
        <v>-2.2083770537227068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5</v>
      </c>
      <c r="C87" s="28"/>
      <c r="D87" s="30">
        <f>SUM(D84:D86)</f>
        <v>-26054.25</v>
      </c>
      <c r="E87" s="14"/>
      <c r="F87" s="32">
        <f>IF(D$12=0,0,D87/D$12)</f>
        <v>-20.730460451460441</v>
      </c>
      <c r="G87" s="14"/>
      <c r="H87" s="30">
        <f>SUM(H84:H86)</f>
        <v>-2852.159999999998</v>
      </c>
      <c r="I87" s="14"/>
      <c r="J87" s="32">
        <f>IF(H$12=0,0,H87/H$12)</f>
        <v>-7.7400047056154442E-2</v>
      </c>
      <c r="K87" s="15"/>
      <c r="L87" s="30">
        <f>+D87-H87</f>
        <v>-23202.090000000004</v>
      </c>
      <c r="M87" s="15"/>
      <c r="N87" s="32">
        <f>IF(H87=0,0,L87/H87)</f>
        <v>8.1349187983843887</v>
      </c>
      <c r="O87" s="29"/>
      <c r="P87" s="30">
        <f>SUM(P84:P86)</f>
        <v>-90447.82</v>
      </c>
      <c r="Q87" s="14"/>
      <c r="R87" s="32">
        <f>IF(P$12=0,0,P87/P$12)</f>
        <v>-1.2087152003241497</v>
      </c>
      <c r="S87" s="14"/>
      <c r="T87" s="30">
        <f>SUM(T84:T86)</f>
        <v>74850.659999999945</v>
      </c>
      <c r="U87" s="14"/>
      <c r="V87" s="32">
        <f>IF(T$12=0,0,T87/T$12)</f>
        <v>0.24942262586826031</v>
      </c>
      <c r="W87" s="15"/>
      <c r="X87" s="30">
        <f>+P87-T87</f>
        <v>-165298.47999999995</v>
      </c>
      <c r="Y87" s="15"/>
      <c r="Z87" s="32">
        <f>IF(T87=0,0,X87/T87)</f>
        <v>-2.2083770537227068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8">
        <v>44209.521829895835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61" t="s">
        <v>313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57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","320", " - ", "Customer Service (old)")</f>
        <v>Department 320 - Customer Service (old)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238.65</v>
      </c>
      <c r="I12" s="4"/>
      <c r="J12" s="12"/>
      <c r="K12" s="4"/>
      <c r="L12" s="4">
        <f t="shared" ref="L12:L15" si="0">+D12-H12</f>
        <v>-238.65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7548.8899999999994</v>
      </c>
      <c r="U12" s="4"/>
      <c r="V12" s="12"/>
      <c r="W12" s="4"/>
      <c r="X12" s="4">
        <f t="shared" ref="X12:X15" si="2">+P12-T12</f>
        <v>-7548.8899999999994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"4092", " - ", "TAXABLE SALES-GRAD MERCH")</f>
        <v xml:space="preserve">          4092 - TAXABLE SALES-GRAD MERCH</v>
      </c>
      <c r="C13" s="11"/>
      <c r="D13" s="2">
        <f t="shared" ref="D13:D15" si="4">0</f>
        <v>0</v>
      </c>
      <c r="E13" s="2"/>
      <c r="F13" s="19"/>
      <c r="G13" s="2"/>
      <c r="H13" s="2">
        <f>--218.75</f>
        <v>218.75</v>
      </c>
      <c r="I13" s="2"/>
      <c r="J13" s="19"/>
      <c r="K13" s="2"/>
      <c r="L13" s="2">
        <f t="shared" si="0"/>
        <v>-218.75</v>
      </c>
      <c r="M13" s="2"/>
      <c r="N13" s="19">
        <f t="shared" si="1"/>
        <v>-1</v>
      </c>
      <c r="O13" s="11"/>
      <c r="P13" s="2">
        <f t="shared" ref="P13:P15" si="5">0</f>
        <v>0</v>
      </c>
      <c r="Q13" s="2"/>
      <c r="R13" s="19"/>
      <c r="S13" s="2"/>
      <c r="T13" s="2">
        <f>--7699.32</f>
        <v>7699.32</v>
      </c>
      <c r="U13" s="2"/>
      <c r="V13" s="19"/>
      <c r="W13" s="2"/>
      <c r="X13" s="2">
        <f t="shared" si="2"/>
        <v>-7699.32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 t="shared" si="4"/>
        <v>0</v>
      </c>
      <c r="E14" s="2"/>
      <c r="F14" s="19"/>
      <c r="G14" s="2"/>
      <c r="H14" s="2">
        <f>--19.9</f>
        <v>19.899999999999999</v>
      </c>
      <c r="I14" s="2"/>
      <c r="J14" s="19"/>
      <c r="K14" s="2"/>
      <c r="L14" s="2">
        <f t="shared" si="0"/>
        <v>-19.899999999999999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--268.62</f>
        <v>268.62</v>
      </c>
      <c r="U14" s="2"/>
      <c r="V14" s="19"/>
      <c r="W14" s="2"/>
      <c r="X14" s="2">
        <f t="shared" si="2"/>
        <v>-268.62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5"/>
        <v>0</v>
      </c>
      <c r="Q15" s="2"/>
      <c r="R15" s="19"/>
      <c r="S15" s="2"/>
      <c r="T15" s="2">
        <f>-419.05</f>
        <v>-419.05</v>
      </c>
      <c r="U15" s="2"/>
      <c r="V15" s="19"/>
      <c r="W15" s="2"/>
      <c r="X15" s="2">
        <f t="shared" si="2"/>
        <v>419.05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22" si="6">IF(D$12=0,0,D17/D$12)</f>
        <v>0</v>
      </c>
      <c r="G17" s="4"/>
      <c r="H17" s="4">
        <f>SUM(OSRRefH16x_0)</f>
        <v>115</v>
      </c>
      <c r="I17" s="4"/>
      <c r="J17" s="12">
        <f t="shared" ref="J17:J22" si="7">IF(H$12=0,0,H17/H$12)</f>
        <v>0.48187722606327255</v>
      </c>
      <c r="K17" s="4"/>
      <c r="L17" s="4">
        <f t="shared" ref="L17:L22" si="8">+D17-H17</f>
        <v>-115</v>
      </c>
      <c r="M17" s="4"/>
      <c r="N17" s="12">
        <f t="shared" ref="N17:N22" si="9">IF(H17=0,0,L17/H17)</f>
        <v>-1</v>
      </c>
      <c r="O17" s="10"/>
      <c r="P17" s="4">
        <f>SUM(OSRRefP16x_0)</f>
        <v>0</v>
      </c>
      <c r="Q17" s="4"/>
      <c r="R17" s="12">
        <f t="shared" ref="R17:R22" si="10">IF(P$12=0,0,P17/P$12)</f>
        <v>0</v>
      </c>
      <c r="S17" s="4"/>
      <c r="T17" s="4">
        <f>SUM(OSRRefT16x_0)</f>
        <v>3803.1200000000003</v>
      </c>
      <c r="U17" s="4"/>
      <c r="V17" s="12">
        <f t="shared" ref="V17:V22" si="11">IF(T$12=0,0,T17/T$12)</f>
        <v>0.50379857171054299</v>
      </c>
      <c r="W17" s="4"/>
      <c r="X17" s="4">
        <f t="shared" ref="X17:X22" si="12">+P17-T17</f>
        <v>-3803.1200000000003</v>
      </c>
      <c r="Y17" s="4"/>
      <c r="Z17" s="12">
        <f t="shared" ref="Z17:Z22" si="13">IF(T17=0,0,X17/T17)</f>
        <v>-1</v>
      </c>
    </row>
    <row r="18" spans="1:26" s="24" customFormat="1" hidden="1" outlineLevel="1" x14ac:dyDescent="0.25">
      <c r="A18" s="44"/>
      <c r="B18" s="11" t="str">
        <f>CONCATENATE("          ", "5092", " - ", "PURCHASES @ COST-GRAD MERCH")</f>
        <v xml:space="preserve">          5092 - PURCHASES @ COST-GRAD MERCH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/>
      <c r="Q18" s="2"/>
      <c r="R18" s="19">
        <f t="shared" si="10"/>
        <v>0</v>
      </c>
      <c r="S18" s="2"/>
      <c r="T18" s="2">
        <v>1984.49</v>
      </c>
      <c r="U18" s="2"/>
      <c r="V18" s="19">
        <f t="shared" si="11"/>
        <v>0.26288500693479439</v>
      </c>
      <c r="W18" s="2"/>
      <c r="X18" s="2">
        <f t="shared" si="12"/>
        <v>-1984.49</v>
      </c>
      <c r="Y18" s="2"/>
      <c r="Z18" s="19">
        <f t="shared" si="13"/>
        <v>-1</v>
      </c>
    </row>
    <row r="19" spans="1:26" s="24" customFormat="1" hidden="1" outlineLevel="1" x14ac:dyDescent="0.25">
      <c r="A19" s="44"/>
      <c r="B19" s="11" t="str">
        <f>CONCATENATE("          ", "5095", " - ", "PURCHASES @ COST-CUSTOMER SERV")</f>
        <v xml:space="preserve">          5095 - PURCHASES @ COST-CUSTOMER SERV</v>
      </c>
      <c r="C19" s="11"/>
      <c r="D19" s="2"/>
      <c r="E19" s="2"/>
      <c r="F19" s="19">
        <f t="shared" si="6"/>
        <v>0</v>
      </c>
      <c r="G19" s="2"/>
      <c r="H19" s="2"/>
      <c r="I19" s="2"/>
      <c r="J19" s="19">
        <f t="shared" si="7"/>
        <v>0</v>
      </c>
      <c r="K19" s="2"/>
      <c r="L19" s="2">
        <f t="shared" si="8"/>
        <v>0</v>
      </c>
      <c r="M19" s="2"/>
      <c r="N19" s="19">
        <f t="shared" si="9"/>
        <v>0</v>
      </c>
      <c r="O19" s="11"/>
      <c r="P19" s="2"/>
      <c r="Q19" s="2"/>
      <c r="R19" s="19">
        <f t="shared" si="10"/>
        <v>0</v>
      </c>
      <c r="S19" s="2"/>
      <c r="T19" s="2">
        <v>11.85</v>
      </c>
      <c r="U19" s="2"/>
      <c r="V19" s="19">
        <f t="shared" si="11"/>
        <v>1.5697672108084765E-3</v>
      </c>
      <c r="W19" s="2"/>
      <c r="X19" s="2">
        <f t="shared" si="12"/>
        <v>-11.85</v>
      </c>
      <c r="Y19" s="2"/>
      <c r="Z19" s="19">
        <f t="shared" si="13"/>
        <v>-1</v>
      </c>
    </row>
    <row r="20" spans="1:26" s="24" customFormat="1" hidden="1" outlineLevel="1" x14ac:dyDescent="0.25">
      <c r="A20" s="44"/>
      <c r="B20" s="11" t="str">
        <f>CONCATENATE("          ", "5200", " - ", "PURCHASES OFFSET")</f>
        <v xml:space="preserve">          5200 - PURCHASES OFFSET</v>
      </c>
      <c r="C20" s="11"/>
      <c r="D20" s="2"/>
      <c r="E20" s="2"/>
      <c r="F20" s="19">
        <f t="shared" si="6"/>
        <v>0</v>
      </c>
      <c r="G20" s="2"/>
      <c r="H20" s="2"/>
      <c r="I20" s="2"/>
      <c r="J20" s="19">
        <f t="shared" si="7"/>
        <v>0</v>
      </c>
      <c r="K20" s="2"/>
      <c r="L20" s="2">
        <f t="shared" si="8"/>
        <v>0</v>
      </c>
      <c r="M20" s="2"/>
      <c r="N20" s="19">
        <f t="shared" si="9"/>
        <v>0</v>
      </c>
      <c r="O20" s="11"/>
      <c r="P20" s="2"/>
      <c r="Q20" s="2"/>
      <c r="R20" s="19">
        <f t="shared" si="10"/>
        <v>0</v>
      </c>
      <c r="S20" s="2"/>
      <c r="T20" s="2">
        <v>-2103</v>
      </c>
      <c r="U20" s="2"/>
      <c r="V20" s="19">
        <f t="shared" si="11"/>
        <v>-0.27858400374094738</v>
      </c>
      <c r="W20" s="2"/>
      <c r="X20" s="2">
        <f t="shared" si="12"/>
        <v>2103</v>
      </c>
      <c r="Y20" s="2"/>
      <c r="Z20" s="19">
        <f t="shared" si="13"/>
        <v>-1</v>
      </c>
    </row>
    <row r="21" spans="1:26" s="24" customFormat="1" hidden="1" outlineLevel="1" x14ac:dyDescent="0.25">
      <c r="A21" s="44"/>
      <c r="B21" s="11" t="str">
        <f>CONCATENATE("          ", "5300", " - ", "COG$ OFFSET")</f>
        <v xml:space="preserve">          5300 - COG$ OFFSET</v>
      </c>
      <c r="C21" s="11"/>
      <c r="D21" s="2"/>
      <c r="E21" s="2"/>
      <c r="F21" s="19">
        <f t="shared" si="6"/>
        <v>0</v>
      </c>
      <c r="G21" s="2"/>
      <c r="H21" s="2">
        <v>115</v>
      </c>
      <c r="I21" s="2"/>
      <c r="J21" s="19">
        <f t="shared" si="7"/>
        <v>0.48187722606327255</v>
      </c>
      <c r="K21" s="2"/>
      <c r="L21" s="2">
        <f t="shared" si="8"/>
        <v>-115</v>
      </c>
      <c r="M21" s="2"/>
      <c r="N21" s="19">
        <f t="shared" si="9"/>
        <v>-1</v>
      </c>
      <c r="O21" s="11"/>
      <c r="P21" s="2"/>
      <c r="Q21" s="2"/>
      <c r="R21" s="19">
        <f t="shared" si="10"/>
        <v>0</v>
      </c>
      <c r="S21" s="2"/>
      <c r="T21" s="2">
        <v>3804</v>
      </c>
      <c r="U21" s="2"/>
      <c r="V21" s="19">
        <f t="shared" si="11"/>
        <v>0.50391514514054392</v>
      </c>
      <c r="W21" s="2"/>
      <c r="X21" s="2">
        <f t="shared" si="12"/>
        <v>-3804</v>
      </c>
      <c r="Y21" s="2"/>
      <c r="Z21" s="19">
        <f t="shared" si="13"/>
        <v>-1</v>
      </c>
    </row>
    <row r="22" spans="1:26" s="24" customFormat="1" hidden="1" outlineLevel="1" x14ac:dyDescent="0.25">
      <c r="A22" s="44"/>
      <c r="B22" s="11" t="str">
        <f>CONCATENATE("          ", "5592", " - ", "FREIGHT-IN-GRAD MERCH")</f>
        <v xml:space="preserve">          5592 - FREIGHT-IN-GRAD MERCH</v>
      </c>
      <c r="C22" s="11"/>
      <c r="D22" s="2"/>
      <c r="E22" s="2"/>
      <c r="F22" s="19">
        <f t="shared" si="6"/>
        <v>0</v>
      </c>
      <c r="G22" s="2"/>
      <c r="H22" s="2"/>
      <c r="I22" s="2"/>
      <c r="J22" s="19">
        <f t="shared" si="7"/>
        <v>0</v>
      </c>
      <c r="K22" s="2"/>
      <c r="L22" s="2">
        <f t="shared" si="8"/>
        <v>0</v>
      </c>
      <c r="M22" s="2"/>
      <c r="N22" s="19">
        <f t="shared" si="9"/>
        <v>0</v>
      </c>
      <c r="O22" s="11"/>
      <c r="P22" s="2"/>
      <c r="Q22" s="2"/>
      <c r="R22" s="19">
        <f t="shared" si="10"/>
        <v>0</v>
      </c>
      <c r="S22" s="2"/>
      <c r="T22" s="2">
        <v>105.78</v>
      </c>
      <c r="U22" s="2"/>
      <c r="V22" s="19">
        <f t="shared" si="11"/>
        <v>1.4012656165343515E-2</v>
      </c>
      <c r="W22" s="2"/>
      <c r="X22" s="2">
        <f t="shared" si="12"/>
        <v>-105.78</v>
      </c>
      <c r="Y22" s="2"/>
      <c r="Z22" s="19">
        <f t="shared" si="13"/>
        <v>-1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6</v>
      </c>
      <c r="C24" s="28"/>
      <c r="D24" s="20">
        <f>D12-D17</f>
        <v>0</v>
      </c>
      <c r="E24" s="14"/>
      <c r="F24" s="21">
        <f>IF(D$12=0,0,D24/D$12)</f>
        <v>0</v>
      </c>
      <c r="G24" s="14"/>
      <c r="H24" s="20">
        <f>H12-H17</f>
        <v>123.65</v>
      </c>
      <c r="I24" s="14"/>
      <c r="J24" s="21">
        <f>IF(H$12=0,0,H24/H$12)</f>
        <v>0.51812277393672745</v>
      </c>
      <c r="K24" s="15"/>
      <c r="L24" s="20">
        <f>+D24-H24</f>
        <v>-123.65</v>
      </c>
      <c r="M24" s="15"/>
      <c r="N24" s="21">
        <f>IF(H24=0,0,L24/H24)</f>
        <v>-1</v>
      </c>
      <c r="O24" s="29"/>
      <c r="P24" s="20">
        <f>P12-P17</f>
        <v>0</v>
      </c>
      <c r="Q24" s="14"/>
      <c r="R24" s="21">
        <f>IF(P$12=0,0,P24/P$12)</f>
        <v>0</v>
      </c>
      <c r="S24" s="14"/>
      <c r="T24" s="20">
        <f>T12-T17</f>
        <v>3745.7699999999991</v>
      </c>
      <c r="U24" s="14"/>
      <c r="V24" s="21">
        <f>IF(T$12=0,0,T24/T$12)</f>
        <v>0.49620142828945701</v>
      </c>
      <c r="W24" s="15"/>
      <c r="X24" s="20">
        <f>+P24-T24</f>
        <v>-3745.7699999999991</v>
      </c>
      <c r="Y24" s="15"/>
      <c r="Z24" s="21">
        <f>IF(T24=0,0,X24/T24)</f>
        <v>-1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9</v>
      </c>
      <c r="C26" s="10"/>
      <c r="D26" s="22">
        <f>SUM(OSRRefD22x_0)</f>
        <v>0</v>
      </c>
      <c r="E26" s="22"/>
      <c r="F26" s="36">
        <f t="shared" ref="F26:F34" si="14">IF(D$12=0,0,D26/D$12)</f>
        <v>0</v>
      </c>
      <c r="G26" s="22"/>
      <c r="H26" s="22">
        <f>SUM(OSRRefH22x_0)</f>
        <v>-489.4499999999997</v>
      </c>
      <c r="I26" s="22"/>
      <c r="J26" s="36">
        <f t="shared" ref="J26:J34" si="15">IF(H$12=0,0,H26/H$12)</f>
        <v>-2.0509113764927704</v>
      </c>
      <c r="K26" s="4"/>
      <c r="L26" s="22">
        <f t="shared" ref="L26:L34" si="16">+D26-H26</f>
        <v>489.4499999999997</v>
      </c>
      <c r="M26" s="4"/>
      <c r="N26" s="36">
        <f t="shared" ref="N26:N34" si="17">IF(H26=0,0,L26/H26)</f>
        <v>-1</v>
      </c>
      <c r="O26" s="10"/>
      <c r="P26" s="22">
        <f>SUM(OSRRefP22x_0)</f>
        <v>0</v>
      </c>
      <c r="Q26" s="22"/>
      <c r="R26" s="36">
        <f t="shared" ref="R26:R34" si="18">IF(P$12=0,0,P26/P$12)</f>
        <v>0</v>
      </c>
      <c r="S26" s="22"/>
      <c r="T26" s="22">
        <f>SUM(OSRRefT22x_0)</f>
        <v>2516.1599999999962</v>
      </c>
      <c r="U26" s="22"/>
      <c r="V26" s="36">
        <f t="shared" ref="V26:V34" si="19">IF(T$12=0,0,T26/T$12)</f>
        <v>0.33331522912640088</v>
      </c>
      <c r="W26" s="4"/>
      <c r="X26" s="22">
        <f t="shared" ref="X26:X34" si="20">+P26-T26</f>
        <v>-2516.1599999999962</v>
      </c>
      <c r="Y26" s="4"/>
      <c r="Z26" s="36">
        <f t="shared" ref="Z26:Z34" si="21">IF(T26=0,0,X26/T26)</f>
        <v>-1</v>
      </c>
    </row>
    <row r="27" spans="1:26" s="25" customFormat="1" outlineLevel="1" collapsed="1" x14ac:dyDescent="0.25">
      <c r="A27" s="26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0</v>
      </c>
      <c r="E27" s="1"/>
      <c r="F27" s="5">
        <f t="shared" si="14"/>
        <v>0</v>
      </c>
      <c r="G27" s="1"/>
      <c r="H27" s="1">
        <f>SUM(OSRRefH22_0x_0)</f>
        <v>0</v>
      </c>
      <c r="I27" s="1"/>
      <c r="J27" s="5">
        <f t="shared" si="15"/>
        <v>0</v>
      </c>
      <c r="K27" s="1"/>
      <c r="L27" s="1">
        <f t="shared" si="16"/>
        <v>0</v>
      </c>
      <c r="M27" s="1"/>
      <c r="N27" s="5">
        <f t="shared" si="17"/>
        <v>0</v>
      </c>
      <c r="O27" s="13"/>
      <c r="P27" s="1">
        <f>SUM(OSRRefP22_0x_0)</f>
        <v>0</v>
      </c>
      <c r="Q27" s="1"/>
      <c r="R27" s="5">
        <f t="shared" si="18"/>
        <v>0</v>
      </c>
      <c r="S27" s="1"/>
      <c r="T27" s="1">
        <f>SUM(OSRRefT22_0x_0)</f>
        <v>821.29</v>
      </c>
      <c r="U27" s="1"/>
      <c r="V27" s="5">
        <f t="shared" si="19"/>
        <v>0.10879612764260706</v>
      </c>
      <c r="W27" s="1"/>
      <c r="X27" s="1">
        <f t="shared" si="20"/>
        <v>-821.29</v>
      </c>
      <c r="Y27" s="1"/>
      <c r="Z27" s="5">
        <f t="shared" si="21"/>
        <v>-1</v>
      </c>
    </row>
    <row r="28" spans="1:26" s="24" customFormat="1" hidden="1" outlineLevel="2" x14ac:dyDescent="0.25">
      <c r="A28" s="27"/>
      <c r="B28" s="11" t="str">
        <f>CONCATENATE("          ", "6111", " - ", "F.I.C.A.")</f>
        <v xml:space="preserve">          6111 - F.I.C.A.</v>
      </c>
      <c r="C28" s="11"/>
      <c r="D28" s="7"/>
      <c r="E28" s="2"/>
      <c r="F28" s="6">
        <f t="shared" si="14"/>
        <v>0</v>
      </c>
      <c r="G28" s="2"/>
      <c r="H28" s="7"/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155.66</v>
      </c>
      <c r="U28" s="2"/>
      <c r="V28" s="6">
        <f t="shared" si="19"/>
        <v>2.0620250129489238E-2</v>
      </c>
      <c r="W28" s="2"/>
      <c r="X28" s="7">
        <f t="shared" si="20"/>
        <v>-155.66</v>
      </c>
      <c r="Y28" s="2"/>
      <c r="Z28" s="6">
        <f t="shared" si="21"/>
        <v>-1</v>
      </c>
    </row>
    <row r="29" spans="1:26" s="24" customFormat="1" hidden="1" outlineLevel="2" x14ac:dyDescent="0.25">
      <c r="A29" s="27"/>
      <c r="B29" s="11" t="str">
        <f>CONCATENATE("          ", "6112", " - ", "COMPENSATION INSURANCE")</f>
        <v xml:space="preserve">          6112 - COMPENSATION INSURANCE</v>
      </c>
      <c r="C29" s="11"/>
      <c r="D29" s="7"/>
      <c r="E29" s="2"/>
      <c r="F29" s="6">
        <f t="shared" si="14"/>
        <v>0</v>
      </c>
      <c r="G29" s="2"/>
      <c r="H29" s="7"/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22.05</v>
      </c>
      <c r="U29" s="2"/>
      <c r="V29" s="6">
        <f t="shared" si="19"/>
        <v>2.92095924036514E-3</v>
      </c>
      <c r="W29" s="2"/>
      <c r="X29" s="7">
        <f t="shared" si="20"/>
        <v>-22.05</v>
      </c>
      <c r="Y29" s="2"/>
      <c r="Z29" s="6">
        <f t="shared" si="21"/>
        <v>-1</v>
      </c>
    </row>
    <row r="30" spans="1:26" s="24" customFormat="1" hidden="1" outlineLevel="2" x14ac:dyDescent="0.25">
      <c r="A30" s="27"/>
      <c r="B30" s="11" t="str">
        <f>CONCATENATE("          ", "6113", " - ", "GROUP INSURANCE")</f>
        <v xml:space="preserve">          6113 - GROUP INSURANCE</v>
      </c>
      <c r="C30" s="11"/>
      <c r="D30" s="7"/>
      <c r="E30" s="2"/>
      <c r="F30" s="6">
        <f t="shared" si="14"/>
        <v>0</v>
      </c>
      <c r="G30" s="2"/>
      <c r="H30" s="7"/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305.26</v>
      </c>
      <c r="U30" s="2"/>
      <c r="V30" s="6">
        <f t="shared" si="19"/>
        <v>4.0437733229653633E-2</v>
      </c>
      <c r="W30" s="2"/>
      <c r="X30" s="7">
        <f t="shared" si="20"/>
        <v>-305.26</v>
      </c>
      <c r="Y30" s="2"/>
      <c r="Z30" s="6">
        <f t="shared" si="21"/>
        <v>-1</v>
      </c>
    </row>
    <row r="31" spans="1:26" s="24" customFormat="1" hidden="1" outlineLevel="2" x14ac:dyDescent="0.25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7"/>
      <c r="E31" s="2"/>
      <c r="F31" s="6">
        <f t="shared" si="14"/>
        <v>0</v>
      </c>
      <c r="G31" s="2"/>
      <c r="H31" s="7"/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/>
      <c r="Q31" s="2"/>
      <c r="R31" s="6">
        <f t="shared" si="18"/>
        <v>0</v>
      </c>
      <c r="S31" s="2"/>
      <c r="T31" s="7">
        <v>5</v>
      </c>
      <c r="U31" s="2"/>
      <c r="V31" s="6">
        <f t="shared" si="19"/>
        <v>6.6234903409640366E-4</v>
      </c>
      <c r="W31" s="2"/>
      <c r="X31" s="7">
        <f t="shared" si="20"/>
        <v>-5</v>
      </c>
      <c r="Y31" s="2"/>
      <c r="Z31" s="6">
        <f t="shared" si="21"/>
        <v>-1</v>
      </c>
    </row>
    <row r="32" spans="1:26" s="24" customFormat="1" hidden="1" outlineLevel="2" x14ac:dyDescent="0.25">
      <c r="A32" s="27"/>
      <c r="B32" s="11" t="str">
        <f>CONCATENATE("          ", "6115", " - ", "P.E.R.S.")</f>
        <v xml:space="preserve">          6115 - P.E.R.S.</v>
      </c>
      <c r="C32" s="11"/>
      <c r="D32" s="7"/>
      <c r="E32" s="2"/>
      <c r="F32" s="6">
        <f t="shared" si="14"/>
        <v>0</v>
      </c>
      <c r="G32" s="2"/>
      <c r="H32" s="7"/>
      <c r="I32" s="2"/>
      <c r="J32" s="6">
        <f t="shared" si="15"/>
        <v>0</v>
      </c>
      <c r="K32" s="2"/>
      <c r="L32" s="7">
        <f t="shared" si="16"/>
        <v>0</v>
      </c>
      <c r="M32" s="2"/>
      <c r="N32" s="6">
        <f t="shared" si="17"/>
        <v>0</v>
      </c>
      <c r="O32" s="11"/>
      <c r="P32" s="7"/>
      <c r="Q32" s="2"/>
      <c r="R32" s="6">
        <f t="shared" si="18"/>
        <v>0</v>
      </c>
      <c r="S32" s="2"/>
      <c r="T32" s="7">
        <v>134.12</v>
      </c>
      <c r="U32" s="2"/>
      <c r="V32" s="6">
        <f t="shared" si="19"/>
        <v>1.7766850490601931E-2</v>
      </c>
      <c r="W32" s="2"/>
      <c r="X32" s="7">
        <f t="shared" si="20"/>
        <v>-134.12</v>
      </c>
      <c r="Y32" s="2"/>
      <c r="Z32" s="6">
        <f t="shared" si="21"/>
        <v>-1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4"/>
        <v>0</v>
      </c>
      <c r="G33" s="2"/>
      <c r="H33" s="7"/>
      <c r="I33" s="2"/>
      <c r="J33" s="6">
        <f t="shared" si="15"/>
        <v>0</v>
      </c>
      <c r="K33" s="2"/>
      <c r="L33" s="7">
        <f t="shared" si="16"/>
        <v>0</v>
      </c>
      <c r="M33" s="2"/>
      <c r="N33" s="6">
        <f t="shared" si="17"/>
        <v>0</v>
      </c>
      <c r="O33" s="11"/>
      <c r="P33" s="7"/>
      <c r="Q33" s="2"/>
      <c r="R33" s="6">
        <f t="shared" si="18"/>
        <v>0</v>
      </c>
      <c r="S33" s="2"/>
      <c r="T33" s="7">
        <v>110.64</v>
      </c>
      <c r="U33" s="2"/>
      <c r="V33" s="6">
        <f t="shared" si="19"/>
        <v>1.4656459426485219E-2</v>
      </c>
      <c r="W33" s="2"/>
      <c r="X33" s="7">
        <f t="shared" si="20"/>
        <v>-110.64</v>
      </c>
      <c r="Y33" s="2"/>
      <c r="Z33" s="6">
        <f t="shared" si="21"/>
        <v>-1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4"/>
        <v>0</v>
      </c>
      <c r="G34" s="2"/>
      <c r="H34" s="7"/>
      <c r="I34" s="2"/>
      <c r="J34" s="6">
        <f t="shared" si="15"/>
        <v>0</v>
      </c>
      <c r="K34" s="2"/>
      <c r="L34" s="7">
        <f t="shared" si="16"/>
        <v>0</v>
      </c>
      <c r="M34" s="2"/>
      <c r="N34" s="6">
        <f t="shared" si="17"/>
        <v>0</v>
      </c>
      <c r="O34" s="11"/>
      <c r="P34" s="7"/>
      <c r="Q34" s="2"/>
      <c r="R34" s="6">
        <f t="shared" si="18"/>
        <v>0</v>
      </c>
      <c r="S34" s="2"/>
      <c r="T34" s="7">
        <v>88.56</v>
      </c>
      <c r="U34" s="2"/>
      <c r="V34" s="6">
        <f t="shared" si="19"/>
        <v>1.1731526091915502E-2</v>
      </c>
      <c r="W34" s="2"/>
      <c r="X34" s="7">
        <f t="shared" si="20"/>
        <v>-88.56</v>
      </c>
      <c r="Y34" s="2"/>
      <c r="Z34" s="6">
        <f t="shared" si="21"/>
        <v>-1</v>
      </c>
    </row>
    <row r="35" spans="1:26" s="25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38" si="22">IF(D$12=0,0,D35/D$12)</f>
        <v>0</v>
      </c>
      <c r="G35" s="1"/>
      <c r="H35" s="1">
        <f>SUM(OSRRefH22_1x_0)</f>
        <v>0</v>
      </c>
      <c r="I35" s="1"/>
      <c r="J35" s="5">
        <f t="shared" ref="J35:J38" si="23">IF(H$12=0,0,H35/H$12)</f>
        <v>0</v>
      </c>
      <c r="K35" s="1"/>
      <c r="L35" s="1">
        <f t="shared" ref="L35:L38" si="24">+D35-H35</f>
        <v>0</v>
      </c>
      <c r="M35" s="1"/>
      <c r="N35" s="5">
        <f t="shared" ref="N35:N38" si="25">IF(H35=0,0,L35/H35)</f>
        <v>0</v>
      </c>
      <c r="O35" s="13"/>
      <c r="P35" s="1">
        <f>SUM(OSRRefP22_1x_0)</f>
        <v>0</v>
      </c>
      <c r="Q35" s="1"/>
      <c r="R35" s="5">
        <f t="shared" ref="R35:R38" si="26">IF(P$12=0,0,P35/P$12)</f>
        <v>0</v>
      </c>
      <c r="S35" s="1"/>
      <c r="T35" s="1">
        <f>SUM(OSRRefT22_1x_0)</f>
        <v>1986.7399999999998</v>
      </c>
      <c r="U35" s="1"/>
      <c r="V35" s="5">
        <f t="shared" ref="V35:V38" si="27">IF(T$12=0,0,T35/T$12)</f>
        <v>0.26318306400013775</v>
      </c>
      <c r="W35" s="1"/>
      <c r="X35" s="1">
        <f t="shared" ref="X35:X38" si="28">+P35-T35</f>
        <v>-1986.7399999999998</v>
      </c>
      <c r="Y35" s="1"/>
      <c r="Z35" s="5">
        <f t="shared" ref="Z35:Z38" si="29">IF(T35=0,0,X35/T35)</f>
        <v>-1</v>
      </c>
    </row>
    <row r="36" spans="1:26" s="24" customFormat="1" hidden="1" outlineLevel="2" x14ac:dyDescent="0.25">
      <c r="A36" s="27"/>
      <c r="B36" s="11" t="str">
        <f>CONCATENATE("          ", "6002", " - ", "STAFF SALARIES")</f>
        <v xml:space="preserve">          6002 - STAFF SALARIES</v>
      </c>
      <c r="C36" s="11"/>
      <c r="D36" s="7"/>
      <c r="E36" s="2"/>
      <c r="F36" s="6">
        <f t="shared" si="22"/>
        <v>0</v>
      </c>
      <c r="G36" s="2"/>
      <c r="H36" s="7"/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1872</v>
      </c>
      <c r="U36" s="2"/>
      <c r="V36" s="6">
        <f t="shared" si="27"/>
        <v>0.24798347836569351</v>
      </c>
      <c r="W36" s="2"/>
      <c r="X36" s="7">
        <f t="shared" si="28"/>
        <v>-1872</v>
      </c>
      <c r="Y36" s="2"/>
      <c r="Z36" s="6">
        <f t="shared" si="29"/>
        <v>-1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2"/>
        <v>0</v>
      </c>
      <c r="G37" s="2"/>
      <c r="H37" s="7"/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57.37</v>
      </c>
      <c r="U37" s="2"/>
      <c r="V37" s="6">
        <f t="shared" si="27"/>
        <v>7.5997928172221348E-3</v>
      </c>
      <c r="W37" s="2"/>
      <c r="X37" s="7">
        <f t="shared" si="28"/>
        <v>-57.37</v>
      </c>
      <c r="Y37" s="2"/>
      <c r="Z37" s="6">
        <f t="shared" si="29"/>
        <v>-1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2"/>
        <v>0</v>
      </c>
      <c r="G38" s="2"/>
      <c r="H38" s="7"/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57.37</v>
      </c>
      <c r="U38" s="2"/>
      <c r="V38" s="6">
        <f t="shared" si="27"/>
        <v>7.5997928172221348E-3</v>
      </c>
      <c r="W38" s="2"/>
      <c r="X38" s="7">
        <f t="shared" si="28"/>
        <v>-57.37</v>
      </c>
      <c r="Y38" s="2"/>
      <c r="Z38" s="6">
        <f t="shared" si="29"/>
        <v>-1</v>
      </c>
    </row>
    <row r="39" spans="1:26" s="25" customFormat="1" outlineLevel="1" collapsed="1" x14ac:dyDescent="0.25">
      <c r="A39" s="26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45" si="30">IF(D$12=0,0,D39/D$12)</f>
        <v>0</v>
      </c>
      <c r="G39" s="1"/>
      <c r="H39" s="1">
        <f>SUM(OSRRefH22_2x_0)</f>
        <v>0</v>
      </c>
      <c r="I39" s="1"/>
      <c r="J39" s="5">
        <f t="shared" ref="J39:J45" si="31">IF(H$12=0,0,H39/H$12)</f>
        <v>0</v>
      </c>
      <c r="K39" s="1"/>
      <c r="L39" s="1">
        <f t="shared" ref="L39:L45" si="32">+D39-H39</f>
        <v>0</v>
      </c>
      <c r="M39" s="1"/>
      <c r="N39" s="5">
        <f t="shared" ref="N39:N45" si="33">IF(H39=0,0,L39/H39)</f>
        <v>0</v>
      </c>
      <c r="O39" s="13"/>
      <c r="P39" s="1">
        <f>SUM(OSRRefP22_2x_0)</f>
        <v>0</v>
      </c>
      <c r="Q39" s="1"/>
      <c r="R39" s="5">
        <f t="shared" ref="R39:R45" si="34">IF(P$12=0,0,P39/P$12)</f>
        <v>0</v>
      </c>
      <c r="S39" s="1"/>
      <c r="T39" s="1">
        <f>SUM(OSRRefT22_2x_0)</f>
        <v>-857.46</v>
      </c>
      <c r="U39" s="1"/>
      <c r="V39" s="5">
        <f t="shared" ref="V39:V45" si="35">IF(T$12=0,0,T39/T$12)</f>
        <v>-0.11358756055526045</v>
      </c>
      <c r="W39" s="1"/>
      <c r="X39" s="1">
        <f t="shared" ref="X39:X45" si="36">+P39-T39</f>
        <v>857.46</v>
      </c>
      <c r="Y39" s="1"/>
      <c r="Z39" s="5">
        <f t="shared" ref="Z39:Z45" si="37">IF(T39=0,0,X39/T39)</f>
        <v>-1</v>
      </c>
    </row>
    <row r="40" spans="1:26" s="24" customFormat="1" hidden="1" outlineLevel="2" x14ac:dyDescent="0.25">
      <c r="A40" s="27"/>
      <c r="B40" s="11" t="str">
        <f>CONCATENATE("          ", "6362", " - ", "ADVERTISING EXPENSE")</f>
        <v xml:space="preserve">          6362 - ADVERTISING EXPENSE</v>
      </c>
      <c r="C40" s="11"/>
      <c r="D40" s="7"/>
      <c r="E40" s="2"/>
      <c r="F40" s="6">
        <f t="shared" si="30"/>
        <v>0</v>
      </c>
      <c r="G40" s="2"/>
      <c r="H40" s="7"/>
      <c r="I40" s="2"/>
      <c r="J40" s="6">
        <f t="shared" si="31"/>
        <v>0</v>
      </c>
      <c r="K40" s="2"/>
      <c r="L40" s="7">
        <f t="shared" si="32"/>
        <v>0</v>
      </c>
      <c r="M40" s="2"/>
      <c r="N40" s="6">
        <f t="shared" si="33"/>
        <v>0</v>
      </c>
      <c r="O40" s="11"/>
      <c r="P40" s="7"/>
      <c r="Q40" s="2"/>
      <c r="R40" s="6">
        <f t="shared" si="34"/>
        <v>0</v>
      </c>
      <c r="S40" s="2"/>
      <c r="T40" s="7">
        <v>-857.46</v>
      </c>
      <c r="U40" s="2"/>
      <c r="V40" s="6">
        <f t="shared" si="35"/>
        <v>-0.11358756055526045</v>
      </c>
      <c r="W40" s="2"/>
      <c r="X40" s="7">
        <f t="shared" si="36"/>
        <v>857.46</v>
      </c>
      <c r="Y40" s="2"/>
      <c r="Z40" s="6">
        <f t="shared" si="37"/>
        <v>-1</v>
      </c>
    </row>
    <row r="41" spans="1:26" s="25" customFormat="1" outlineLevel="1" collapsed="1" x14ac:dyDescent="0.25">
      <c r="A41" s="26"/>
      <c r="B41" s="13" t="str">
        <f>CONCATENATE("     ","Discounts and Markdowns                           ")</f>
        <v xml:space="preserve">     Discounts and Markdowns                           </v>
      </c>
      <c r="C41" s="13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0</v>
      </c>
      <c r="I41" s="1"/>
      <c r="J41" s="5">
        <f t="shared" si="31"/>
        <v>0</v>
      </c>
      <c r="K41" s="1"/>
      <c r="L41" s="1">
        <f t="shared" si="32"/>
        <v>0</v>
      </c>
      <c r="M41" s="1"/>
      <c r="N41" s="5">
        <f t="shared" si="33"/>
        <v>0</v>
      </c>
      <c r="O41" s="13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287.29000000000002</v>
      </c>
      <c r="U41" s="1"/>
      <c r="V41" s="5">
        <f t="shared" si="35"/>
        <v>3.8057250801111164E-2</v>
      </c>
      <c r="W41" s="1"/>
      <c r="X41" s="1">
        <f t="shared" si="36"/>
        <v>-287.29000000000002</v>
      </c>
      <c r="Y41" s="1"/>
      <c r="Z41" s="5">
        <f t="shared" si="37"/>
        <v>-1</v>
      </c>
    </row>
    <row r="42" spans="1:26" s="24" customFormat="1" hidden="1" outlineLevel="2" x14ac:dyDescent="0.25">
      <c r="A42" s="27"/>
      <c r="B42" s="11" t="str">
        <f>CONCATENATE("          ", "6382", " - ", "DISCOUNTS/MARK DOWNS")</f>
        <v xml:space="preserve">          6382 - DISCOUNTS/MARK DOWNS</v>
      </c>
      <c r="C42" s="11"/>
      <c r="D42" s="7"/>
      <c r="E42" s="2"/>
      <c r="F42" s="6">
        <f t="shared" si="30"/>
        <v>0</v>
      </c>
      <c r="G42" s="2"/>
      <c r="H42" s="7"/>
      <c r="I42" s="2"/>
      <c r="J42" s="6">
        <f t="shared" si="31"/>
        <v>0</v>
      </c>
      <c r="K42" s="2"/>
      <c r="L42" s="7">
        <f t="shared" si="32"/>
        <v>0</v>
      </c>
      <c r="M42" s="2"/>
      <c r="N42" s="6">
        <f t="shared" si="33"/>
        <v>0</v>
      </c>
      <c r="O42" s="11"/>
      <c r="P42" s="7"/>
      <c r="Q42" s="2"/>
      <c r="R42" s="6">
        <f t="shared" si="34"/>
        <v>0</v>
      </c>
      <c r="S42" s="2"/>
      <c r="T42" s="7">
        <v>287.29000000000002</v>
      </c>
      <c r="U42" s="2"/>
      <c r="V42" s="6">
        <f t="shared" si="35"/>
        <v>3.8057250801111164E-2</v>
      </c>
      <c r="W42" s="2"/>
      <c r="X42" s="7">
        <f t="shared" si="36"/>
        <v>-287.29000000000002</v>
      </c>
      <c r="Y42" s="2"/>
      <c r="Z42" s="6">
        <f t="shared" si="37"/>
        <v>-1</v>
      </c>
    </row>
    <row r="43" spans="1:26" s="25" customFormat="1" outlineLevel="1" collapsed="1" x14ac:dyDescent="0.25">
      <c r="A43" s="26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-687.14999999999964</v>
      </c>
      <c r="I43" s="1"/>
      <c r="J43" s="5">
        <f t="shared" si="31"/>
        <v>-2.8793211816467617</v>
      </c>
      <c r="K43" s="1"/>
      <c r="L43" s="1">
        <f t="shared" si="32"/>
        <v>687.14999999999964</v>
      </c>
      <c r="M43" s="1"/>
      <c r="N43" s="5">
        <f t="shared" si="33"/>
        <v>-1</v>
      </c>
      <c r="O43" s="13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-5893.4500000000044</v>
      </c>
      <c r="U43" s="1"/>
      <c r="V43" s="5">
        <f t="shared" si="35"/>
        <v>-0.78070418299909061</v>
      </c>
      <c r="W43" s="1"/>
      <c r="X43" s="1">
        <f t="shared" si="36"/>
        <v>5893.4500000000044</v>
      </c>
      <c r="Y43" s="1"/>
      <c r="Z43" s="5">
        <f t="shared" si="37"/>
        <v>-1</v>
      </c>
    </row>
    <row r="44" spans="1:26" s="24" customFormat="1" hidden="1" outlineLevel="2" x14ac:dyDescent="0.25">
      <c r="A44" s="27"/>
      <c r="B44" s="11" t="str">
        <f>CONCATENATE("          ", "6305", " - ", "FREIGHT OUT")</f>
        <v xml:space="preserve">          6305 - FREIGHT OUT</v>
      </c>
      <c r="C44" s="11"/>
      <c r="D44" s="7"/>
      <c r="E44" s="2"/>
      <c r="F44" s="6">
        <f t="shared" si="30"/>
        <v>0</v>
      </c>
      <c r="G44" s="2"/>
      <c r="H44" s="7">
        <v>3419.09</v>
      </c>
      <c r="I44" s="2"/>
      <c r="J44" s="6">
        <f t="shared" si="31"/>
        <v>14.326796564005866</v>
      </c>
      <c r="K44" s="2"/>
      <c r="L44" s="7">
        <f t="shared" si="32"/>
        <v>-3419.09</v>
      </c>
      <c r="M44" s="2"/>
      <c r="N44" s="6">
        <f t="shared" si="33"/>
        <v>-1</v>
      </c>
      <c r="O44" s="11"/>
      <c r="P44" s="7"/>
      <c r="Q44" s="2"/>
      <c r="R44" s="6">
        <f t="shared" si="34"/>
        <v>0</v>
      </c>
      <c r="S44" s="2"/>
      <c r="T44" s="7">
        <v>22675.78</v>
      </c>
      <c r="U44" s="2"/>
      <c r="V44" s="6">
        <f t="shared" si="35"/>
        <v>3.0038561960765096</v>
      </c>
      <c r="W44" s="2"/>
      <c r="X44" s="7">
        <f t="shared" si="36"/>
        <v>-22675.78</v>
      </c>
      <c r="Y44" s="2"/>
      <c r="Z44" s="6">
        <f t="shared" si="37"/>
        <v>-1</v>
      </c>
    </row>
    <row r="45" spans="1:26" s="24" customFormat="1" hidden="1" outlineLevel="2" x14ac:dyDescent="0.25">
      <c r="A45" s="27"/>
      <c r="B45" s="11" t="str">
        <f>CONCATENATE("          ", "6307", " - ", "POSTAGE")</f>
        <v xml:space="preserve">          6307 - POSTAGE</v>
      </c>
      <c r="C45" s="11"/>
      <c r="D45" s="7"/>
      <c r="E45" s="2"/>
      <c r="F45" s="6">
        <f t="shared" si="30"/>
        <v>0</v>
      </c>
      <c r="G45" s="2"/>
      <c r="H45" s="7">
        <v>-4106.24</v>
      </c>
      <c r="I45" s="2"/>
      <c r="J45" s="6">
        <f t="shared" si="31"/>
        <v>-17.206117745652627</v>
      </c>
      <c r="K45" s="2"/>
      <c r="L45" s="7">
        <f t="shared" si="32"/>
        <v>4106.24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-28569.230000000003</v>
      </c>
      <c r="U45" s="2"/>
      <c r="V45" s="6">
        <f t="shared" si="35"/>
        <v>-3.7845603790755997</v>
      </c>
      <c r="W45" s="2"/>
      <c r="X45" s="7">
        <f t="shared" si="36"/>
        <v>28569.230000000003</v>
      </c>
      <c r="Y45" s="2"/>
      <c r="Z45" s="6">
        <f t="shared" si="37"/>
        <v>-1</v>
      </c>
    </row>
    <row r="46" spans="1:26" s="25" customFormat="1" outlineLevel="1" collapsed="1" x14ac:dyDescent="0.25">
      <c r="A46" s="26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0</v>
      </c>
      <c r="E46" s="1"/>
      <c r="F46" s="5">
        <f t="shared" ref="F46:F52" si="38">IF(D$12=0,0,D46/D$12)</f>
        <v>0</v>
      </c>
      <c r="G46" s="1"/>
      <c r="H46" s="1">
        <f>SUM(OSRRefH22_5x_0)</f>
        <v>0</v>
      </c>
      <c r="I46" s="1"/>
      <c r="J46" s="5">
        <f t="shared" ref="J46:J52" si="39">IF(H$12=0,0,H46/H$12)</f>
        <v>0</v>
      </c>
      <c r="K46" s="1"/>
      <c r="L46" s="1">
        <f t="shared" ref="L46:L52" si="40">+D46-H46</f>
        <v>0</v>
      </c>
      <c r="M46" s="1"/>
      <c r="N46" s="5">
        <f t="shared" ref="N46:N52" si="41">IF(H46=0,0,L46/H46)</f>
        <v>0</v>
      </c>
      <c r="O46" s="13"/>
      <c r="P46" s="1">
        <f>SUM(OSRRefP22_5x_0)</f>
        <v>0</v>
      </c>
      <c r="Q46" s="1"/>
      <c r="R46" s="5">
        <f t="shared" ref="R46:R52" si="42">IF(P$12=0,0,P46/P$12)</f>
        <v>0</v>
      </c>
      <c r="S46" s="1"/>
      <c r="T46" s="1">
        <f>SUM(OSRRefT22_5x_0)</f>
        <v>80.17</v>
      </c>
      <c r="U46" s="1"/>
      <c r="V46" s="5">
        <f t="shared" ref="V46:V52" si="43">IF(T$12=0,0,T46/T$12)</f>
        <v>1.0620104412701736E-2</v>
      </c>
      <c r="W46" s="1"/>
      <c r="X46" s="1">
        <f t="shared" ref="X46:X52" si="44">+P46-T46</f>
        <v>-80.17</v>
      </c>
      <c r="Y46" s="1"/>
      <c r="Z46" s="5">
        <f t="shared" ref="Z46:Z52" si="45">IF(T46=0,0,X46/T46)</f>
        <v>-1</v>
      </c>
    </row>
    <row r="47" spans="1:26" s="24" customFormat="1" hidden="1" outlineLevel="2" x14ac:dyDescent="0.25">
      <c r="A47" s="27"/>
      <c r="B47" s="11" t="str">
        <f>CONCATENATE("          ", "6279", " - ", "GENERAL EXPENSE")</f>
        <v xml:space="preserve">          6279 - GENERAL EXPENSE</v>
      </c>
      <c r="C47" s="11"/>
      <c r="D47" s="7"/>
      <c r="E47" s="2"/>
      <c r="F47" s="6">
        <f t="shared" si="38"/>
        <v>0</v>
      </c>
      <c r="G47" s="2"/>
      <c r="H47" s="7"/>
      <c r="I47" s="2"/>
      <c r="J47" s="6">
        <f t="shared" si="39"/>
        <v>0</v>
      </c>
      <c r="K47" s="2"/>
      <c r="L47" s="7">
        <f t="shared" si="40"/>
        <v>0</v>
      </c>
      <c r="M47" s="2"/>
      <c r="N47" s="6">
        <f t="shared" si="41"/>
        <v>0</v>
      </c>
      <c r="O47" s="11"/>
      <c r="P47" s="7"/>
      <c r="Q47" s="2"/>
      <c r="R47" s="6">
        <f t="shared" si="42"/>
        <v>0</v>
      </c>
      <c r="S47" s="2"/>
      <c r="T47" s="7">
        <v>80.17</v>
      </c>
      <c r="U47" s="2"/>
      <c r="V47" s="6">
        <f t="shared" si="43"/>
        <v>1.0620104412701736E-2</v>
      </c>
      <c r="W47" s="2"/>
      <c r="X47" s="7">
        <f t="shared" si="44"/>
        <v>-80.17</v>
      </c>
      <c r="Y47" s="2"/>
      <c r="Z47" s="6">
        <f t="shared" si="45"/>
        <v>-1</v>
      </c>
    </row>
    <row r="48" spans="1:26" s="25" customFormat="1" outlineLevel="1" collapsed="1" x14ac:dyDescent="0.25">
      <c r="A48" s="26"/>
      <c r="B48" s="13" t="str">
        <f>CONCATENATE("     ","Inventory Adjustment                              ")</f>
        <v xml:space="preserve">     Inventory Adjustment                              </v>
      </c>
      <c r="C48" s="13"/>
      <c r="D48" s="1">
        <f>SUM(OSRRefD22_6x_0)</f>
        <v>0</v>
      </c>
      <c r="E48" s="1"/>
      <c r="F48" s="5">
        <f t="shared" si="38"/>
        <v>0</v>
      </c>
      <c r="G48" s="1"/>
      <c r="H48" s="1">
        <f>SUM(OSRRefH22_6x_0)</f>
        <v>100</v>
      </c>
      <c r="I48" s="1"/>
      <c r="J48" s="5">
        <f t="shared" si="39"/>
        <v>0.41902367483762831</v>
      </c>
      <c r="K48" s="1"/>
      <c r="L48" s="1">
        <f t="shared" si="40"/>
        <v>-100</v>
      </c>
      <c r="M48" s="1"/>
      <c r="N48" s="5">
        <f t="shared" si="41"/>
        <v>-1</v>
      </c>
      <c r="O48" s="13"/>
      <c r="P48" s="1">
        <f>SUM(OSRRefP22_6x_0)</f>
        <v>0</v>
      </c>
      <c r="Q48" s="1"/>
      <c r="R48" s="5">
        <f t="shared" si="42"/>
        <v>0</v>
      </c>
      <c r="S48" s="1"/>
      <c r="T48" s="1">
        <f>SUM(OSRRefT22_6x_0)</f>
        <v>500</v>
      </c>
      <c r="U48" s="1"/>
      <c r="V48" s="5">
        <f t="shared" si="43"/>
        <v>6.6234903409640361E-2</v>
      </c>
      <c r="W48" s="1"/>
      <c r="X48" s="1">
        <f t="shared" si="44"/>
        <v>-500</v>
      </c>
      <c r="Y48" s="1"/>
      <c r="Z48" s="5">
        <f t="shared" si="45"/>
        <v>-1</v>
      </c>
    </row>
    <row r="49" spans="1:26" s="24" customFormat="1" hidden="1" outlineLevel="2" x14ac:dyDescent="0.25">
      <c r="A49" s="27"/>
      <c r="B49" s="11" t="str">
        <f>CONCATENATE("          ", "6408", " - ", "INVENTORY ADJUSTMENT")</f>
        <v xml:space="preserve">          6408 - INVENTORY ADJUSTMENT</v>
      </c>
      <c r="C49" s="11"/>
      <c r="D49" s="7"/>
      <c r="E49" s="2"/>
      <c r="F49" s="6">
        <f t="shared" si="38"/>
        <v>0</v>
      </c>
      <c r="G49" s="2"/>
      <c r="H49" s="7">
        <v>100</v>
      </c>
      <c r="I49" s="2"/>
      <c r="J49" s="6">
        <f t="shared" si="39"/>
        <v>0.41902367483762831</v>
      </c>
      <c r="K49" s="2"/>
      <c r="L49" s="7">
        <f t="shared" si="40"/>
        <v>-100</v>
      </c>
      <c r="M49" s="2"/>
      <c r="N49" s="6">
        <f t="shared" si="41"/>
        <v>-1</v>
      </c>
      <c r="O49" s="11"/>
      <c r="P49" s="7"/>
      <c r="Q49" s="2"/>
      <c r="R49" s="6">
        <f t="shared" si="42"/>
        <v>0</v>
      </c>
      <c r="S49" s="2"/>
      <c r="T49" s="7">
        <v>500</v>
      </c>
      <c r="U49" s="2"/>
      <c r="V49" s="6">
        <f t="shared" si="43"/>
        <v>6.6234903409640361E-2</v>
      </c>
      <c r="W49" s="2"/>
      <c r="X49" s="7">
        <f t="shared" si="44"/>
        <v>-500</v>
      </c>
      <c r="Y49" s="2"/>
      <c r="Z49" s="6">
        <f t="shared" si="45"/>
        <v>-1</v>
      </c>
    </row>
    <row r="50" spans="1:26" s="25" customFormat="1" outlineLevel="1" collapsed="1" x14ac:dyDescent="0.25">
      <c r="A50" s="26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0</v>
      </c>
      <c r="E50" s="1"/>
      <c r="F50" s="5">
        <f t="shared" si="38"/>
        <v>0</v>
      </c>
      <c r="G50" s="1"/>
      <c r="H50" s="1">
        <f>SUM(OSRRefH22_7x_0)</f>
        <v>6.05</v>
      </c>
      <c r="I50" s="1"/>
      <c r="J50" s="5">
        <f t="shared" si="39"/>
        <v>2.5350932327676514E-2</v>
      </c>
      <c r="K50" s="1"/>
      <c r="L50" s="1">
        <f t="shared" si="40"/>
        <v>-6.05</v>
      </c>
      <c r="M50" s="1"/>
      <c r="N50" s="5">
        <f t="shared" si="41"/>
        <v>-1</v>
      </c>
      <c r="O50" s="13"/>
      <c r="P50" s="1">
        <f>SUM(OSRRefP22_7x_0)</f>
        <v>0</v>
      </c>
      <c r="Q50" s="1"/>
      <c r="R50" s="5">
        <f t="shared" si="42"/>
        <v>0</v>
      </c>
      <c r="S50" s="1"/>
      <c r="T50" s="1">
        <f>SUM(OSRRefT22_7x_0)</f>
        <v>5180.68</v>
      </c>
      <c r="U50" s="1"/>
      <c r="V50" s="5">
        <f t="shared" si="43"/>
        <v>0.68628367879251129</v>
      </c>
      <c r="W50" s="1"/>
      <c r="X50" s="1">
        <f t="shared" si="44"/>
        <v>-5180.68</v>
      </c>
      <c r="Y50" s="1"/>
      <c r="Z50" s="5">
        <f t="shared" si="45"/>
        <v>-1</v>
      </c>
    </row>
    <row r="51" spans="1:26" s="24" customFormat="1" hidden="1" outlineLevel="2" x14ac:dyDescent="0.25">
      <c r="A51" s="27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38"/>
        <v>0</v>
      </c>
      <c r="G51" s="2"/>
      <c r="H51" s="7">
        <v>11.25</v>
      </c>
      <c r="I51" s="2"/>
      <c r="J51" s="6">
        <f t="shared" si="39"/>
        <v>4.7140163419233189E-2</v>
      </c>
      <c r="K51" s="2"/>
      <c r="L51" s="7">
        <f t="shared" si="40"/>
        <v>-11.25</v>
      </c>
      <c r="M51" s="2"/>
      <c r="N51" s="6">
        <f t="shared" si="41"/>
        <v>-1</v>
      </c>
      <c r="O51" s="11"/>
      <c r="P51" s="7"/>
      <c r="Q51" s="2"/>
      <c r="R51" s="6">
        <f t="shared" si="42"/>
        <v>0</v>
      </c>
      <c r="S51" s="2"/>
      <c r="T51" s="7">
        <v>126.27</v>
      </c>
      <c r="U51" s="2"/>
      <c r="V51" s="6">
        <f t="shared" si="43"/>
        <v>1.6726962507070578E-2</v>
      </c>
      <c r="W51" s="2"/>
      <c r="X51" s="7">
        <f t="shared" si="44"/>
        <v>-126.27</v>
      </c>
      <c r="Y51" s="2"/>
      <c r="Z51" s="6">
        <f t="shared" si="45"/>
        <v>-1</v>
      </c>
    </row>
    <row r="52" spans="1:26" s="24" customFormat="1" hidden="1" outlineLevel="2" x14ac:dyDescent="0.25">
      <c r="A52" s="27"/>
      <c r="B52" s="11" t="str">
        <f>CONCATENATE("          ", "6247", " - ", "STORE SUPPLIES")</f>
        <v xml:space="preserve">          6247 - STORE SUPPLIES</v>
      </c>
      <c r="C52" s="11"/>
      <c r="D52" s="7"/>
      <c r="E52" s="2"/>
      <c r="F52" s="6">
        <f t="shared" si="38"/>
        <v>0</v>
      </c>
      <c r="G52" s="2"/>
      <c r="H52" s="7">
        <v>-5.2</v>
      </c>
      <c r="I52" s="2"/>
      <c r="J52" s="6">
        <f t="shared" si="39"/>
        <v>-2.1789231091556675E-2</v>
      </c>
      <c r="K52" s="2"/>
      <c r="L52" s="7">
        <f t="shared" si="40"/>
        <v>5.2</v>
      </c>
      <c r="M52" s="2"/>
      <c r="N52" s="6">
        <f t="shared" si="41"/>
        <v>-1</v>
      </c>
      <c r="O52" s="11"/>
      <c r="P52" s="7"/>
      <c r="Q52" s="2"/>
      <c r="R52" s="6">
        <f t="shared" si="42"/>
        <v>0</v>
      </c>
      <c r="S52" s="2"/>
      <c r="T52" s="7">
        <v>5054.41</v>
      </c>
      <c r="U52" s="2"/>
      <c r="V52" s="6">
        <f t="shared" si="43"/>
        <v>0.66955671628544067</v>
      </c>
      <c r="W52" s="2"/>
      <c r="X52" s="7">
        <f t="shared" si="44"/>
        <v>-5054.41</v>
      </c>
      <c r="Y52" s="2"/>
      <c r="Z52" s="6">
        <f t="shared" si="45"/>
        <v>-1</v>
      </c>
    </row>
    <row r="53" spans="1:26" s="25" customFormat="1" outlineLevel="1" collapsed="1" x14ac:dyDescent="0.25">
      <c r="A53" s="26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SUM(OSRRefD22_8x_0)</f>
        <v>0</v>
      </c>
      <c r="E53" s="1"/>
      <c r="F53" s="5">
        <f t="shared" ref="F53:F54" si="46">IF(D$12=0,0,D53/D$12)</f>
        <v>0</v>
      </c>
      <c r="G53" s="1"/>
      <c r="H53" s="1">
        <f>SUM(OSRRefH22_8x_0)</f>
        <v>91.65</v>
      </c>
      <c r="I53" s="1"/>
      <c r="J53" s="5">
        <f t="shared" ref="J53:J54" si="47">IF(H$12=0,0,H53/H$12)</f>
        <v>0.38403519798868635</v>
      </c>
      <c r="K53" s="1"/>
      <c r="L53" s="1">
        <f t="shared" ref="L53:L54" si="48">+D53-H53</f>
        <v>-91.65</v>
      </c>
      <c r="M53" s="1"/>
      <c r="N53" s="5">
        <f t="shared" ref="N53:N54" si="49">IF(H53=0,0,L53/H53)</f>
        <v>-1</v>
      </c>
      <c r="O53" s="13"/>
      <c r="P53" s="1">
        <f>SUM(OSRRefP22_8x_0)</f>
        <v>0</v>
      </c>
      <c r="Q53" s="1"/>
      <c r="R53" s="5">
        <f t="shared" ref="R53:R54" si="50">IF(P$12=0,0,P53/P$12)</f>
        <v>0</v>
      </c>
      <c r="S53" s="1"/>
      <c r="T53" s="1">
        <f>SUM(OSRRefT22_8x_0)</f>
        <v>410.9</v>
      </c>
      <c r="U53" s="1"/>
      <c r="V53" s="5">
        <f t="shared" ref="V53:V54" si="51">IF(T$12=0,0,T53/T$12)</f>
        <v>5.4431843622042446E-2</v>
      </c>
      <c r="W53" s="1"/>
      <c r="X53" s="1">
        <f t="shared" ref="X53:X54" si="52">+P53-T53</f>
        <v>-410.9</v>
      </c>
      <c r="Y53" s="1"/>
      <c r="Z53" s="5">
        <f t="shared" ref="Z53:Z54" si="53">IF(T53=0,0,X53/T53)</f>
        <v>-1</v>
      </c>
    </row>
    <row r="54" spans="1:26" s="24" customFormat="1" hidden="1" outlineLevel="2" x14ac:dyDescent="0.25">
      <c r="A54" s="27"/>
      <c r="B54" s="11" t="str">
        <f>CONCATENATE("          ", "6309", " - ", "TELEPHONE")</f>
        <v xml:space="preserve">          6309 - TELEPHONE</v>
      </c>
      <c r="C54" s="11"/>
      <c r="D54" s="7"/>
      <c r="E54" s="2"/>
      <c r="F54" s="6">
        <f t="shared" si="46"/>
        <v>0</v>
      </c>
      <c r="G54" s="2"/>
      <c r="H54" s="7">
        <v>91.65</v>
      </c>
      <c r="I54" s="2"/>
      <c r="J54" s="6">
        <f t="shared" si="47"/>
        <v>0.38403519798868635</v>
      </c>
      <c r="K54" s="2"/>
      <c r="L54" s="7">
        <f t="shared" si="48"/>
        <v>-91.65</v>
      </c>
      <c r="M54" s="2"/>
      <c r="N54" s="6">
        <f t="shared" si="49"/>
        <v>-1</v>
      </c>
      <c r="O54" s="11"/>
      <c r="P54" s="7"/>
      <c r="Q54" s="2"/>
      <c r="R54" s="6">
        <f t="shared" si="50"/>
        <v>0</v>
      </c>
      <c r="S54" s="2"/>
      <c r="T54" s="7">
        <v>410.9</v>
      </c>
      <c r="U54" s="2"/>
      <c r="V54" s="6">
        <f t="shared" si="51"/>
        <v>5.4431843622042446E-2</v>
      </c>
      <c r="W54" s="2"/>
      <c r="X54" s="7">
        <f t="shared" si="52"/>
        <v>-410.9</v>
      </c>
      <c r="Y54" s="2"/>
      <c r="Z54" s="6">
        <f t="shared" si="53"/>
        <v>-1</v>
      </c>
    </row>
    <row r="55" spans="1:26" s="55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collapsed="1" x14ac:dyDescent="0.25">
      <c r="A56" s="10"/>
      <c r="B56" s="29" t="s">
        <v>0</v>
      </c>
      <c r="C56" s="10"/>
      <c r="D56" s="4">
        <f>SUM(OSRRefD25x_0)</f>
        <v>0</v>
      </c>
      <c r="E56" s="4"/>
      <c r="F56" s="12">
        <f t="shared" ref="F56:F61" si="54">IF(D$12=0,0,D56/D$12)</f>
        <v>0</v>
      </c>
      <c r="G56" s="4"/>
      <c r="H56" s="4">
        <f>SUM(OSRRefH25x_0)</f>
        <v>0</v>
      </c>
      <c r="I56" s="4"/>
      <c r="J56" s="12">
        <f t="shared" ref="J56:J61" si="55">IF(H$12=0,0,H56/H$12)</f>
        <v>0</v>
      </c>
      <c r="K56" s="4"/>
      <c r="L56" s="4">
        <f t="shared" ref="L56:L61" si="56">+D56-H56</f>
        <v>0</v>
      </c>
      <c r="M56" s="4"/>
      <c r="N56" s="12">
        <f t="shared" ref="N56:N61" si="57">IF(H56=0,0,L56/H56)</f>
        <v>0</v>
      </c>
      <c r="O56" s="10"/>
      <c r="P56" s="4">
        <f>SUM(OSRRefP25x_0)</f>
        <v>0</v>
      </c>
      <c r="Q56" s="4"/>
      <c r="R56" s="12">
        <f t="shared" ref="R56:R61" si="58">IF(P$12=0,0,P56/P$12)</f>
        <v>0</v>
      </c>
      <c r="S56" s="4"/>
      <c r="T56" s="4">
        <f>SUM(OSRRefT25x_0)</f>
        <v>85733.4</v>
      </c>
      <c r="U56" s="4"/>
      <c r="V56" s="12">
        <f t="shared" ref="V56:V61" si="59">IF(T$12=0,0,T56/T$12)</f>
        <v>11.357086935960121</v>
      </c>
      <c r="W56" s="4"/>
      <c r="X56" s="4">
        <f t="shared" ref="X56:X61" si="60">+P56-T56</f>
        <v>-85733.4</v>
      </c>
      <c r="Y56" s="4"/>
      <c r="Z56" s="12">
        <f t="shared" ref="Z56:Z61" si="61">IF(T56=0,0,X56/T56)</f>
        <v>-1</v>
      </c>
    </row>
    <row r="57" spans="1:26" s="24" customFormat="1" hidden="1" outlineLevel="1" x14ac:dyDescent="0.25">
      <c r="A57" s="44"/>
      <c r="B57" s="11" t="str">
        <f>CONCATENATE("          ", "4098", " - ", "TAXABLE SALES-GRAD RENTALS")</f>
        <v xml:space="preserve">          4098 - TAXABLE SALES-GRAD RENTALS</v>
      </c>
      <c r="C57" s="11"/>
      <c r="D57" s="2">
        <f t="shared" ref="D57:D61" si="62">0</f>
        <v>0</v>
      </c>
      <c r="E57" s="2"/>
      <c r="F57" s="19">
        <f t="shared" si="54"/>
        <v>0</v>
      </c>
      <c r="G57" s="2"/>
      <c r="H57" s="2">
        <f t="shared" ref="H57:H61" si="63">0</f>
        <v>0</v>
      </c>
      <c r="I57" s="2"/>
      <c r="J57" s="19">
        <f t="shared" si="55"/>
        <v>0</v>
      </c>
      <c r="K57" s="2"/>
      <c r="L57" s="2">
        <f t="shared" si="56"/>
        <v>0</v>
      </c>
      <c r="M57" s="2"/>
      <c r="N57" s="19">
        <f t="shared" si="57"/>
        <v>0</v>
      </c>
      <c r="O57" s="11"/>
      <c r="P57" s="2">
        <f t="shared" ref="P57:P61" si="64">0</f>
        <v>0</v>
      </c>
      <c r="Q57" s="2"/>
      <c r="R57" s="19">
        <f t="shared" si="58"/>
        <v>0</v>
      </c>
      <c r="S57" s="2"/>
      <c r="T57" s="2">
        <f>--1626.85</f>
        <v>1626.85</v>
      </c>
      <c r="U57" s="2"/>
      <c r="V57" s="19">
        <f t="shared" si="59"/>
        <v>0.21550850522394685</v>
      </c>
      <c r="W57" s="2"/>
      <c r="X57" s="2">
        <f t="shared" si="60"/>
        <v>-1626.85</v>
      </c>
      <c r="Y57" s="2"/>
      <c r="Z57" s="19">
        <f t="shared" si="61"/>
        <v>-1</v>
      </c>
    </row>
    <row r="58" spans="1:26" s="24" customFormat="1" hidden="1" outlineLevel="1" x14ac:dyDescent="0.25">
      <c r="A58" s="44"/>
      <c r="B58" s="11" t="str">
        <f>CONCATENATE("          ", "4197", " - ", "NON-TAXABLE SALES-RETURNED CHE")</f>
        <v xml:space="preserve">          4197 - NON-TAXABLE SALES-RETURNED CHE</v>
      </c>
      <c r="C58" s="11"/>
      <c r="D58" s="2">
        <f t="shared" si="62"/>
        <v>0</v>
      </c>
      <c r="E58" s="2"/>
      <c r="F58" s="19">
        <f t="shared" si="54"/>
        <v>0</v>
      </c>
      <c r="G58" s="2"/>
      <c r="H58" s="2">
        <f t="shared" si="63"/>
        <v>0</v>
      </c>
      <c r="I58" s="2"/>
      <c r="J58" s="19">
        <f t="shared" si="55"/>
        <v>0</v>
      </c>
      <c r="K58" s="2"/>
      <c r="L58" s="2">
        <f t="shared" si="56"/>
        <v>0</v>
      </c>
      <c r="M58" s="2"/>
      <c r="N58" s="19">
        <f t="shared" si="57"/>
        <v>0</v>
      </c>
      <c r="O58" s="11"/>
      <c r="P58" s="2">
        <f t="shared" si="64"/>
        <v>0</v>
      </c>
      <c r="Q58" s="2"/>
      <c r="R58" s="19">
        <f t="shared" si="58"/>
        <v>0</v>
      </c>
      <c r="S58" s="2"/>
      <c r="T58" s="2">
        <f>--30</f>
        <v>30</v>
      </c>
      <c r="U58" s="2"/>
      <c r="V58" s="19">
        <f t="shared" si="59"/>
        <v>3.974094204578422E-3</v>
      </c>
      <c r="W58" s="2"/>
      <c r="X58" s="2">
        <f t="shared" si="60"/>
        <v>-30</v>
      </c>
      <c r="Y58" s="2"/>
      <c r="Z58" s="19">
        <f t="shared" si="61"/>
        <v>-1</v>
      </c>
    </row>
    <row r="59" spans="1:26" s="24" customFormat="1" hidden="1" outlineLevel="1" x14ac:dyDescent="0.25">
      <c r="A59" s="44"/>
      <c r="B59" s="11" t="str">
        <f>CONCATENATE("          ", "4198", " - ", "NON-TAXABLE SALES-GRAD RENTALS")</f>
        <v xml:space="preserve">          4198 - NON-TAXABLE SALES-GRAD RENTALS</v>
      </c>
      <c r="C59" s="11"/>
      <c r="D59" s="2">
        <f t="shared" si="62"/>
        <v>0</v>
      </c>
      <c r="E59" s="2"/>
      <c r="F59" s="19">
        <f t="shared" si="54"/>
        <v>0</v>
      </c>
      <c r="G59" s="2"/>
      <c r="H59" s="2">
        <f t="shared" si="63"/>
        <v>0</v>
      </c>
      <c r="I59" s="2"/>
      <c r="J59" s="19">
        <f t="shared" si="55"/>
        <v>0</v>
      </c>
      <c r="K59" s="2"/>
      <c r="L59" s="2">
        <f t="shared" si="56"/>
        <v>0</v>
      </c>
      <c r="M59" s="2"/>
      <c r="N59" s="19">
        <f t="shared" si="57"/>
        <v>0</v>
      </c>
      <c r="O59" s="11"/>
      <c r="P59" s="2">
        <f t="shared" si="64"/>
        <v>0</v>
      </c>
      <c r="Q59" s="2"/>
      <c r="R59" s="19">
        <f t="shared" si="58"/>
        <v>0</v>
      </c>
      <c r="S59" s="2"/>
      <c r="T59" s="2">
        <f>--495</f>
        <v>495</v>
      </c>
      <c r="U59" s="2"/>
      <c r="V59" s="19">
        <f t="shared" si="59"/>
        <v>6.5572554375543962E-2</v>
      </c>
      <c r="W59" s="2"/>
      <c r="X59" s="2">
        <f t="shared" si="60"/>
        <v>-495</v>
      </c>
      <c r="Y59" s="2"/>
      <c r="Z59" s="19">
        <f t="shared" si="61"/>
        <v>-1</v>
      </c>
    </row>
    <row r="60" spans="1:26" s="24" customFormat="1" hidden="1" outlineLevel="1" x14ac:dyDescent="0.25">
      <c r="A60" s="44"/>
      <c r="B60" s="11" t="str">
        <f>CONCATENATE("          ", "9160", " - ", "MISC. INCOME")</f>
        <v xml:space="preserve">          9160 - MISC. INCOME</v>
      </c>
      <c r="C60" s="11"/>
      <c r="D60" s="2">
        <f t="shared" si="62"/>
        <v>0</v>
      </c>
      <c r="E60" s="2"/>
      <c r="F60" s="19">
        <f t="shared" si="54"/>
        <v>0</v>
      </c>
      <c r="G60" s="2"/>
      <c r="H60" s="2">
        <f t="shared" si="63"/>
        <v>0</v>
      </c>
      <c r="I60" s="2"/>
      <c r="J60" s="19">
        <f t="shared" si="55"/>
        <v>0</v>
      </c>
      <c r="K60" s="2"/>
      <c r="L60" s="2">
        <f t="shared" si="56"/>
        <v>0</v>
      </c>
      <c r="M60" s="2"/>
      <c r="N60" s="19">
        <f t="shared" si="57"/>
        <v>0</v>
      </c>
      <c r="O60" s="11"/>
      <c r="P60" s="2">
        <f t="shared" si="64"/>
        <v>0</v>
      </c>
      <c r="Q60" s="2"/>
      <c r="R60" s="19">
        <f t="shared" si="58"/>
        <v>0</v>
      </c>
      <c r="S60" s="2"/>
      <c r="T60" s="2">
        <f>--22475</f>
        <v>22475</v>
      </c>
      <c r="U60" s="2"/>
      <c r="V60" s="19">
        <f t="shared" si="59"/>
        <v>2.9772589082633343</v>
      </c>
      <c r="W60" s="2"/>
      <c r="X60" s="2">
        <f t="shared" si="60"/>
        <v>-22475</v>
      </c>
      <c r="Y60" s="2"/>
      <c r="Z60" s="19">
        <f t="shared" si="61"/>
        <v>-1</v>
      </c>
    </row>
    <row r="61" spans="1:26" s="24" customFormat="1" hidden="1" outlineLevel="1" x14ac:dyDescent="0.25">
      <c r="A61" s="44"/>
      <c r="B61" s="11" t="str">
        <f>CONCATENATE("          ", "9163", " - ", "MISC. INCOME")</f>
        <v xml:space="preserve">          9163 - MISC. INCOME</v>
      </c>
      <c r="C61" s="11"/>
      <c r="D61" s="2">
        <f t="shared" si="62"/>
        <v>0</v>
      </c>
      <c r="E61" s="2"/>
      <c r="F61" s="19">
        <f t="shared" si="54"/>
        <v>0</v>
      </c>
      <c r="G61" s="2"/>
      <c r="H61" s="2">
        <f t="shared" si="63"/>
        <v>0</v>
      </c>
      <c r="I61" s="2"/>
      <c r="J61" s="19">
        <f t="shared" si="55"/>
        <v>0</v>
      </c>
      <c r="K61" s="2"/>
      <c r="L61" s="2">
        <f t="shared" si="56"/>
        <v>0</v>
      </c>
      <c r="M61" s="2"/>
      <c r="N61" s="19">
        <f t="shared" si="57"/>
        <v>0</v>
      </c>
      <c r="O61" s="11"/>
      <c r="P61" s="2">
        <f t="shared" si="64"/>
        <v>0</v>
      </c>
      <c r="Q61" s="2"/>
      <c r="R61" s="19">
        <f t="shared" si="58"/>
        <v>0</v>
      </c>
      <c r="S61" s="2"/>
      <c r="T61" s="2">
        <f>--61106.55</f>
        <v>61106.55</v>
      </c>
      <c r="U61" s="2"/>
      <c r="V61" s="19">
        <f t="shared" si="59"/>
        <v>8.0947728738927189</v>
      </c>
      <c r="W61" s="2"/>
      <c r="X61" s="2">
        <f t="shared" si="60"/>
        <v>-61106.55</v>
      </c>
      <c r="Y61" s="2"/>
      <c r="Z61" s="19">
        <f t="shared" si="61"/>
        <v>-1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8" t="s">
        <v>3</v>
      </c>
      <c r="C63" s="28"/>
      <c r="D63" s="20">
        <f>+D24-D26+D56</f>
        <v>0</v>
      </c>
      <c r="E63" s="14"/>
      <c r="F63" s="21">
        <f>IF(D$12=0,0,D63/D$12)</f>
        <v>0</v>
      </c>
      <c r="G63" s="14"/>
      <c r="H63" s="20">
        <f>+H24-H26+H56</f>
        <v>613.09999999999968</v>
      </c>
      <c r="I63" s="14"/>
      <c r="J63" s="21">
        <f>IF(H$12=0,0,H63/H$12)</f>
        <v>2.569034150429498</v>
      </c>
      <c r="K63" s="15"/>
      <c r="L63" s="20">
        <f>+D63-H63</f>
        <v>-613.09999999999968</v>
      </c>
      <c r="M63" s="15"/>
      <c r="N63" s="21">
        <f>IF(H63=0,0,L63/H63)</f>
        <v>-1</v>
      </c>
      <c r="O63" s="29"/>
      <c r="P63" s="20">
        <f>+P24-P26+P56</f>
        <v>0</v>
      </c>
      <c r="Q63" s="14"/>
      <c r="R63" s="21">
        <f>IF(P$12=0,0,P63/P$12)</f>
        <v>0</v>
      </c>
      <c r="S63" s="14"/>
      <c r="T63" s="20">
        <f>+T24-T26+T56</f>
        <v>86963.01</v>
      </c>
      <c r="U63" s="14"/>
      <c r="V63" s="21">
        <f>IF(T$12=0,0,T63/T$12)</f>
        <v>11.519973135123177</v>
      </c>
      <c r="W63" s="15"/>
      <c r="X63" s="20">
        <f>+P63-T63</f>
        <v>-86963.01</v>
      </c>
      <c r="Y63" s="15"/>
      <c r="Z63" s="21">
        <f>IF(T63=0,0,X63/T63)</f>
        <v>-1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/>
      <c r="E65" s="4"/>
      <c r="F65" s="12">
        <f>IF(D$12=0,0,D65/D$12)</f>
        <v>0</v>
      </c>
      <c r="G65" s="4"/>
      <c r="H65" s="4">
        <v>41.24</v>
      </c>
      <c r="I65" s="4"/>
      <c r="J65" s="12">
        <f>IF(H$12=0,0,H65/H$12)</f>
        <v>0.17280536350303793</v>
      </c>
      <c r="K65" s="4"/>
      <c r="L65" s="4">
        <f>+D65-H65</f>
        <v>-41.24</v>
      </c>
      <c r="M65" s="4"/>
      <c r="N65" s="12">
        <f>IF(H65=0,0,L65/H65)</f>
        <v>-1</v>
      </c>
      <c r="O65" s="10"/>
      <c r="P65" s="4"/>
      <c r="Q65" s="4"/>
      <c r="R65" s="12">
        <f>IF(P$12=0,0,P65/P$12)</f>
        <v>0</v>
      </c>
      <c r="S65" s="4"/>
      <c r="T65" s="4">
        <v>815.34</v>
      </c>
      <c r="U65" s="4"/>
      <c r="V65" s="12">
        <f>IF(T$12=0,0,T65/T$12)</f>
        <v>0.10800793229203236</v>
      </c>
      <c r="W65" s="4"/>
      <c r="X65" s="4">
        <f>+P65-T65</f>
        <v>-815.34</v>
      </c>
      <c r="Y65" s="4"/>
      <c r="Z65" s="12">
        <f>IF(T65=0,0,X65/T65)</f>
        <v>-1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4</v>
      </c>
      <c r="C67" s="28"/>
      <c r="D67" s="33">
        <f>+D63-D65</f>
        <v>0</v>
      </c>
      <c r="E67" s="14"/>
      <c r="F67" s="34">
        <f>IF(D$12=0,0,D67/D$12)</f>
        <v>0</v>
      </c>
      <c r="G67" s="14"/>
      <c r="H67" s="33">
        <f>+H63-H65</f>
        <v>571.85999999999967</v>
      </c>
      <c r="I67" s="14"/>
      <c r="J67" s="34">
        <f>IF(H$12=0,0,H67/H$12)</f>
        <v>2.3962287869264598</v>
      </c>
      <c r="K67" s="15"/>
      <c r="L67" s="33">
        <f>D67-H67</f>
        <v>-571.85999999999967</v>
      </c>
      <c r="M67" s="15"/>
      <c r="N67" s="34">
        <f>IF(H67=0,0,L67/H67)</f>
        <v>-1</v>
      </c>
      <c r="O67" s="29"/>
      <c r="P67" s="33">
        <f>+P63-P65</f>
        <v>0</v>
      </c>
      <c r="Q67" s="14"/>
      <c r="R67" s="34">
        <f>IF(P$12=0,0,P67/P$12)</f>
        <v>0</v>
      </c>
      <c r="S67" s="14"/>
      <c r="T67" s="33">
        <f>+T63-T65</f>
        <v>86147.67</v>
      </c>
      <c r="U67" s="14"/>
      <c r="V67" s="34">
        <f>IF(T$12=0,0,T67/T$12)</f>
        <v>11.411965202831146</v>
      </c>
      <c r="W67" s="15"/>
      <c r="X67" s="33">
        <f>P67-T67</f>
        <v>-86147.67</v>
      </c>
      <c r="Y67" s="15"/>
      <c r="Z67" s="34">
        <f>IF(T67=0,0,X67/T67)</f>
        <v>-1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5</v>
      </c>
      <c r="C70" s="28"/>
      <c r="D70" s="30">
        <f>SUM(D67:D69)</f>
        <v>0</v>
      </c>
      <c r="E70" s="14"/>
      <c r="F70" s="32">
        <f>IF(D$12=0,0,D70/D$12)</f>
        <v>0</v>
      </c>
      <c r="G70" s="14"/>
      <c r="H70" s="30">
        <f>SUM(H67:H69)</f>
        <v>571.85999999999967</v>
      </c>
      <c r="I70" s="14"/>
      <c r="J70" s="32">
        <f>IF(H$12=0,0,H70/H$12)</f>
        <v>2.3962287869264598</v>
      </c>
      <c r="K70" s="15"/>
      <c r="L70" s="30">
        <f>+D70-H70</f>
        <v>-571.85999999999967</v>
      </c>
      <c r="M70" s="15"/>
      <c r="N70" s="32">
        <f>IF(H70=0,0,L70/H70)</f>
        <v>-1</v>
      </c>
      <c r="O70" s="29"/>
      <c r="P70" s="30">
        <f>SUM(P67:P69)</f>
        <v>0</v>
      </c>
      <c r="Q70" s="14"/>
      <c r="R70" s="32">
        <f>IF(P$12=0,0,P70/P$12)</f>
        <v>0</v>
      </c>
      <c r="S70" s="14"/>
      <c r="T70" s="30">
        <f>SUM(T67:T69)</f>
        <v>86147.67</v>
      </c>
      <c r="U70" s="14"/>
      <c r="V70" s="32">
        <f>IF(T$12=0,0,T70/T$12)</f>
        <v>11.411965202831146</v>
      </c>
      <c r="W70" s="15"/>
      <c r="X70" s="30">
        <f>+P70-T70</f>
        <v>-86147.67</v>
      </c>
      <c r="Y70" s="15"/>
      <c r="Z70" s="32">
        <f>IF(T70=0,0,X70/T70)</f>
        <v>-1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8">
        <v>44209.521870138888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61" t="s">
        <v>313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7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310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79441.619999999981</v>
      </c>
      <c r="E12" s="4"/>
      <c r="F12" s="12"/>
      <c r="G12" s="4"/>
      <c r="H12" s="4">
        <f>SUM(OSRRefH13x_0)</f>
        <v>84496.63</v>
      </c>
      <c r="I12" s="4"/>
      <c r="J12" s="12"/>
      <c r="K12" s="4"/>
      <c r="L12" s="4">
        <f t="shared" ref="L12:L37" si="0">+D12-H12</f>
        <v>-5055.0100000000239</v>
      </c>
      <c r="M12" s="4"/>
      <c r="N12" s="12">
        <f t="shared" ref="N12:N37" si="1">IF(H12=0,0,L12/H12)</f>
        <v>-5.9824989469994524E-2</v>
      </c>
      <c r="O12" s="10"/>
      <c r="P12" s="4">
        <f>SUM(OSRRefP13x_0)</f>
        <v>1275344.5200000003</v>
      </c>
      <c r="Q12" s="4"/>
      <c r="R12" s="12"/>
      <c r="S12" s="4"/>
      <c r="T12" s="4">
        <f>SUM(OSRRefT13x_0)</f>
        <v>1583381.76</v>
      </c>
      <c r="U12" s="4"/>
      <c r="V12" s="12"/>
      <c r="W12" s="4"/>
      <c r="X12" s="4">
        <f t="shared" ref="X12:X37" si="2">+P12-T12</f>
        <v>-308037.23999999976</v>
      </c>
      <c r="Y12" s="4"/>
      <c r="Z12" s="12">
        <f t="shared" ref="Z12:Z37" si="3">IF(T12=0,0,X12/T12)</f>
        <v>-0.19454388561353628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-264.66</f>
        <v>-264.66000000000003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-264.66000000000003</v>
      </c>
      <c r="M13" s="2"/>
      <c r="N13" s="19">
        <f t="shared" si="1"/>
        <v>0</v>
      </c>
      <c r="O13" s="11"/>
      <c r="P13" s="2">
        <f>-2308.77</f>
        <v>-2308.77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-2308.77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--860.25</f>
        <v>860.25</v>
      </c>
      <c r="E14" s="2"/>
      <c r="F14" s="19"/>
      <c r="G14" s="2"/>
      <c r="H14" s="2">
        <f>--14554.47</f>
        <v>14554.47</v>
      </c>
      <c r="I14" s="2"/>
      <c r="J14" s="19"/>
      <c r="K14" s="2"/>
      <c r="L14" s="2">
        <f t="shared" si="0"/>
        <v>-13694.22</v>
      </c>
      <c r="M14" s="2"/>
      <c r="N14" s="19">
        <f t="shared" si="1"/>
        <v>-0.94089444686065515</v>
      </c>
      <c r="O14" s="11"/>
      <c r="P14" s="2">
        <f>--56879.52</f>
        <v>56879.519999999997</v>
      </c>
      <c r="Q14" s="2"/>
      <c r="R14" s="19"/>
      <c r="S14" s="2"/>
      <c r="T14" s="2">
        <f>--244135.05</f>
        <v>244135.05</v>
      </c>
      <c r="U14" s="2"/>
      <c r="V14" s="19"/>
      <c r="W14" s="2"/>
      <c r="X14" s="2">
        <f t="shared" si="2"/>
        <v>-187255.53</v>
      </c>
      <c r="Y14" s="2"/>
      <c r="Z14" s="19">
        <f t="shared" si="3"/>
        <v>-0.76701616584755039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--43662</f>
        <v>43662</v>
      </c>
      <c r="E15" s="2"/>
      <c r="F15" s="19"/>
      <c r="G15" s="2"/>
      <c r="H15" s="2">
        <f>--59566.42</f>
        <v>59566.42</v>
      </c>
      <c r="I15" s="2"/>
      <c r="J15" s="19"/>
      <c r="K15" s="2"/>
      <c r="L15" s="2">
        <f t="shared" si="0"/>
        <v>-15904.419999999998</v>
      </c>
      <c r="M15" s="2"/>
      <c r="N15" s="19">
        <f t="shared" si="1"/>
        <v>-0.26700312021437578</v>
      </c>
      <c r="O15" s="11"/>
      <c r="P15" s="2">
        <f>--993256.89</f>
        <v>993256.89</v>
      </c>
      <c r="Q15" s="2"/>
      <c r="R15" s="19"/>
      <c r="S15" s="2"/>
      <c r="T15" s="2">
        <f>--1342335.26</f>
        <v>1342335.26</v>
      </c>
      <c r="U15" s="2"/>
      <c r="V15" s="19"/>
      <c r="W15" s="2"/>
      <c r="X15" s="2">
        <f t="shared" si="2"/>
        <v>-349078.37</v>
      </c>
      <c r="Y15" s="2"/>
      <c r="Z15" s="19">
        <f t="shared" si="3"/>
        <v>-0.26005304367852183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--7787.03</f>
        <v>7787.03</v>
      </c>
      <c r="E16" s="2"/>
      <c r="F16" s="19"/>
      <c r="G16" s="2"/>
      <c r="H16" s="2">
        <f>--6927.18</f>
        <v>6927.18</v>
      </c>
      <c r="I16" s="2"/>
      <c r="J16" s="19"/>
      <c r="K16" s="2"/>
      <c r="L16" s="2">
        <f t="shared" si="0"/>
        <v>859.84999999999945</v>
      </c>
      <c r="M16" s="2"/>
      <c r="N16" s="19">
        <f t="shared" si="1"/>
        <v>0.12412698962637024</v>
      </c>
      <c r="O16" s="11"/>
      <c r="P16" s="2">
        <f>--84637.98</f>
        <v>84637.98</v>
      </c>
      <c r="Q16" s="2"/>
      <c r="R16" s="19"/>
      <c r="S16" s="2"/>
      <c r="T16" s="2">
        <f>--70431.2</f>
        <v>70431.199999999997</v>
      </c>
      <c r="U16" s="2"/>
      <c r="V16" s="19"/>
      <c r="W16" s="2"/>
      <c r="X16" s="2">
        <f t="shared" si="2"/>
        <v>14206.779999999999</v>
      </c>
      <c r="Y16" s="2"/>
      <c r="Z16" s="19">
        <f t="shared" si="3"/>
        <v>0.20171145742227875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>
        <f t="shared" ref="H17:H18" si="4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--1228.99</f>
        <v>1228.99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1228.99</v>
      </c>
      <c r="M18" s="2"/>
      <c r="N18" s="19">
        <f t="shared" si="1"/>
        <v>0</v>
      </c>
      <c r="O18" s="11"/>
      <c r="P18" s="2">
        <f>--2728.94</f>
        <v>2728.94</v>
      </c>
      <c r="Q18" s="2"/>
      <c r="R18" s="19"/>
      <c r="S18" s="2"/>
      <c r="T18" s="2">
        <f>--4407.94</f>
        <v>4407.9399999999996</v>
      </c>
      <c r="U18" s="2"/>
      <c r="V18" s="19"/>
      <c r="W18" s="2"/>
      <c r="X18" s="2">
        <f t="shared" si="2"/>
        <v>-1678.9999999999995</v>
      </c>
      <c r="Y18" s="2"/>
      <c r="Z18" s="19">
        <f t="shared" si="3"/>
        <v>-0.38090355131875653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--27507.98</f>
        <v>27507.98</v>
      </c>
      <c r="E19" s="2"/>
      <c r="F19" s="19"/>
      <c r="G19" s="2"/>
      <c r="H19" s="2">
        <f>--2710.56</f>
        <v>2710.56</v>
      </c>
      <c r="I19" s="2"/>
      <c r="J19" s="19"/>
      <c r="K19" s="2"/>
      <c r="L19" s="2">
        <f t="shared" si="0"/>
        <v>24797.42</v>
      </c>
      <c r="M19" s="2"/>
      <c r="N19" s="19">
        <f t="shared" si="1"/>
        <v>9.1484490289829399</v>
      </c>
      <c r="O19" s="11"/>
      <c r="P19" s="2">
        <f>--57135.58</f>
        <v>57135.58</v>
      </c>
      <c r="Q19" s="2"/>
      <c r="R19" s="19"/>
      <c r="S19" s="2"/>
      <c r="T19" s="2">
        <f>--33078.47</f>
        <v>33078.47</v>
      </c>
      <c r="U19" s="2"/>
      <c r="V19" s="19"/>
      <c r="W19" s="2"/>
      <c r="X19" s="2">
        <f t="shared" si="2"/>
        <v>24057.11</v>
      </c>
      <c r="Y19" s="2"/>
      <c r="Z19" s="19">
        <f t="shared" si="3"/>
        <v>0.72727396400135802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 t="shared" ref="D20:D21" si="5">0</f>
        <v>0</v>
      </c>
      <c r="E20" s="2"/>
      <c r="F20" s="19"/>
      <c r="G20" s="2"/>
      <c r="H20" s="2">
        <f t="shared" ref="H20:H21" si="6"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0</f>
        <v>0</v>
      </c>
      <c r="Q20" s="2"/>
      <c r="R20" s="19"/>
      <c r="S20" s="2"/>
      <c r="T20" s="2">
        <f>--936.91</f>
        <v>936.91</v>
      </c>
      <c r="U20" s="2"/>
      <c r="V20" s="19"/>
      <c r="W20" s="2"/>
      <c r="X20" s="2">
        <f t="shared" si="2"/>
        <v>-936.91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"4181", " - ", "NON-TAXABLE SALES-ELECTRONICS")</f>
        <v xml:space="preserve">          4181 - NON-TAXABLE SALES-ELECTRONICS</v>
      </c>
      <c r="C21" s="11"/>
      <c r="D21" s="2">
        <f t="shared" si="5"/>
        <v>0</v>
      </c>
      <c r="E21" s="2"/>
      <c r="F21" s="19"/>
      <c r="G21" s="2"/>
      <c r="H21" s="2">
        <f t="shared" si="6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--3534.12</f>
        <v>3534.12</v>
      </c>
      <c r="Q21" s="2"/>
      <c r="R21" s="19"/>
      <c r="S21" s="2"/>
      <c r="T21" s="2">
        <f>--1462.51</f>
        <v>1462.51</v>
      </c>
      <c r="U21" s="2"/>
      <c r="V21" s="19"/>
      <c r="W21" s="2"/>
      <c r="X21" s="2">
        <f t="shared" si="2"/>
        <v>2071.6099999999997</v>
      </c>
      <c r="Y21" s="2"/>
      <c r="Z21" s="19">
        <f t="shared" si="3"/>
        <v>1.4164757847809586</v>
      </c>
    </row>
    <row r="22" spans="1:26" s="24" customFormat="1" hidden="1" outlineLevel="1" x14ac:dyDescent="0.25">
      <c r="A22" s="44"/>
      <c r="B22" s="11" t="str">
        <f>CONCATENATE("          ", "4182", " - ", "NON-TAXABLE SALES-COMPUTER HAR")</f>
        <v xml:space="preserve">          4182 - NON-TAXABLE SALES-COMPUTER HAR</v>
      </c>
      <c r="C22" s="11"/>
      <c r="D22" s="2">
        <f>--9513.96</f>
        <v>9513.9599999999991</v>
      </c>
      <c r="E22" s="2"/>
      <c r="F22" s="19"/>
      <c r="G22" s="2"/>
      <c r="H22" s="2">
        <f>--8486</f>
        <v>8486</v>
      </c>
      <c r="I22" s="2"/>
      <c r="J22" s="19"/>
      <c r="K22" s="2"/>
      <c r="L22" s="2">
        <f t="shared" si="0"/>
        <v>1027.9599999999991</v>
      </c>
      <c r="M22" s="2"/>
      <c r="N22" s="19">
        <f t="shared" si="1"/>
        <v>0.12113598868724948</v>
      </c>
      <c r="O22" s="11"/>
      <c r="P22" s="2">
        <f>--164308.31</f>
        <v>164308.31</v>
      </c>
      <c r="Q22" s="2"/>
      <c r="R22" s="19"/>
      <c r="S22" s="2"/>
      <c r="T22" s="2">
        <f>--70795</f>
        <v>70795</v>
      </c>
      <c r="U22" s="2"/>
      <c r="V22" s="19"/>
      <c r="W22" s="2"/>
      <c r="X22" s="2">
        <f t="shared" si="2"/>
        <v>93513.31</v>
      </c>
      <c r="Y22" s="2"/>
      <c r="Z22" s="19">
        <f t="shared" si="3"/>
        <v>1.3209027473691644</v>
      </c>
    </row>
    <row r="23" spans="1:26" s="24" customFormat="1" hidden="1" outlineLevel="1" x14ac:dyDescent="0.25">
      <c r="A23" s="44"/>
      <c r="B23" s="11" t="str">
        <f>CONCATENATE("          ", "4183", " - ", "NON-TAXABLE SALES-COMPUTER EQU")</f>
        <v xml:space="preserve">          4183 - NON-TAXABLE SALES-COMPUTER EQU</v>
      </c>
      <c r="C23" s="11"/>
      <c r="D23" s="2">
        <f>--258.91</f>
        <v>258.91000000000003</v>
      </c>
      <c r="E23" s="2"/>
      <c r="F23" s="19"/>
      <c r="G23" s="2"/>
      <c r="H23" s="2">
        <f>--266.75</f>
        <v>266.75</v>
      </c>
      <c r="I23" s="2"/>
      <c r="J23" s="19"/>
      <c r="K23" s="2"/>
      <c r="L23" s="2">
        <f t="shared" si="0"/>
        <v>-7.839999999999975</v>
      </c>
      <c r="M23" s="2"/>
      <c r="N23" s="19">
        <f t="shared" si="1"/>
        <v>-2.9390815370196721E-2</v>
      </c>
      <c r="O23" s="11"/>
      <c r="P23" s="2">
        <f>--7629.19</f>
        <v>7629.19</v>
      </c>
      <c r="Q23" s="2"/>
      <c r="R23" s="19"/>
      <c r="S23" s="2"/>
      <c r="T23" s="2">
        <f>--3571.63</f>
        <v>3571.63</v>
      </c>
      <c r="U23" s="2"/>
      <c r="V23" s="19"/>
      <c r="W23" s="2"/>
      <c r="X23" s="2">
        <f t="shared" si="2"/>
        <v>4057.5599999999995</v>
      </c>
      <c r="Y23" s="2"/>
      <c r="Z23" s="19">
        <f t="shared" si="3"/>
        <v>1.1360527266262181</v>
      </c>
    </row>
    <row r="24" spans="1:26" s="24" customFormat="1" hidden="1" outlineLevel="1" x14ac:dyDescent="0.25">
      <c r="A24" s="44"/>
      <c r="B24" s="11" t="str">
        <f>CONCATENATE("          ", "4184", " - ", "NON-TAXABLE SALES-SOFTWARE LIC")</f>
        <v xml:space="preserve">          4184 - NON-TAXABLE SALES-SOFTWARE LIC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--2728</f>
        <v>2728</v>
      </c>
      <c r="U24" s="2"/>
      <c r="V24" s="19"/>
      <c r="W24" s="2"/>
      <c r="X24" s="2">
        <f t="shared" si="2"/>
        <v>-2728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"4185", " - ", "NON-TAXABLE SALES-SOFTWARE")</f>
        <v xml:space="preserve">          4185 - NON-TAXABLE SALES-SOFTWARE</v>
      </c>
      <c r="C25" s="11"/>
      <c r="D25" s="2">
        <f>--873.93</f>
        <v>873.93</v>
      </c>
      <c r="E25" s="2"/>
      <c r="F25" s="19"/>
      <c r="G25" s="2"/>
      <c r="H25" s="2">
        <f>--437.97</f>
        <v>437.97</v>
      </c>
      <c r="I25" s="2"/>
      <c r="J25" s="19"/>
      <c r="K25" s="2"/>
      <c r="L25" s="2">
        <f t="shared" si="0"/>
        <v>435.95999999999992</v>
      </c>
      <c r="M25" s="2"/>
      <c r="N25" s="19">
        <f t="shared" si="1"/>
        <v>0.99541064456469597</v>
      </c>
      <c r="O25" s="11"/>
      <c r="P25" s="2">
        <f>--26680.67</f>
        <v>26680.67</v>
      </c>
      <c r="Q25" s="2"/>
      <c r="R25" s="19"/>
      <c r="S25" s="2"/>
      <c r="T25" s="2">
        <f>--9401.84</f>
        <v>9401.84</v>
      </c>
      <c r="U25" s="2"/>
      <c r="V25" s="19"/>
      <c r="W25" s="2"/>
      <c r="X25" s="2">
        <f t="shared" si="2"/>
        <v>17278.829999999998</v>
      </c>
      <c r="Y25" s="2"/>
      <c r="Z25" s="19">
        <f t="shared" si="3"/>
        <v>1.8378136620065857</v>
      </c>
    </row>
    <row r="26" spans="1:26" s="24" customFormat="1" hidden="1" outlineLevel="1" x14ac:dyDescent="0.25">
      <c r="A26" s="44"/>
      <c r="B26" s="11" t="str">
        <f>CONCATENATE("          ", "4186", " - ", "NON-TAXABLE SALES-COMPUTER SUP")</f>
        <v xml:space="preserve">          4186 - NON-TAXABLE SALES-COMPUTER SUP</v>
      </c>
      <c r="C26" s="11"/>
      <c r="D26" s="2">
        <f>--176.22</f>
        <v>176.22</v>
      </c>
      <c r="E26" s="2"/>
      <c r="F26" s="19"/>
      <c r="G26" s="2"/>
      <c r="H26" s="2">
        <f>--49.99</f>
        <v>49.99</v>
      </c>
      <c r="I26" s="2"/>
      <c r="J26" s="19"/>
      <c r="K26" s="2"/>
      <c r="L26" s="2">
        <f t="shared" si="0"/>
        <v>126.22999999999999</v>
      </c>
      <c r="M26" s="2"/>
      <c r="N26" s="19">
        <f t="shared" si="1"/>
        <v>2.5251050210042005</v>
      </c>
      <c r="O26" s="11"/>
      <c r="P26" s="2">
        <f>--1949.99</f>
        <v>1949.99</v>
      </c>
      <c r="Q26" s="2"/>
      <c r="R26" s="19"/>
      <c r="S26" s="2"/>
      <c r="T26" s="2">
        <f>--1653.36</f>
        <v>1653.36</v>
      </c>
      <c r="U26" s="2"/>
      <c r="V26" s="19"/>
      <c r="W26" s="2"/>
      <c r="X26" s="2">
        <f t="shared" si="2"/>
        <v>296.63000000000011</v>
      </c>
      <c r="Y26" s="2"/>
      <c r="Z26" s="19">
        <f t="shared" si="3"/>
        <v>0.17941041273527855</v>
      </c>
    </row>
    <row r="27" spans="1:26" s="24" customFormat="1" hidden="1" outlineLevel="1" x14ac:dyDescent="0.25">
      <c r="A27" s="44"/>
      <c r="B27" s="11" t="str">
        <f>CONCATENATE("          ", "4188", " - ", "NON-TAXABLE SALES-MUSIC")</f>
        <v xml:space="preserve">          4188 - NON-TAXABLE SALES-MUSIC</v>
      </c>
      <c r="C27" s="11"/>
      <c r="D27" s="2">
        <f t="shared" ref="D27:D28" si="7"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--219.96</f>
        <v>219.96</v>
      </c>
      <c r="U27" s="2"/>
      <c r="V27" s="19"/>
      <c r="W27" s="2"/>
      <c r="X27" s="2">
        <f t="shared" si="2"/>
        <v>-219.96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"4281", " - ", "SALES RETURN TAXABLE-ELECTRONI")</f>
        <v xml:space="preserve">          4281 - SALES RETURN TAXABLE-ELECTRONI</v>
      </c>
      <c r="C28" s="11"/>
      <c r="D28" s="2">
        <f t="shared" si="7"/>
        <v>0</v>
      </c>
      <c r="E28" s="2"/>
      <c r="F28" s="19"/>
      <c r="G28" s="2"/>
      <c r="H28" s="2">
        <f>-804.91</f>
        <v>-804.91</v>
      </c>
      <c r="I28" s="2"/>
      <c r="J28" s="19"/>
      <c r="K28" s="2"/>
      <c r="L28" s="2">
        <f t="shared" si="0"/>
        <v>804.91</v>
      </c>
      <c r="M28" s="2"/>
      <c r="N28" s="19">
        <f t="shared" si="1"/>
        <v>-1</v>
      </c>
      <c r="O28" s="11"/>
      <c r="P28" s="2">
        <f>-14632.15</f>
        <v>-14632.15</v>
      </c>
      <c r="Q28" s="2"/>
      <c r="R28" s="19"/>
      <c r="S28" s="2"/>
      <c r="T28" s="2">
        <f>-5806.99</f>
        <v>-5806.99</v>
      </c>
      <c r="U28" s="2"/>
      <c r="V28" s="19"/>
      <c r="W28" s="2"/>
      <c r="X28" s="2">
        <f t="shared" si="2"/>
        <v>-8825.16</v>
      </c>
      <c r="Y28" s="2"/>
      <c r="Z28" s="19">
        <f t="shared" si="3"/>
        <v>1.5197477522778582</v>
      </c>
    </row>
    <row r="29" spans="1:26" s="24" customFormat="1" hidden="1" outlineLevel="1" x14ac:dyDescent="0.25">
      <c r="A29" s="44"/>
      <c r="B29" s="11" t="str">
        <f>CONCATENATE("          ", "4282", " - ", "SALES RETURN TAXABLE-COMPUTER")</f>
        <v xml:space="preserve">          4282 - SALES RETURN TAXABLE-COMPUTER</v>
      </c>
      <c r="C29" s="11"/>
      <c r="D29" s="2">
        <f>-7936</f>
        <v>-7936</v>
      </c>
      <c r="E29" s="2"/>
      <c r="F29" s="19"/>
      <c r="G29" s="2"/>
      <c r="H29" s="2">
        <f>-7175.99</f>
        <v>-7175.99</v>
      </c>
      <c r="I29" s="2"/>
      <c r="J29" s="19"/>
      <c r="K29" s="2"/>
      <c r="L29" s="2">
        <f t="shared" si="0"/>
        <v>-760.01000000000022</v>
      </c>
      <c r="M29" s="2"/>
      <c r="N29" s="19">
        <f t="shared" si="1"/>
        <v>0.10591012529281678</v>
      </c>
      <c r="O29" s="11"/>
      <c r="P29" s="2">
        <f>-92020.01</f>
        <v>-92020.01</v>
      </c>
      <c r="Q29" s="2"/>
      <c r="R29" s="19"/>
      <c r="S29" s="2"/>
      <c r="T29" s="2">
        <f>-187653.58</f>
        <v>-187653.58</v>
      </c>
      <c r="U29" s="2"/>
      <c r="V29" s="19"/>
      <c r="W29" s="2"/>
      <c r="X29" s="2">
        <f t="shared" si="2"/>
        <v>95633.569999999992</v>
      </c>
      <c r="Y29" s="2"/>
      <c r="Z29" s="19">
        <f t="shared" si="3"/>
        <v>-0.50962827354532747</v>
      </c>
    </row>
    <row r="30" spans="1:26" s="24" customFormat="1" hidden="1" outlineLevel="1" x14ac:dyDescent="0.25">
      <c r="A30" s="44"/>
      <c r="B30" s="11" t="str">
        <f>CONCATENATE("          ", "4283", " - ", "SALES RETURN TAXABLE-COMPUTER")</f>
        <v xml:space="preserve">          4283 - SALES RETURN TAXABLE-COMPUTER</v>
      </c>
      <c r="C30" s="11"/>
      <c r="D30" s="2">
        <f>-99.99</f>
        <v>-99.99</v>
      </c>
      <c r="E30" s="2"/>
      <c r="F30" s="19"/>
      <c r="G30" s="2"/>
      <c r="H30" s="2">
        <f>-325.91</f>
        <v>-325.91000000000003</v>
      </c>
      <c r="I30" s="2"/>
      <c r="J30" s="19"/>
      <c r="K30" s="2"/>
      <c r="L30" s="2">
        <f t="shared" si="0"/>
        <v>225.92000000000002</v>
      </c>
      <c r="M30" s="2"/>
      <c r="N30" s="19">
        <f t="shared" si="1"/>
        <v>-0.69319750851462059</v>
      </c>
      <c r="O30" s="11"/>
      <c r="P30" s="2">
        <f>-3411.26</f>
        <v>-3411.26</v>
      </c>
      <c r="Q30" s="2"/>
      <c r="R30" s="19"/>
      <c r="S30" s="2"/>
      <c r="T30" s="2">
        <f>-3282.15</f>
        <v>-3282.15</v>
      </c>
      <c r="U30" s="2"/>
      <c r="V30" s="19"/>
      <c r="W30" s="2"/>
      <c r="X30" s="2">
        <f t="shared" si="2"/>
        <v>-129.11000000000013</v>
      </c>
      <c r="Y30" s="2"/>
      <c r="Z30" s="19">
        <f t="shared" si="3"/>
        <v>3.9337019941197121E-2</v>
      </c>
    </row>
    <row r="31" spans="1:26" s="24" customFormat="1" hidden="1" outlineLevel="1" x14ac:dyDescent="0.25">
      <c r="A31" s="44"/>
      <c r="B31" s="11" t="str">
        <f>CONCATENATE("          ", "4284", " - ", "SALES RETURN TAXABLE-SOFTWARE")</f>
        <v xml:space="preserve">          4284 - SALES RETURN TAXABLE-SOFTWARE</v>
      </c>
      <c r="C31" s="11"/>
      <c r="D31" s="2">
        <f t="shared" ref="D31:D32" si="8">0</f>
        <v>0</v>
      </c>
      <c r="E31" s="2"/>
      <c r="F31" s="19"/>
      <c r="G31" s="2"/>
      <c r="H31" s="2">
        <f t="shared" ref="H31:H32" si="9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"4285", " - ", "SALES RETURN TAXABLE-SOFTWARE")</f>
        <v xml:space="preserve">          4285 - SALES RETURN TAXABLE-SOFTWARE</v>
      </c>
      <c r="C32" s="11"/>
      <c r="D32" s="2">
        <f t="shared" si="8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-691.98</f>
        <v>-691.98</v>
      </c>
      <c r="Q32" s="2"/>
      <c r="R32" s="19"/>
      <c r="S32" s="2"/>
      <c r="T32" s="2">
        <f>-655.98</f>
        <v>-655.98</v>
      </c>
      <c r="U32" s="2"/>
      <c r="V32" s="19"/>
      <c r="W32" s="2"/>
      <c r="X32" s="2">
        <f t="shared" si="2"/>
        <v>-36</v>
      </c>
      <c r="Y32" s="2"/>
      <c r="Z32" s="19">
        <f t="shared" si="3"/>
        <v>5.4879721942742155E-2</v>
      </c>
    </row>
    <row r="33" spans="1:26" s="24" customFormat="1" hidden="1" outlineLevel="1" x14ac:dyDescent="0.25">
      <c r="A33" s="44"/>
      <c r="B33" s="11" t="str">
        <f>CONCATENATE("          ", "4286", " - ", "SALES RETURN TAXABLE-COMPUTER")</f>
        <v xml:space="preserve">          4286 - SALES RETURN TAXABLE-COMPUTER</v>
      </c>
      <c r="C33" s="11"/>
      <c r="D33" s="2">
        <f>-4127</f>
        <v>-4127</v>
      </c>
      <c r="E33" s="2"/>
      <c r="F33" s="19"/>
      <c r="G33" s="2"/>
      <c r="H33" s="2">
        <f>-195.9</f>
        <v>-195.9</v>
      </c>
      <c r="I33" s="2"/>
      <c r="J33" s="19"/>
      <c r="K33" s="2"/>
      <c r="L33" s="2">
        <f t="shared" si="0"/>
        <v>-3931.1</v>
      </c>
      <c r="M33" s="2"/>
      <c r="N33" s="19">
        <f t="shared" si="1"/>
        <v>20.066870852475752</v>
      </c>
      <c r="O33" s="11"/>
      <c r="P33" s="2">
        <f>-4708.35</f>
        <v>-4708.3500000000004</v>
      </c>
      <c r="Q33" s="2"/>
      <c r="R33" s="19"/>
      <c r="S33" s="2"/>
      <c r="T33" s="2">
        <f>-2987.89</f>
        <v>-2987.89</v>
      </c>
      <c r="U33" s="2"/>
      <c r="V33" s="19"/>
      <c r="W33" s="2"/>
      <c r="X33" s="2">
        <f t="shared" si="2"/>
        <v>-1720.4600000000005</v>
      </c>
      <c r="Y33" s="2"/>
      <c r="Z33" s="19">
        <f t="shared" si="3"/>
        <v>0.57581102383287219</v>
      </c>
    </row>
    <row r="34" spans="1:26" s="24" customFormat="1" hidden="1" outlineLevel="1" x14ac:dyDescent="0.25">
      <c r="A34" s="44"/>
      <c r="B34" s="11" t="str">
        <f>CONCATENATE("          ", "4288", " - ", "TAXABLE SALES RETURN-MUSIC")</f>
        <v xml:space="preserve">          4288 - TAXABLE SALES RETURN-MUSIC</v>
      </c>
      <c r="C34" s="11"/>
      <c r="D34" s="2">
        <f t="shared" ref="D34:D37" si="10">0</f>
        <v>0</v>
      </c>
      <c r="E34" s="2"/>
      <c r="F34" s="19"/>
      <c r="G34" s="2"/>
      <c r="H34" s="2">
        <f t="shared" ref="H34:H37" si="11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0</f>
        <v>0</v>
      </c>
      <c r="Q34" s="2"/>
      <c r="R34" s="19"/>
      <c r="S34" s="2"/>
      <c r="T34" s="2">
        <f>-3.99</f>
        <v>-3.99</v>
      </c>
      <c r="U34" s="2"/>
      <c r="V34" s="19"/>
      <c r="W34" s="2"/>
      <c r="X34" s="2">
        <f t="shared" si="2"/>
        <v>3.99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"4381", " - ", "SALES RETURN NON TAXABLE-ELECT")</f>
        <v xml:space="preserve">          4381 - SALES RETURN NON TAXABLE-ELECT</v>
      </c>
      <c r="C35" s="11"/>
      <c r="D35" s="2">
        <f t="shared" si="10"/>
        <v>0</v>
      </c>
      <c r="E35" s="2"/>
      <c r="F35" s="19"/>
      <c r="G35" s="2"/>
      <c r="H35" s="2">
        <f t="shared" si="11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-5624.15</f>
        <v>-5624.15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-4344.3099999999995</v>
      </c>
      <c r="Y35" s="2"/>
      <c r="Z35" s="19">
        <f t="shared" si="3"/>
        <v>3.3944164895611948</v>
      </c>
    </row>
    <row r="36" spans="1:26" s="24" customFormat="1" hidden="1" outlineLevel="1" x14ac:dyDescent="0.25">
      <c r="A36" s="44"/>
      <c r="B36" s="11" t="str">
        <f>CONCATENATE("          ", "4383", " - ", "SALES RETURN NON TAXABLE-COMPU")</f>
        <v xml:space="preserve">          4383 - SALES RETURN NON TAXABLE-COMPU</v>
      </c>
      <c r="C36" s="11"/>
      <c r="D36" s="2">
        <f t="shared" si="10"/>
        <v>0</v>
      </c>
      <c r="E36" s="2"/>
      <c r="F36" s="19"/>
      <c r="G36" s="2"/>
      <c r="H36" s="2">
        <f t="shared" si="11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ref="P36:P37" si="12">0</f>
        <v>0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49.98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"4386", " - ", "SALES RETURN NON TAXABLE-COMPU")</f>
        <v xml:space="preserve">          4386 - SALES RETURN NON TAXABLE-COMPU</v>
      </c>
      <c r="C37" s="11"/>
      <c r="D37" s="2">
        <f t="shared" si="10"/>
        <v>0</v>
      </c>
      <c r="E37" s="2"/>
      <c r="F37" s="19"/>
      <c r="G37" s="2"/>
      <c r="H37" s="2">
        <f t="shared" si="11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 t="shared" si="12"/>
        <v>0</v>
      </c>
      <c r="Q37" s="2"/>
      <c r="R37" s="19"/>
      <c r="S37" s="2"/>
      <c r="T37" s="2">
        <f>-54.97</f>
        <v>-54.97</v>
      </c>
      <c r="U37" s="2"/>
      <c r="V37" s="19"/>
      <c r="W37" s="2"/>
      <c r="X37" s="2">
        <f t="shared" si="2"/>
        <v>54.97</v>
      </c>
      <c r="Y37" s="2"/>
      <c r="Z37" s="19">
        <f t="shared" si="3"/>
        <v>-1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collapsed="1" x14ac:dyDescent="0.25">
      <c r="A39" s="10"/>
      <c r="B39" s="29" t="s">
        <v>8</v>
      </c>
      <c r="C39" s="10"/>
      <c r="D39" s="4">
        <f>SUM(OSRRefD16x_0)</f>
        <v>74328</v>
      </c>
      <c r="E39" s="4"/>
      <c r="F39" s="12">
        <f t="shared" ref="F39:F52" si="13">IF(D$12=0,0,D39/D$12)</f>
        <v>0.93563046675030059</v>
      </c>
      <c r="G39" s="4"/>
      <c r="H39" s="4">
        <f>SUM(OSRRefH16x_0)</f>
        <v>70545.789999999994</v>
      </c>
      <c r="I39" s="4"/>
      <c r="J39" s="12">
        <f t="shared" ref="J39:J52" si="14">IF(H$12=0,0,H39/H$12)</f>
        <v>0.83489471710291863</v>
      </c>
      <c r="K39" s="4"/>
      <c r="L39" s="4">
        <f t="shared" ref="L39:L52" si="15">+D39-H39</f>
        <v>3782.2100000000064</v>
      </c>
      <c r="M39" s="4"/>
      <c r="N39" s="12">
        <f t="shared" ref="N39:N52" si="16">IF(H39=0,0,L39/H39)</f>
        <v>5.3613546605686985E-2</v>
      </c>
      <c r="O39" s="10"/>
      <c r="P39" s="4">
        <f>SUM(OSRRefP16x_0)</f>
        <v>1215966.8400000003</v>
      </c>
      <c r="Q39" s="4"/>
      <c r="R39" s="12">
        <f t="shared" ref="R39:R52" si="17">IF(P$12=0,0,P39/P$12)</f>
        <v>0.95344185114779811</v>
      </c>
      <c r="S39" s="4"/>
      <c r="T39" s="4">
        <f>SUM(OSRRefT16x_0)</f>
        <v>1407046.8499999999</v>
      </c>
      <c r="U39" s="4"/>
      <c r="V39" s="12">
        <f t="shared" ref="V39:V52" si="18">IF(T$12=0,0,T39/T$12)</f>
        <v>0.88863398931663828</v>
      </c>
      <c r="W39" s="4"/>
      <c r="X39" s="4">
        <f t="shared" ref="X39:X52" si="19">+P39-T39</f>
        <v>-191080.00999999954</v>
      </c>
      <c r="Y39" s="4"/>
      <c r="Z39" s="12">
        <f t="shared" ref="Z39:Z52" si="20">IF(T39=0,0,X39/T39)</f>
        <v>-0.13580216607570642</v>
      </c>
    </row>
    <row r="40" spans="1:26" s="24" customFormat="1" hidden="1" outlineLevel="1" x14ac:dyDescent="0.25">
      <c r="A40" s="44"/>
      <c r="B40" s="11" t="str">
        <f>CONCATENATE("          ", "5081", " - ", "PURCHASES @ COST-ELECTRONICS")</f>
        <v xml:space="preserve">          5081 - PURCHASES @ COST-ELECTRONICS</v>
      </c>
      <c r="C40" s="11"/>
      <c r="D40" s="2">
        <v>945.44</v>
      </c>
      <c r="E40" s="2"/>
      <c r="F40" s="19">
        <f t="shared" si="13"/>
        <v>1.1901066468684806E-2</v>
      </c>
      <c r="G40" s="2"/>
      <c r="H40" s="2">
        <v>2601.6999999999998</v>
      </c>
      <c r="I40" s="2"/>
      <c r="J40" s="19">
        <f t="shared" si="14"/>
        <v>3.079057709165442E-2</v>
      </c>
      <c r="K40" s="2"/>
      <c r="L40" s="2">
        <f t="shared" si="15"/>
        <v>-1656.2599999999998</v>
      </c>
      <c r="M40" s="2"/>
      <c r="N40" s="19">
        <f t="shared" si="16"/>
        <v>-0.63660683399315832</v>
      </c>
      <c r="O40" s="11"/>
      <c r="P40" s="2">
        <v>25260.510000000002</v>
      </c>
      <c r="Q40" s="2"/>
      <c r="R40" s="19">
        <f t="shared" si="17"/>
        <v>1.9806812672077029E-2</v>
      </c>
      <c r="S40" s="2"/>
      <c r="T40" s="2">
        <v>187409.43</v>
      </c>
      <c r="U40" s="2"/>
      <c r="V40" s="19">
        <f t="shared" si="18"/>
        <v>0.11836023044752012</v>
      </c>
      <c r="W40" s="2"/>
      <c r="X40" s="2">
        <f t="shared" si="19"/>
        <v>-162148.91999999998</v>
      </c>
      <c r="Y40" s="2"/>
      <c r="Z40" s="19">
        <f t="shared" si="20"/>
        <v>-0.86521217208760515</v>
      </c>
    </row>
    <row r="41" spans="1:26" s="24" customFormat="1" hidden="1" outlineLevel="1" x14ac:dyDescent="0.25">
      <c r="A41" s="44"/>
      <c r="B41" s="11" t="str">
        <f>CONCATENATE("          ", "5082", " - ", "PURCHASES @ COST-COMPUTER HARD")</f>
        <v xml:space="preserve">          5082 - PURCHASES @ COST-COMPUTER HARD</v>
      </c>
      <c r="C41" s="11"/>
      <c r="D41" s="2">
        <v>20916.710000000003</v>
      </c>
      <c r="E41" s="2"/>
      <c r="F41" s="19">
        <f t="shared" si="13"/>
        <v>0.2632966195805172</v>
      </c>
      <c r="G41" s="2"/>
      <c r="H41" s="2">
        <v>49827.72</v>
      </c>
      <c r="I41" s="2"/>
      <c r="J41" s="19">
        <f t="shared" si="14"/>
        <v>0.58970067800337123</v>
      </c>
      <c r="K41" s="2"/>
      <c r="L41" s="2">
        <f t="shared" si="15"/>
        <v>-28911.01</v>
      </c>
      <c r="M41" s="2"/>
      <c r="N41" s="19">
        <f t="shared" si="16"/>
        <v>-0.5802194039783477</v>
      </c>
      <c r="O41" s="11"/>
      <c r="P41" s="2">
        <v>980936.82000000007</v>
      </c>
      <c r="Q41" s="2"/>
      <c r="R41" s="19">
        <f t="shared" si="17"/>
        <v>0.76915437720311053</v>
      </c>
      <c r="S41" s="2"/>
      <c r="T41" s="2">
        <v>1008177.98</v>
      </c>
      <c r="U41" s="2"/>
      <c r="V41" s="19">
        <f t="shared" si="18"/>
        <v>0.63672451298163246</v>
      </c>
      <c r="W41" s="2"/>
      <c r="X41" s="2">
        <f t="shared" si="19"/>
        <v>-27241.159999999916</v>
      </c>
      <c r="Y41" s="2"/>
      <c r="Z41" s="19">
        <f t="shared" si="20"/>
        <v>-2.7020189431235065E-2</v>
      </c>
    </row>
    <row r="42" spans="1:26" s="24" customFormat="1" hidden="1" outlineLevel="1" x14ac:dyDescent="0.25">
      <c r="A42" s="44"/>
      <c r="B42" s="11" t="str">
        <f>CONCATENATE("          ", "5083", " - ", "PURCHASES @ COST-COMPUTER EQUI")</f>
        <v xml:space="preserve">          5083 - PURCHASES @ COST-COMPUTER EQUI</v>
      </c>
      <c r="C42" s="11"/>
      <c r="D42" s="2">
        <v>5833.72</v>
      </c>
      <c r="E42" s="2"/>
      <c r="F42" s="19">
        <f t="shared" si="13"/>
        <v>7.3434051319698684E-2</v>
      </c>
      <c r="G42" s="2"/>
      <c r="H42" s="2">
        <v>5515.26</v>
      </c>
      <c r="I42" s="2"/>
      <c r="J42" s="19">
        <f t="shared" si="14"/>
        <v>6.5271952266025279E-2</v>
      </c>
      <c r="K42" s="2"/>
      <c r="L42" s="2">
        <f t="shared" si="15"/>
        <v>318.46000000000004</v>
      </c>
      <c r="M42" s="2"/>
      <c r="N42" s="19">
        <f t="shared" si="16"/>
        <v>5.7741611456214217E-2</v>
      </c>
      <c r="O42" s="11"/>
      <c r="P42" s="2">
        <v>81726.840000000011</v>
      </c>
      <c r="Q42" s="2"/>
      <c r="R42" s="19">
        <f t="shared" si="17"/>
        <v>6.4082166597618659E-2</v>
      </c>
      <c r="S42" s="2"/>
      <c r="T42" s="2">
        <v>54451.43</v>
      </c>
      <c r="U42" s="2"/>
      <c r="V42" s="19">
        <f t="shared" si="18"/>
        <v>3.4389325035549229E-2</v>
      </c>
      <c r="W42" s="2"/>
      <c r="X42" s="2">
        <f t="shared" si="19"/>
        <v>27275.410000000011</v>
      </c>
      <c r="Y42" s="2"/>
      <c r="Z42" s="19">
        <f t="shared" si="20"/>
        <v>0.50091264820776993</v>
      </c>
    </row>
    <row r="43" spans="1:26" s="24" customFormat="1" hidden="1" outlineLevel="1" x14ac:dyDescent="0.25">
      <c r="A43" s="44"/>
      <c r="B43" s="11" t="str">
        <f>CONCATENATE("          ", "5084", " - ", "PURCHASES @ COST-SOFTWARE LICE")</f>
        <v xml:space="preserve">          5084 - PURCHASES @ COST-SOFTWARE LICE</v>
      </c>
      <c r="C43" s="11"/>
      <c r="D43" s="2"/>
      <c r="E43" s="2"/>
      <c r="F43" s="19">
        <f t="shared" si="13"/>
        <v>0</v>
      </c>
      <c r="G43" s="2"/>
      <c r="H43" s="2"/>
      <c r="I43" s="2"/>
      <c r="J43" s="19">
        <f t="shared" si="14"/>
        <v>0</v>
      </c>
      <c r="K43" s="2"/>
      <c r="L43" s="2">
        <f t="shared" si="15"/>
        <v>0</v>
      </c>
      <c r="M43" s="2"/>
      <c r="N43" s="19">
        <f t="shared" si="16"/>
        <v>0</v>
      </c>
      <c r="O43" s="11"/>
      <c r="P43" s="2"/>
      <c r="Q43" s="2"/>
      <c r="R43" s="19">
        <f t="shared" si="17"/>
        <v>0</v>
      </c>
      <c r="S43" s="2"/>
      <c r="T43" s="2">
        <v>2728</v>
      </c>
      <c r="U43" s="2"/>
      <c r="V43" s="19">
        <f t="shared" si="18"/>
        <v>1.7228946732340785E-3</v>
      </c>
      <c r="W43" s="2"/>
      <c r="X43" s="2">
        <f t="shared" si="19"/>
        <v>-2728</v>
      </c>
      <c r="Y43" s="2"/>
      <c r="Z43" s="19">
        <f t="shared" si="20"/>
        <v>-1</v>
      </c>
    </row>
    <row r="44" spans="1:26" s="24" customFormat="1" hidden="1" outlineLevel="1" x14ac:dyDescent="0.25">
      <c r="A44" s="44"/>
      <c r="B44" s="11" t="str">
        <f>CONCATENATE("          ", "5085", " - ", "PURCHASES @ COST-SOFTWARE")</f>
        <v xml:space="preserve">          5085 - PURCHASES @ COST-SOFTWARE</v>
      </c>
      <c r="C44" s="11"/>
      <c r="D44" s="2">
        <v>496.16</v>
      </c>
      <c r="E44" s="2"/>
      <c r="F44" s="19">
        <f t="shared" si="13"/>
        <v>6.2455926754766602E-3</v>
      </c>
      <c r="G44" s="2"/>
      <c r="H44" s="2">
        <v>780.26</v>
      </c>
      <c r="I44" s="2"/>
      <c r="J44" s="19">
        <f t="shared" si="14"/>
        <v>9.2342144296168969E-3</v>
      </c>
      <c r="K44" s="2"/>
      <c r="L44" s="2">
        <f t="shared" si="15"/>
        <v>-284.09999999999997</v>
      </c>
      <c r="M44" s="2"/>
      <c r="N44" s="19">
        <f t="shared" si="16"/>
        <v>-0.36410939943095888</v>
      </c>
      <c r="O44" s="11"/>
      <c r="P44" s="2">
        <v>24572.080000000002</v>
      </c>
      <c r="Q44" s="2"/>
      <c r="R44" s="19">
        <f t="shared" si="17"/>
        <v>1.9267013434142482E-2</v>
      </c>
      <c r="S44" s="2"/>
      <c r="T44" s="2">
        <v>7860.66</v>
      </c>
      <c r="U44" s="2"/>
      <c r="V44" s="19">
        <f t="shared" si="18"/>
        <v>4.9644755286305685E-3</v>
      </c>
      <c r="W44" s="2"/>
      <c r="X44" s="2">
        <f t="shared" si="19"/>
        <v>16711.420000000002</v>
      </c>
      <c r="Y44" s="2"/>
      <c r="Z44" s="19">
        <f t="shared" si="20"/>
        <v>2.1259563446326393</v>
      </c>
    </row>
    <row r="45" spans="1:26" s="24" customFormat="1" hidden="1" outlineLevel="1" x14ac:dyDescent="0.25">
      <c r="A45" s="44"/>
      <c r="B45" s="11" t="str">
        <f>CONCATENATE("          ", "5086", " - ", "PURCHASES @ COST-COMPUTER SUPP")</f>
        <v xml:space="preserve">          5086 - PURCHASES @ COST-COMPUTER SUPP</v>
      </c>
      <c r="C45" s="11"/>
      <c r="D45" s="2"/>
      <c r="E45" s="2"/>
      <c r="F45" s="19">
        <f t="shared" si="13"/>
        <v>0</v>
      </c>
      <c r="G45" s="2"/>
      <c r="H45" s="2">
        <v>1409.73</v>
      </c>
      <c r="I45" s="2"/>
      <c r="J45" s="19">
        <f t="shared" si="14"/>
        <v>1.6683860646276662E-2</v>
      </c>
      <c r="K45" s="2"/>
      <c r="L45" s="2">
        <f t="shared" si="15"/>
        <v>-1409.73</v>
      </c>
      <c r="M45" s="2"/>
      <c r="N45" s="19">
        <f t="shared" si="16"/>
        <v>-1</v>
      </c>
      <c r="O45" s="11"/>
      <c r="P45" s="2">
        <v>22718.609999999997</v>
      </c>
      <c r="Q45" s="2"/>
      <c r="R45" s="19">
        <f t="shared" si="17"/>
        <v>1.7813704174617844E-2</v>
      </c>
      <c r="S45" s="2"/>
      <c r="T45" s="2">
        <v>20604.38</v>
      </c>
      <c r="U45" s="2"/>
      <c r="V45" s="19">
        <f t="shared" si="18"/>
        <v>1.3012894628772281E-2</v>
      </c>
      <c r="W45" s="2"/>
      <c r="X45" s="2">
        <f t="shared" si="19"/>
        <v>2114.2299999999959</v>
      </c>
      <c r="Y45" s="2"/>
      <c r="Z45" s="19">
        <f t="shared" si="20"/>
        <v>0.10261070704384193</v>
      </c>
    </row>
    <row r="46" spans="1:26" s="24" customFormat="1" hidden="1" outlineLevel="1" x14ac:dyDescent="0.25">
      <c r="A46" s="44"/>
      <c r="B46" s="11" t="str">
        <f>CONCATENATE("          ", "5088", " - ", "PURCHASES @ COST-MUSIC")</f>
        <v xml:space="preserve">          5088 - PURCHASES @ COST-MUSIC</v>
      </c>
      <c r="C46" s="11"/>
      <c r="D46" s="2"/>
      <c r="E46" s="2"/>
      <c r="F46" s="19">
        <f t="shared" si="13"/>
        <v>0</v>
      </c>
      <c r="G46" s="2"/>
      <c r="H46" s="2"/>
      <c r="I46" s="2"/>
      <c r="J46" s="19">
        <f t="shared" si="14"/>
        <v>0</v>
      </c>
      <c r="K46" s="2"/>
      <c r="L46" s="2">
        <f t="shared" si="15"/>
        <v>0</v>
      </c>
      <c r="M46" s="2"/>
      <c r="N46" s="19">
        <f t="shared" si="16"/>
        <v>0</v>
      </c>
      <c r="O46" s="11"/>
      <c r="P46" s="2"/>
      <c r="Q46" s="2"/>
      <c r="R46" s="19">
        <f t="shared" si="17"/>
        <v>0</v>
      </c>
      <c r="S46" s="2"/>
      <c r="T46" s="2">
        <v>88.75</v>
      </c>
      <c r="U46" s="2"/>
      <c r="V46" s="19">
        <f t="shared" si="18"/>
        <v>5.6050917246893132E-5</v>
      </c>
      <c r="W46" s="2"/>
      <c r="X46" s="2">
        <f t="shared" si="19"/>
        <v>-88.75</v>
      </c>
      <c r="Y46" s="2"/>
      <c r="Z46" s="19">
        <f t="shared" si="20"/>
        <v>-1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-28230.26</v>
      </c>
      <c r="E47" s="2"/>
      <c r="F47" s="19">
        <f t="shared" si="13"/>
        <v>-0.35535856393663678</v>
      </c>
      <c r="G47" s="2"/>
      <c r="H47" s="2">
        <v>-60143.000000000007</v>
      </c>
      <c r="I47" s="2"/>
      <c r="J47" s="19">
        <f t="shared" si="14"/>
        <v>-0.71177986625028722</v>
      </c>
      <c r="K47" s="2"/>
      <c r="L47" s="2">
        <f t="shared" si="15"/>
        <v>31912.740000000009</v>
      </c>
      <c r="M47" s="2"/>
      <c r="N47" s="19">
        <f t="shared" si="16"/>
        <v>-0.53061436908700943</v>
      </c>
      <c r="O47" s="11"/>
      <c r="P47" s="2">
        <v>-1131650.54</v>
      </c>
      <c r="Q47" s="2"/>
      <c r="R47" s="19">
        <f t="shared" si="17"/>
        <v>-0.88732928416864154</v>
      </c>
      <c r="S47" s="2"/>
      <c r="T47" s="2">
        <v>-1281641</v>
      </c>
      <c r="U47" s="2"/>
      <c r="V47" s="19">
        <f t="shared" si="18"/>
        <v>-0.80943271697155339</v>
      </c>
      <c r="W47" s="2"/>
      <c r="X47" s="2">
        <f t="shared" si="19"/>
        <v>149990.45999999996</v>
      </c>
      <c r="Y47" s="2"/>
      <c r="Z47" s="19">
        <f t="shared" si="20"/>
        <v>-0.11703001074403828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74328</v>
      </c>
      <c r="E48" s="2"/>
      <c r="F48" s="19">
        <f t="shared" si="13"/>
        <v>0.93563046675030059</v>
      </c>
      <c r="G48" s="2"/>
      <c r="H48" s="2">
        <v>70546</v>
      </c>
      <c r="I48" s="2"/>
      <c r="J48" s="19">
        <f t="shared" si="14"/>
        <v>0.83489720240913745</v>
      </c>
      <c r="K48" s="2"/>
      <c r="L48" s="2">
        <f t="shared" si="15"/>
        <v>3782</v>
      </c>
      <c r="M48" s="2"/>
      <c r="N48" s="19">
        <f t="shared" si="16"/>
        <v>5.3610410228786889E-2</v>
      </c>
      <c r="O48" s="11"/>
      <c r="P48" s="2">
        <v>1212021</v>
      </c>
      <c r="Q48" s="2"/>
      <c r="R48" s="19">
        <f t="shared" si="17"/>
        <v>0.95034791069631896</v>
      </c>
      <c r="S48" s="2"/>
      <c r="T48" s="2">
        <v>1407045</v>
      </c>
      <c r="U48" s="2"/>
      <c r="V48" s="19">
        <f t="shared" si="18"/>
        <v>0.88863282093132112</v>
      </c>
      <c r="W48" s="2"/>
      <c r="X48" s="2">
        <f t="shared" si="19"/>
        <v>-195024</v>
      </c>
      <c r="Y48" s="2"/>
      <c r="Z48" s="19">
        <f t="shared" si="20"/>
        <v>-0.13860537509461318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>
        <v>31</v>
      </c>
      <c r="E49" s="2"/>
      <c r="F49" s="19">
        <f t="shared" si="13"/>
        <v>3.9022366361612476E-4</v>
      </c>
      <c r="G49" s="2"/>
      <c r="H49" s="2"/>
      <c r="I49" s="2"/>
      <c r="J49" s="19">
        <f t="shared" si="14"/>
        <v>0</v>
      </c>
      <c r="K49" s="2"/>
      <c r="L49" s="2">
        <f t="shared" si="15"/>
        <v>31</v>
      </c>
      <c r="M49" s="2"/>
      <c r="N49" s="19">
        <f t="shared" si="16"/>
        <v>0</v>
      </c>
      <c r="O49" s="11"/>
      <c r="P49" s="2">
        <v>31</v>
      </c>
      <c r="Q49" s="2"/>
      <c r="R49" s="19">
        <f t="shared" si="17"/>
        <v>2.4307157410297253E-5</v>
      </c>
      <c r="S49" s="2"/>
      <c r="T49" s="2">
        <v>105.75</v>
      </c>
      <c r="U49" s="2"/>
      <c r="V49" s="19">
        <f t="shared" si="18"/>
        <v>6.6787430973058574E-5</v>
      </c>
      <c r="W49" s="2"/>
      <c r="X49" s="2">
        <f t="shared" si="19"/>
        <v>-74.75</v>
      </c>
      <c r="Y49" s="2"/>
      <c r="Z49" s="19">
        <f t="shared" si="20"/>
        <v>-0.70685579196217496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13"/>
        <v>0</v>
      </c>
      <c r="G50" s="2"/>
      <c r="H50" s="2"/>
      <c r="I50" s="2"/>
      <c r="J50" s="19">
        <f t="shared" si="14"/>
        <v>0</v>
      </c>
      <c r="K50" s="2"/>
      <c r="L50" s="2">
        <f t="shared" si="15"/>
        <v>0</v>
      </c>
      <c r="M50" s="2"/>
      <c r="N50" s="19">
        <f t="shared" si="16"/>
        <v>0</v>
      </c>
      <c r="O50" s="11"/>
      <c r="P50" s="2">
        <v>94</v>
      </c>
      <c r="Q50" s="2"/>
      <c r="R50" s="19">
        <f t="shared" si="17"/>
        <v>7.3705574082836837E-5</v>
      </c>
      <c r="S50" s="2"/>
      <c r="T50" s="2">
        <v>4.84</v>
      </c>
      <c r="U50" s="2"/>
      <c r="V50" s="19">
        <f t="shared" si="18"/>
        <v>3.0567486138023972E-6</v>
      </c>
      <c r="W50" s="2"/>
      <c r="X50" s="2">
        <f t="shared" si="19"/>
        <v>89.16</v>
      </c>
      <c r="Y50" s="2"/>
      <c r="Z50" s="19">
        <f t="shared" si="20"/>
        <v>18.421487603305785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>
        <v>7.23</v>
      </c>
      <c r="E51" s="2"/>
      <c r="F51" s="19">
        <f t="shared" si="13"/>
        <v>9.1010228643373614E-5</v>
      </c>
      <c r="G51" s="2"/>
      <c r="H51" s="2">
        <v>8.1199999999999992</v>
      </c>
      <c r="I51" s="2"/>
      <c r="J51" s="19">
        <f t="shared" si="14"/>
        <v>9.6098507123893565E-5</v>
      </c>
      <c r="K51" s="2"/>
      <c r="L51" s="2">
        <f t="shared" si="15"/>
        <v>-0.88999999999999879</v>
      </c>
      <c r="M51" s="2"/>
      <c r="N51" s="19">
        <f t="shared" si="16"/>
        <v>-0.10960591133004913</v>
      </c>
      <c r="O51" s="11"/>
      <c r="P51" s="2">
        <v>232.4</v>
      </c>
      <c r="Q51" s="2"/>
      <c r="R51" s="19">
        <f t="shared" si="17"/>
        <v>1.822252703920349E-4</v>
      </c>
      <c r="S51" s="2"/>
      <c r="T51" s="2">
        <v>49.12</v>
      </c>
      <c r="U51" s="2"/>
      <c r="V51" s="19">
        <f t="shared" si="18"/>
        <v>3.1022209072308621E-5</v>
      </c>
      <c r="W51" s="2"/>
      <c r="X51" s="2">
        <f t="shared" si="19"/>
        <v>183.28</v>
      </c>
      <c r="Y51" s="2"/>
      <c r="Z51" s="19">
        <f t="shared" si="20"/>
        <v>3.731270358306189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/>
      <c r="E52" s="2"/>
      <c r="F52" s="19">
        <f t="shared" si="13"/>
        <v>0</v>
      </c>
      <c r="G52" s="2"/>
      <c r="H52" s="2"/>
      <c r="I52" s="2"/>
      <c r="J52" s="19">
        <f t="shared" si="14"/>
        <v>0</v>
      </c>
      <c r="K52" s="2"/>
      <c r="L52" s="2">
        <f t="shared" si="15"/>
        <v>0</v>
      </c>
      <c r="M52" s="2"/>
      <c r="N52" s="19">
        <f t="shared" si="16"/>
        <v>0</v>
      </c>
      <c r="O52" s="11"/>
      <c r="P52" s="2">
        <v>24.12</v>
      </c>
      <c r="Q52" s="2"/>
      <c r="R52" s="19">
        <f t="shared" si="17"/>
        <v>1.8912536668915153E-5</v>
      </c>
      <c r="S52" s="2"/>
      <c r="T52" s="2">
        <v>162.51</v>
      </c>
      <c r="U52" s="2"/>
      <c r="V52" s="19">
        <f t="shared" si="18"/>
        <v>1.0263475562583214E-4</v>
      </c>
      <c r="W52" s="2"/>
      <c r="X52" s="2">
        <f t="shared" si="19"/>
        <v>-138.38999999999999</v>
      </c>
      <c r="Y52" s="2"/>
      <c r="Z52" s="19">
        <f t="shared" si="20"/>
        <v>-0.85157836440834411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0">
        <f>D12-D39</f>
        <v>5113.6199999999808</v>
      </c>
      <c r="E54" s="14"/>
      <c r="F54" s="21">
        <f>IF(D$12=0,0,D54/D$12)</f>
        <v>6.4369533249699365E-2</v>
      </c>
      <c r="G54" s="14"/>
      <c r="H54" s="20">
        <f>H12-H39</f>
        <v>13950.840000000011</v>
      </c>
      <c r="I54" s="14"/>
      <c r="J54" s="21">
        <f>IF(H$12=0,0,H54/H$12)</f>
        <v>0.16510528289708135</v>
      </c>
      <c r="K54" s="15"/>
      <c r="L54" s="20">
        <f>+D54-H54</f>
        <v>-8837.2200000000303</v>
      </c>
      <c r="M54" s="15"/>
      <c r="N54" s="21">
        <f>IF(H54=0,0,L54/H54)</f>
        <v>-0.63345432963176573</v>
      </c>
      <c r="O54" s="29"/>
      <c r="P54" s="20">
        <f>P12-P39</f>
        <v>59377.679999999935</v>
      </c>
      <c r="Q54" s="14"/>
      <c r="R54" s="21">
        <f>IF(P$12=0,0,P54/P$12)</f>
        <v>4.6558148852201851E-2</v>
      </c>
      <c r="S54" s="14"/>
      <c r="T54" s="20">
        <f>T12-T39</f>
        <v>176334.91000000015</v>
      </c>
      <c r="U54" s="14"/>
      <c r="V54" s="21">
        <f>IF(T$12=0,0,T54/T$12)</f>
        <v>0.11136601068336176</v>
      </c>
      <c r="W54" s="15"/>
      <c r="X54" s="20">
        <f>+P54-T54</f>
        <v>-116957.23000000021</v>
      </c>
      <c r="Y54" s="15"/>
      <c r="Z54" s="21">
        <f>IF(T54=0,0,X54/T54)</f>
        <v>-0.66326758552801668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2">
        <f>SUM(OSRRefD22x_0)</f>
        <v>13842.730000000001</v>
      </c>
      <c r="E56" s="22"/>
      <c r="F56" s="36">
        <f t="shared" ref="F56:F66" si="21">IF(D$12=0,0,D56/D$12)</f>
        <v>0.1742503488725432</v>
      </c>
      <c r="G56" s="22"/>
      <c r="H56" s="22">
        <f>SUM(OSRRefH22x_0)</f>
        <v>13308.350000000002</v>
      </c>
      <c r="I56" s="22"/>
      <c r="J56" s="36">
        <f t="shared" ref="J56:J66" si="22">IF(H$12=0,0,H56/H$12)</f>
        <v>0.15750154769486074</v>
      </c>
      <c r="K56" s="4"/>
      <c r="L56" s="22">
        <f t="shared" ref="L56:L66" si="23">+D56-H56</f>
        <v>534.3799999999992</v>
      </c>
      <c r="M56" s="4"/>
      <c r="N56" s="36">
        <f t="shared" ref="N56:N66" si="24">IF(H56=0,0,L56/H56)</f>
        <v>4.0153738066702416E-2</v>
      </c>
      <c r="O56" s="10"/>
      <c r="P56" s="22">
        <f>SUM(OSRRefP22x_0)</f>
        <v>80226.430000000008</v>
      </c>
      <c r="Q56" s="22"/>
      <c r="R56" s="36">
        <f t="shared" ref="R56:R66" si="25">IF(P$12=0,0,P56/P$12)</f>
        <v>6.2905692337941743E-2</v>
      </c>
      <c r="S56" s="22"/>
      <c r="T56" s="22">
        <f>SUM(OSRRefT22x_0)</f>
        <v>128433.93999999997</v>
      </c>
      <c r="U56" s="22"/>
      <c r="V56" s="36">
        <f t="shared" ref="V56:V66" si="26">IF(T$12=0,0,T56/T$12)</f>
        <v>8.1113691747971103E-2</v>
      </c>
      <c r="W56" s="4"/>
      <c r="X56" s="22">
        <f t="shared" ref="X56:X66" si="27">+P56-T56</f>
        <v>-48207.509999999966</v>
      </c>
      <c r="Y56" s="4"/>
      <c r="Z56" s="36">
        <f t="shared" ref="Z56:Z66" si="28">IF(T56=0,0,X56/T56)</f>
        <v>-0.3753486811975088</v>
      </c>
    </row>
    <row r="57" spans="1:26" s="25" customFormat="1" outlineLevel="1" collapsed="1" x14ac:dyDescent="0.25">
      <c r="A57" s="26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2984.54</v>
      </c>
      <c r="E57" s="1"/>
      <c r="F57" s="5">
        <f t="shared" si="21"/>
        <v>3.7568972032544161E-2</v>
      </c>
      <c r="G57" s="1"/>
      <c r="H57" s="1">
        <f>SUM(OSRRefH22_0x_0)</f>
        <v>2991.2100000000005</v>
      </c>
      <c r="I57" s="1"/>
      <c r="J57" s="5">
        <f t="shared" si="22"/>
        <v>3.5400346735721892E-2</v>
      </c>
      <c r="K57" s="1"/>
      <c r="L57" s="1">
        <f t="shared" si="23"/>
        <v>-6.6700000000005275</v>
      </c>
      <c r="M57" s="1"/>
      <c r="N57" s="5">
        <f t="shared" si="24"/>
        <v>-2.2298668431840378E-3</v>
      </c>
      <c r="O57" s="13"/>
      <c r="P57" s="1">
        <f>SUM(OSRRefP22_0x_0)</f>
        <v>17818.880000000005</v>
      </c>
      <c r="Q57" s="1"/>
      <c r="R57" s="5">
        <f t="shared" si="25"/>
        <v>1.3971816807587021E-2</v>
      </c>
      <c r="S57" s="1"/>
      <c r="T57" s="1">
        <f>SUM(OSRRefT22_0x_0)</f>
        <v>18221.209999999995</v>
      </c>
      <c r="U57" s="1"/>
      <c r="V57" s="5">
        <f t="shared" si="26"/>
        <v>1.1507780663079E-2</v>
      </c>
      <c r="W57" s="1"/>
      <c r="X57" s="1">
        <f t="shared" si="27"/>
        <v>-402.32999999999083</v>
      </c>
      <c r="Y57" s="1"/>
      <c r="Z57" s="5">
        <f t="shared" si="28"/>
        <v>-2.208031190025201E-2</v>
      </c>
    </row>
    <row r="58" spans="1:26" s="24" customFormat="1" hidden="1" outlineLevel="2" x14ac:dyDescent="0.25">
      <c r="A58" s="27"/>
      <c r="B58" s="11" t="str">
        <f>CONCATENATE("          ", "6111", " - ", "F.I.C.A.")</f>
        <v xml:space="preserve">          6111 - F.I.C.A.</v>
      </c>
      <c r="C58" s="11"/>
      <c r="D58" s="7">
        <v>443.32</v>
      </c>
      <c r="E58" s="2"/>
      <c r="F58" s="6">
        <f t="shared" si="21"/>
        <v>5.5804501469129165E-3</v>
      </c>
      <c r="G58" s="2"/>
      <c r="H58" s="7">
        <v>526</v>
      </c>
      <c r="I58" s="2"/>
      <c r="J58" s="6">
        <f t="shared" si="22"/>
        <v>6.2251003383211852E-3</v>
      </c>
      <c r="K58" s="2"/>
      <c r="L58" s="7">
        <f t="shared" si="23"/>
        <v>-82.68</v>
      </c>
      <c r="M58" s="2"/>
      <c r="N58" s="6">
        <f t="shared" si="24"/>
        <v>-0.15718631178707226</v>
      </c>
      <c r="O58" s="11"/>
      <c r="P58" s="7">
        <v>3390.36</v>
      </c>
      <c r="Q58" s="2"/>
      <c r="R58" s="6">
        <f t="shared" si="25"/>
        <v>2.6583875547604966E-3</v>
      </c>
      <c r="S58" s="2"/>
      <c r="T58" s="7">
        <v>4227.74</v>
      </c>
      <c r="U58" s="2"/>
      <c r="V58" s="6">
        <f t="shared" si="26"/>
        <v>2.670069914156394E-3</v>
      </c>
      <c r="W58" s="2"/>
      <c r="X58" s="7">
        <f t="shared" si="27"/>
        <v>-837.37999999999965</v>
      </c>
      <c r="Y58" s="2"/>
      <c r="Z58" s="6">
        <f t="shared" si="28"/>
        <v>-0.19806799850511142</v>
      </c>
    </row>
    <row r="59" spans="1:26" s="24" customFormat="1" hidden="1" outlineLevel="2" x14ac:dyDescent="0.25">
      <c r="A59" s="27"/>
      <c r="B59" s="11" t="str">
        <f>CONCATENATE("          ", "6112", " - ", "COMPENSATION INSURANCE")</f>
        <v xml:space="preserve">          6112 - COMPENSATION INSURANCE</v>
      </c>
      <c r="C59" s="11"/>
      <c r="D59" s="7">
        <v>256.8</v>
      </c>
      <c r="E59" s="2"/>
      <c r="F59" s="6">
        <f t="shared" si="21"/>
        <v>3.2325624779555107E-3</v>
      </c>
      <c r="G59" s="2"/>
      <c r="H59" s="7">
        <v>254.69</v>
      </c>
      <c r="I59" s="2"/>
      <c r="J59" s="6">
        <f t="shared" si="22"/>
        <v>3.0142030516483319E-3</v>
      </c>
      <c r="K59" s="2"/>
      <c r="L59" s="7">
        <f t="shared" si="23"/>
        <v>2.1100000000000136</v>
      </c>
      <c r="M59" s="2"/>
      <c r="N59" s="6">
        <f t="shared" si="24"/>
        <v>8.28458125564417E-3</v>
      </c>
      <c r="O59" s="11"/>
      <c r="P59" s="7">
        <v>982.53</v>
      </c>
      <c r="Q59" s="2"/>
      <c r="R59" s="6">
        <f t="shared" si="25"/>
        <v>7.7040359259159224E-4</v>
      </c>
      <c r="S59" s="2"/>
      <c r="T59" s="7">
        <v>960.61</v>
      </c>
      <c r="U59" s="2"/>
      <c r="V59" s="6">
        <f t="shared" si="26"/>
        <v>6.0668249708775224E-4</v>
      </c>
      <c r="W59" s="2"/>
      <c r="X59" s="7">
        <f t="shared" si="27"/>
        <v>21.919999999999959</v>
      </c>
      <c r="Y59" s="2"/>
      <c r="Z59" s="6">
        <f t="shared" si="28"/>
        <v>2.2818833865980947E-2</v>
      </c>
    </row>
    <row r="60" spans="1:26" s="24" customFormat="1" hidden="1" outlineLevel="2" x14ac:dyDescent="0.25">
      <c r="A60" s="27"/>
      <c r="B60" s="11" t="str">
        <f>CONCATENATE("          ", "6113", " - ", "GROUP INSURANCE")</f>
        <v xml:space="preserve">          6113 - GROUP INSURANCE</v>
      </c>
      <c r="C60" s="11"/>
      <c r="D60" s="7">
        <v>1036.33</v>
      </c>
      <c r="E60" s="2"/>
      <c r="F60" s="6">
        <f t="shared" si="21"/>
        <v>1.304517707468705E-2</v>
      </c>
      <c r="G60" s="2"/>
      <c r="H60" s="7">
        <v>1287.6500000000001</v>
      </c>
      <c r="I60" s="2"/>
      <c r="J60" s="6">
        <f t="shared" si="22"/>
        <v>1.5239069297793296E-2</v>
      </c>
      <c r="K60" s="2"/>
      <c r="L60" s="7">
        <f t="shared" si="23"/>
        <v>-251.32000000000016</v>
      </c>
      <c r="M60" s="2"/>
      <c r="N60" s="6">
        <f t="shared" si="24"/>
        <v>-0.19517726090164264</v>
      </c>
      <c r="O60" s="11"/>
      <c r="P60" s="7">
        <v>6214.78</v>
      </c>
      <c r="Q60" s="2"/>
      <c r="R60" s="6">
        <f t="shared" si="25"/>
        <v>4.8730205074311991E-3</v>
      </c>
      <c r="S60" s="2"/>
      <c r="T60" s="7">
        <v>6434.82</v>
      </c>
      <c r="U60" s="2"/>
      <c r="V60" s="6">
        <f t="shared" si="26"/>
        <v>4.0639725444355252E-3</v>
      </c>
      <c r="W60" s="2"/>
      <c r="X60" s="7">
        <f t="shared" si="27"/>
        <v>-220.03999999999996</v>
      </c>
      <c r="Y60" s="2"/>
      <c r="Z60" s="6">
        <f t="shared" si="28"/>
        <v>-3.4195206703528609E-2</v>
      </c>
    </row>
    <row r="61" spans="1:26" s="24" customFormat="1" hidden="1" outlineLevel="2" x14ac:dyDescent="0.25">
      <c r="A61" s="27"/>
      <c r="B61" s="11" t="str">
        <f>CONCATENATE("          ", "6114", " - ", "STATE UNEMPLOYMENT INSURANCE")</f>
        <v xml:space="preserve">          6114 - STATE UNEMPLOYMENT INSURANCE</v>
      </c>
      <c r="C61" s="11"/>
      <c r="D61" s="7"/>
      <c r="E61" s="2"/>
      <c r="F61" s="6">
        <f t="shared" si="21"/>
        <v>0</v>
      </c>
      <c r="G61" s="2"/>
      <c r="H61" s="7">
        <v>34.85</v>
      </c>
      <c r="I61" s="2"/>
      <c r="J61" s="6">
        <f t="shared" si="22"/>
        <v>4.1244248439257283E-4</v>
      </c>
      <c r="K61" s="2"/>
      <c r="L61" s="7">
        <f t="shared" si="23"/>
        <v>-34.85</v>
      </c>
      <c r="M61" s="2"/>
      <c r="N61" s="6">
        <f t="shared" si="24"/>
        <v>-1</v>
      </c>
      <c r="O61" s="11"/>
      <c r="P61" s="7">
        <v>116.69</v>
      </c>
      <c r="Q61" s="2"/>
      <c r="R61" s="6">
        <f t="shared" si="25"/>
        <v>9.1496845103470527E-5</v>
      </c>
      <c r="S61" s="2"/>
      <c r="T61" s="7">
        <v>159.9</v>
      </c>
      <c r="U61" s="2"/>
      <c r="V61" s="6">
        <f t="shared" si="26"/>
        <v>1.0098638498905028E-4</v>
      </c>
      <c r="W61" s="2"/>
      <c r="X61" s="7">
        <f t="shared" si="27"/>
        <v>-43.210000000000008</v>
      </c>
      <c r="Y61" s="2"/>
      <c r="Z61" s="6">
        <f t="shared" si="28"/>
        <v>-0.27023139462163859</v>
      </c>
    </row>
    <row r="62" spans="1:26" s="24" customFormat="1" hidden="1" outlineLevel="2" x14ac:dyDescent="0.25">
      <c r="A62" s="27"/>
      <c r="B62" s="11" t="str">
        <f>CONCATENATE("          ", "6115", " - ", "P.E.R.S.")</f>
        <v xml:space="preserve">          6115 - P.E.R.S.</v>
      </c>
      <c r="C62" s="11"/>
      <c r="D62" s="7">
        <v>176.42</v>
      </c>
      <c r="E62" s="2"/>
      <c r="F62" s="6">
        <f t="shared" si="21"/>
        <v>2.2207502817792493E-3</v>
      </c>
      <c r="G62" s="2"/>
      <c r="H62" s="7">
        <v>263.31</v>
      </c>
      <c r="I62" s="2"/>
      <c r="J62" s="6">
        <f t="shared" si="22"/>
        <v>3.1162189545310857E-3</v>
      </c>
      <c r="K62" s="2"/>
      <c r="L62" s="7">
        <f t="shared" si="23"/>
        <v>-86.890000000000015</v>
      </c>
      <c r="M62" s="2"/>
      <c r="N62" s="6">
        <f t="shared" si="24"/>
        <v>-0.32999126504880183</v>
      </c>
      <c r="O62" s="11"/>
      <c r="P62" s="7">
        <v>1146.73</v>
      </c>
      <c r="Q62" s="2"/>
      <c r="R62" s="6">
        <f t="shared" si="25"/>
        <v>8.9915311668097323E-4</v>
      </c>
      <c r="S62" s="2"/>
      <c r="T62" s="7">
        <v>1285.92</v>
      </c>
      <c r="U62" s="2"/>
      <c r="V62" s="6">
        <f t="shared" si="26"/>
        <v>8.1213516063239233E-4</v>
      </c>
      <c r="W62" s="2"/>
      <c r="X62" s="7">
        <f t="shared" si="27"/>
        <v>-139.19000000000005</v>
      </c>
      <c r="Y62" s="2"/>
      <c r="Z62" s="6">
        <f t="shared" si="28"/>
        <v>-0.10824157023765089</v>
      </c>
    </row>
    <row r="63" spans="1:26" s="24" customFormat="1" hidden="1" outlineLevel="2" x14ac:dyDescent="0.25">
      <c r="A63" s="27"/>
      <c r="B63" s="11" t="str">
        <f>CONCATENATE("          ", "6117", " - ", "RETIREMENT STAFF HOURLY")</f>
        <v xml:space="preserve">          6117 - RETIREMENT STAFF HOURLY</v>
      </c>
      <c r="C63" s="11"/>
      <c r="D63" s="7">
        <v>170.96</v>
      </c>
      <c r="E63" s="2"/>
      <c r="F63" s="6">
        <f t="shared" si="21"/>
        <v>2.1520205655423449E-3</v>
      </c>
      <c r="G63" s="2"/>
      <c r="H63" s="7">
        <v>159.55000000000001</v>
      </c>
      <c r="I63" s="2"/>
      <c r="J63" s="6">
        <f t="shared" si="22"/>
        <v>1.888240986652367E-3</v>
      </c>
      <c r="K63" s="2"/>
      <c r="L63" s="7">
        <f t="shared" si="23"/>
        <v>11.409999999999997</v>
      </c>
      <c r="M63" s="2"/>
      <c r="N63" s="6">
        <f t="shared" si="24"/>
        <v>7.1513632090253812E-2</v>
      </c>
      <c r="O63" s="11"/>
      <c r="P63" s="7">
        <v>1105.04</v>
      </c>
      <c r="Q63" s="2"/>
      <c r="R63" s="6">
        <f t="shared" si="25"/>
        <v>8.6646391047338314E-4</v>
      </c>
      <c r="S63" s="2"/>
      <c r="T63" s="7">
        <v>1032.23</v>
      </c>
      <c r="U63" s="2"/>
      <c r="V63" s="6">
        <f t="shared" si="26"/>
        <v>6.5191479785645632E-4</v>
      </c>
      <c r="W63" s="2"/>
      <c r="X63" s="7">
        <f t="shared" si="27"/>
        <v>72.809999999999945</v>
      </c>
      <c r="Y63" s="2"/>
      <c r="Z63" s="6">
        <f t="shared" si="28"/>
        <v>7.0536605213954204E-2</v>
      </c>
    </row>
    <row r="64" spans="1:26" s="24" customFormat="1" hidden="1" outlineLevel="2" x14ac:dyDescent="0.25">
      <c r="A64" s="27"/>
      <c r="B64" s="11" t="str">
        <f>CONCATENATE("          ", "6118", " - ", "VACATION")</f>
        <v xml:space="preserve">          6118 - VACATION</v>
      </c>
      <c r="C64" s="11"/>
      <c r="D64" s="7">
        <v>267.04000000000002</v>
      </c>
      <c r="E64" s="2"/>
      <c r="F64" s="6">
        <f t="shared" si="21"/>
        <v>3.3614621655499986E-3</v>
      </c>
      <c r="G64" s="2"/>
      <c r="H64" s="7">
        <v>125.52</v>
      </c>
      <c r="I64" s="2"/>
      <c r="J64" s="6">
        <f t="shared" si="22"/>
        <v>1.4855030313043252E-3</v>
      </c>
      <c r="K64" s="2"/>
      <c r="L64" s="7">
        <f t="shared" si="23"/>
        <v>141.52000000000004</v>
      </c>
      <c r="M64" s="2"/>
      <c r="N64" s="6">
        <f t="shared" si="24"/>
        <v>1.1274697259400897</v>
      </c>
      <c r="O64" s="11"/>
      <c r="P64" s="7">
        <v>1689.54</v>
      </c>
      <c r="Q64" s="2"/>
      <c r="R64" s="6">
        <f t="shared" si="25"/>
        <v>1.3247714429352781E-3</v>
      </c>
      <c r="S64" s="2"/>
      <c r="T64" s="7">
        <v>1531.09</v>
      </c>
      <c r="U64" s="2"/>
      <c r="V64" s="6">
        <f t="shared" si="26"/>
        <v>9.6697463535262641E-4</v>
      </c>
      <c r="W64" s="2"/>
      <c r="X64" s="7">
        <f t="shared" si="27"/>
        <v>158.45000000000005</v>
      </c>
      <c r="Y64" s="2"/>
      <c r="Z64" s="6">
        <f t="shared" si="28"/>
        <v>0.10348836449849458</v>
      </c>
    </row>
    <row r="65" spans="1:26" s="24" customFormat="1" hidden="1" outlineLevel="2" x14ac:dyDescent="0.25">
      <c r="A65" s="27"/>
      <c r="B65" s="11" t="str">
        <f>CONCATENATE("          ", "6119", " - ", "SICK LEAVE")</f>
        <v xml:space="preserve">          6119 - SICK LEAVE</v>
      </c>
      <c r="C65" s="11"/>
      <c r="D65" s="7">
        <v>267.63</v>
      </c>
      <c r="E65" s="2"/>
      <c r="F65" s="6">
        <f t="shared" si="21"/>
        <v>3.3688890030188212E-3</v>
      </c>
      <c r="G65" s="2"/>
      <c r="H65" s="7">
        <v>173.86</v>
      </c>
      <c r="I65" s="2"/>
      <c r="J65" s="6">
        <f t="shared" si="22"/>
        <v>2.0575968532709531E-3</v>
      </c>
      <c r="K65" s="2"/>
      <c r="L65" s="7">
        <f t="shared" si="23"/>
        <v>93.769999999999982</v>
      </c>
      <c r="M65" s="2"/>
      <c r="N65" s="6">
        <f t="shared" si="24"/>
        <v>0.53934199930978932</v>
      </c>
      <c r="O65" s="11"/>
      <c r="P65" s="7">
        <v>1684.29</v>
      </c>
      <c r="Q65" s="2"/>
      <c r="R65" s="6">
        <f t="shared" si="25"/>
        <v>1.3206549082125664E-3</v>
      </c>
      <c r="S65" s="2"/>
      <c r="T65" s="7">
        <v>1628.12</v>
      </c>
      <c r="U65" s="2"/>
      <c r="V65" s="6">
        <f t="shared" si="26"/>
        <v>1.0282548663437931E-3</v>
      </c>
      <c r="W65" s="2"/>
      <c r="X65" s="7">
        <f t="shared" si="27"/>
        <v>56.170000000000073</v>
      </c>
      <c r="Y65" s="2"/>
      <c r="Z65" s="6">
        <f t="shared" si="28"/>
        <v>3.449991401125229E-2</v>
      </c>
    </row>
    <row r="66" spans="1:26" s="24" customFormat="1" hidden="1" outlineLevel="2" x14ac:dyDescent="0.25">
      <c r="A66" s="27"/>
      <c r="B66" s="11" t="str">
        <f>CONCATENATE("          ", "6156", " - ", "EMPLOYEE MEALS")</f>
        <v xml:space="preserve">          6156 - EMPLOYEE MEALS</v>
      </c>
      <c r="C66" s="11"/>
      <c r="D66" s="7">
        <v>366.04</v>
      </c>
      <c r="E66" s="2"/>
      <c r="F66" s="6">
        <f t="shared" si="21"/>
        <v>4.6076603170982682E-3</v>
      </c>
      <c r="G66" s="2"/>
      <c r="H66" s="7">
        <v>165.78</v>
      </c>
      <c r="I66" s="2"/>
      <c r="J66" s="6">
        <f t="shared" si="22"/>
        <v>1.9619717378077683E-3</v>
      </c>
      <c r="K66" s="2"/>
      <c r="L66" s="7">
        <f t="shared" si="23"/>
        <v>200.26000000000002</v>
      </c>
      <c r="M66" s="2"/>
      <c r="N66" s="6">
        <f t="shared" si="24"/>
        <v>1.2079864881167814</v>
      </c>
      <c r="O66" s="11"/>
      <c r="P66" s="7">
        <v>1488.92</v>
      </c>
      <c r="Q66" s="2"/>
      <c r="R66" s="6">
        <f t="shared" si="25"/>
        <v>1.1674649293980576E-3</v>
      </c>
      <c r="S66" s="2"/>
      <c r="T66" s="7">
        <v>960.78</v>
      </c>
      <c r="U66" s="2"/>
      <c r="V66" s="6">
        <f t="shared" si="26"/>
        <v>6.0678986222501387E-4</v>
      </c>
      <c r="W66" s="2"/>
      <c r="X66" s="7">
        <f t="shared" si="27"/>
        <v>528.1400000000001</v>
      </c>
      <c r="Y66" s="2"/>
      <c r="Z66" s="6">
        <f t="shared" si="28"/>
        <v>0.54969920273111439</v>
      </c>
    </row>
    <row r="67" spans="1:26" s="25" customFormat="1" outlineLevel="1" collapsed="1" x14ac:dyDescent="0.25">
      <c r="A67" s="26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7948.3600000000006</v>
      </c>
      <c r="E67" s="1"/>
      <c r="F67" s="5">
        <f t="shared" ref="F67:F72" si="29">IF(D$12=0,0,D67/D$12)</f>
        <v>0.10005284383676973</v>
      </c>
      <c r="G67" s="1"/>
      <c r="H67" s="1">
        <f>SUM(OSRRefH22_1x_0)</f>
        <v>8569.36</v>
      </c>
      <c r="I67" s="1"/>
      <c r="J67" s="5">
        <f t="shared" ref="J67:J72" si="30">IF(H$12=0,0,H67/H$12)</f>
        <v>0.10141658904029664</v>
      </c>
      <c r="K67" s="1"/>
      <c r="L67" s="1">
        <f t="shared" ref="L67:L72" si="31">+D67-H67</f>
        <v>-621</v>
      </c>
      <c r="M67" s="1"/>
      <c r="N67" s="5">
        <f t="shared" ref="N67:N72" si="32">IF(H67=0,0,L67/H67)</f>
        <v>-7.2467488820635376E-2</v>
      </c>
      <c r="O67" s="13"/>
      <c r="P67" s="1">
        <f>SUM(OSRRefP22_1x_0)</f>
        <v>47428.14</v>
      </c>
      <c r="Q67" s="1"/>
      <c r="R67" s="5">
        <f t="shared" ref="R67:R72" si="33">IF(P$12=0,0,P67/P$12)</f>
        <v>3.7188492408310181E-2</v>
      </c>
      <c r="S67" s="1"/>
      <c r="T67" s="1">
        <f>SUM(OSRRefT22_1x_0)</f>
        <v>57288.5</v>
      </c>
      <c r="U67" s="1"/>
      <c r="V67" s="5">
        <f t="shared" ref="V67:V72" si="34">IF(T$12=0,0,T67/T$12)</f>
        <v>3.6181103917731119E-2</v>
      </c>
      <c r="W67" s="1"/>
      <c r="X67" s="1">
        <f t="shared" ref="X67:X72" si="35">+P67-T67</f>
        <v>-9860.36</v>
      </c>
      <c r="Y67" s="1"/>
      <c r="Z67" s="5">
        <f t="shared" ref="Z67:Z72" si="36">IF(T67=0,0,X67/T67)</f>
        <v>-0.17211761522818717</v>
      </c>
    </row>
    <row r="68" spans="1:26" s="24" customFormat="1" hidden="1" outlineLevel="2" x14ac:dyDescent="0.25">
      <c r="A68" s="27"/>
      <c r="B68" s="11" t="str">
        <f>CONCATENATE("          ", "6002", " - ", "STAFF SALARIES")</f>
        <v xml:space="preserve">          6002 - STAFF SALARIES</v>
      </c>
      <c r="C68" s="11"/>
      <c r="D68" s="7">
        <v>1939.96</v>
      </c>
      <c r="E68" s="2"/>
      <c r="F68" s="6">
        <f t="shared" si="29"/>
        <v>2.4419945111894752E-2</v>
      </c>
      <c r="G68" s="2"/>
      <c r="H68" s="7">
        <v>3721.56</v>
      </c>
      <c r="I68" s="2"/>
      <c r="J68" s="6">
        <f t="shared" si="30"/>
        <v>4.4043886720689332E-2</v>
      </c>
      <c r="K68" s="2"/>
      <c r="L68" s="7">
        <f t="shared" si="31"/>
        <v>-1781.6</v>
      </c>
      <c r="M68" s="2"/>
      <c r="N68" s="6">
        <f t="shared" si="32"/>
        <v>-0.47872397596706756</v>
      </c>
      <c r="O68" s="11"/>
      <c r="P68" s="7">
        <v>13237.35</v>
      </c>
      <c r="Q68" s="2"/>
      <c r="R68" s="6">
        <f t="shared" si="33"/>
        <v>1.0379430649845109E-2</v>
      </c>
      <c r="S68" s="2"/>
      <c r="T68" s="7">
        <v>18778.14</v>
      </c>
      <c r="U68" s="2"/>
      <c r="V68" s="6">
        <f t="shared" si="34"/>
        <v>1.1859515168344492E-2</v>
      </c>
      <c r="W68" s="2"/>
      <c r="X68" s="7">
        <f t="shared" si="35"/>
        <v>-5540.7899999999991</v>
      </c>
      <c r="Y68" s="2"/>
      <c r="Z68" s="6">
        <f t="shared" si="36"/>
        <v>-0.29506596499972837</v>
      </c>
    </row>
    <row r="69" spans="1:26" s="24" customFormat="1" hidden="1" outlineLevel="2" x14ac:dyDescent="0.25">
      <c r="A69" s="27"/>
      <c r="B69" s="11" t="str">
        <f>CONCATENATE("          ", "6004", " - ", "STAFF HOURLY")</f>
        <v xml:space="preserve">          6004 - STAFF HOURLY</v>
      </c>
      <c r="C69" s="11"/>
      <c r="D69" s="7">
        <v>3520</v>
      </c>
      <c r="E69" s="2"/>
      <c r="F69" s="6">
        <f t="shared" si="29"/>
        <v>4.4309267610605128E-2</v>
      </c>
      <c r="G69" s="2"/>
      <c r="H69" s="7"/>
      <c r="I69" s="2"/>
      <c r="J69" s="6">
        <f t="shared" si="30"/>
        <v>0</v>
      </c>
      <c r="K69" s="2"/>
      <c r="L69" s="7">
        <f t="shared" si="31"/>
        <v>3520</v>
      </c>
      <c r="M69" s="2"/>
      <c r="N69" s="6">
        <f t="shared" si="32"/>
        <v>0</v>
      </c>
      <c r="O69" s="11"/>
      <c r="P69" s="7">
        <v>21336.16</v>
      </c>
      <c r="Q69" s="2"/>
      <c r="R69" s="6">
        <f t="shared" si="33"/>
        <v>1.6729722569396383E-2</v>
      </c>
      <c r="S69" s="2"/>
      <c r="T69" s="7"/>
      <c r="U69" s="2"/>
      <c r="V69" s="6">
        <f t="shared" si="34"/>
        <v>0</v>
      </c>
      <c r="W69" s="2"/>
      <c r="X69" s="7">
        <f t="shared" si="35"/>
        <v>21336.16</v>
      </c>
      <c r="Y69" s="2"/>
      <c r="Z69" s="6">
        <f t="shared" si="36"/>
        <v>0</v>
      </c>
    </row>
    <row r="70" spans="1:26" s="24" customFormat="1" hidden="1" outlineLevel="2" x14ac:dyDescent="0.25">
      <c r="A70" s="27"/>
      <c r="B70" s="11" t="str">
        <f>CONCATENATE("          ", "6005", " - ", "TEMPORARY WAGES-HOURLY")</f>
        <v xml:space="preserve">          6005 - TEMPORARY WAGES-HOURLY</v>
      </c>
      <c r="C70" s="11"/>
      <c r="D70" s="7"/>
      <c r="E70" s="2"/>
      <c r="F70" s="6">
        <f t="shared" si="29"/>
        <v>0</v>
      </c>
      <c r="G70" s="2"/>
      <c r="H70" s="7">
        <v>2457.04</v>
      </c>
      <c r="I70" s="2"/>
      <c r="J70" s="6">
        <f t="shared" si="30"/>
        <v>2.9078556150700919E-2</v>
      </c>
      <c r="K70" s="2"/>
      <c r="L70" s="7">
        <f t="shared" si="31"/>
        <v>-2457.04</v>
      </c>
      <c r="M70" s="2"/>
      <c r="N70" s="6">
        <f t="shared" si="32"/>
        <v>-1</v>
      </c>
      <c r="O70" s="11"/>
      <c r="P70" s="7"/>
      <c r="Q70" s="2"/>
      <c r="R70" s="6">
        <f t="shared" si="33"/>
        <v>0</v>
      </c>
      <c r="S70" s="2"/>
      <c r="T70" s="7">
        <v>19659.289999999997</v>
      </c>
      <c r="U70" s="2"/>
      <c r="V70" s="6">
        <f t="shared" si="34"/>
        <v>1.2416013937156885E-2</v>
      </c>
      <c r="W70" s="2"/>
      <c r="X70" s="7">
        <f t="shared" si="35"/>
        <v>-19659.289999999997</v>
      </c>
      <c r="Y70" s="2"/>
      <c r="Z70" s="6">
        <f t="shared" si="36"/>
        <v>-1</v>
      </c>
    </row>
    <row r="71" spans="1:26" s="24" customFormat="1" hidden="1" outlineLevel="2" x14ac:dyDescent="0.25">
      <c r="A71" s="27"/>
      <c r="B71" s="11" t="str">
        <f>CONCATENATE("          ", "6006", " - ", "TEMPORARY PART TIME")</f>
        <v xml:space="preserve">          6006 - TEMPORARY PART TIME</v>
      </c>
      <c r="C71" s="11"/>
      <c r="D71" s="7"/>
      <c r="E71" s="2"/>
      <c r="F71" s="6">
        <f t="shared" si="29"/>
        <v>0</v>
      </c>
      <c r="G71" s="2"/>
      <c r="H71" s="7">
        <v>641</v>
      </c>
      <c r="I71" s="2"/>
      <c r="J71" s="6">
        <f t="shared" si="30"/>
        <v>7.5861013628590861E-3</v>
      </c>
      <c r="K71" s="2"/>
      <c r="L71" s="7">
        <f t="shared" si="31"/>
        <v>-641</v>
      </c>
      <c r="M71" s="2"/>
      <c r="N71" s="6">
        <f t="shared" si="32"/>
        <v>-1</v>
      </c>
      <c r="O71" s="11"/>
      <c r="P71" s="7"/>
      <c r="Q71" s="2"/>
      <c r="R71" s="6">
        <f t="shared" si="33"/>
        <v>0</v>
      </c>
      <c r="S71" s="2"/>
      <c r="T71" s="7">
        <v>8242.16</v>
      </c>
      <c r="U71" s="2"/>
      <c r="V71" s="6">
        <f t="shared" si="34"/>
        <v>5.2054155278383404E-3</v>
      </c>
      <c r="W71" s="2"/>
      <c r="X71" s="7">
        <f t="shared" si="35"/>
        <v>-8242.16</v>
      </c>
      <c r="Y71" s="2"/>
      <c r="Z71" s="6">
        <f t="shared" si="36"/>
        <v>-1</v>
      </c>
    </row>
    <row r="72" spans="1:26" s="24" customFormat="1" hidden="1" outlineLevel="2" x14ac:dyDescent="0.25">
      <c r="A72" s="27"/>
      <c r="B72" s="11" t="str">
        <f>CONCATENATE("          ", "6007", " - ", "STUDENT HOURLY")</f>
        <v xml:space="preserve">          6007 - STUDENT HOURLY</v>
      </c>
      <c r="C72" s="11"/>
      <c r="D72" s="7">
        <v>2488.4</v>
      </c>
      <c r="E72" s="2"/>
      <c r="F72" s="6">
        <f t="shared" si="29"/>
        <v>3.1323631114269834E-2</v>
      </c>
      <c r="G72" s="2"/>
      <c r="H72" s="7">
        <v>1749.76</v>
      </c>
      <c r="I72" s="2"/>
      <c r="J72" s="6">
        <f t="shared" si="30"/>
        <v>2.0708044806047293E-2</v>
      </c>
      <c r="K72" s="2"/>
      <c r="L72" s="7">
        <f t="shared" si="31"/>
        <v>738.6400000000001</v>
      </c>
      <c r="M72" s="2"/>
      <c r="N72" s="6">
        <f t="shared" si="32"/>
        <v>0.42213789319678136</v>
      </c>
      <c r="O72" s="11"/>
      <c r="P72" s="7">
        <v>12854.63</v>
      </c>
      <c r="Q72" s="2"/>
      <c r="R72" s="6">
        <f t="shared" si="33"/>
        <v>1.0079339189068689E-2</v>
      </c>
      <c r="S72" s="2"/>
      <c r="T72" s="7">
        <v>10608.91</v>
      </c>
      <c r="U72" s="2"/>
      <c r="V72" s="6">
        <f t="shared" si="34"/>
        <v>6.7001592843914026E-3</v>
      </c>
      <c r="W72" s="2"/>
      <c r="X72" s="7">
        <f t="shared" si="35"/>
        <v>2245.7199999999993</v>
      </c>
      <c r="Y72" s="2"/>
      <c r="Z72" s="6">
        <f t="shared" si="36"/>
        <v>0.2116824442850396</v>
      </c>
    </row>
    <row r="73" spans="1:26" s="25" customFormat="1" outlineLevel="1" collapsed="1" x14ac:dyDescent="0.25">
      <c r="A73" s="26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0</v>
      </c>
      <c r="E73" s="1"/>
      <c r="F73" s="5">
        <f t="shared" ref="F73:F81" si="37">IF(D$12=0,0,D73/D$12)</f>
        <v>0</v>
      </c>
      <c r="G73" s="1"/>
      <c r="H73" s="1">
        <f>SUM(OSRRefH22_2x_0)</f>
        <v>79.67</v>
      </c>
      <c r="I73" s="1"/>
      <c r="J73" s="5">
        <f t="shared" ref="J73:J81" si="38">IF(H$12=0,0,H73/H$12)</f>
        <v>9.4287784021682283E-4</v>
      </c>
      <c r="K73" s="1"/>
      <c r="L73" s="1">
        <f t="shared" ref="L73:L81" si="39">+D73-H73</f>
        <v>-79.67</v>
      </c>
      <c r="M73" s="1"/>
      <c r="N73" s="5">
        <f t="shared" ref="N73:N81" si="40">IF(H73=0,0,L73/H73)</f>
        <v>-1</v>
      </c>
      <c r="O73" s="13"/>
      <c r="P73" s="1">
        <f>SUM(OSRRefP22_2x_0)</f>
        <v>248.88</v>
      </c>
      <c r="Q73" s="1"/>
      <c r="R73" s="5">
        <f t="shared" ref="R73:R81" si="41">IF(P$12=0,0,P73/P$12)</f>
        <v>1.9514726891208968E-4</v>
      </c>
      <c r="S73" s="1"/>
      <c r="T73" s="1">
        <f>SUM(OSRRefT22_2x_0)</f>
        <v>1508.38</v>
      </c>
      <c r="U73" s="1"/>
      <c r="V73" s="5">
        <f t="shared" ref="V73:V81" si="42">IF(T$12=0,0,T73/T$12)</f>
        <v>9.5263191613373149E-4</v>
      </c>
      <c r="W73" s="1"/>
      <c r="X73" s="1">
        <f t="shared" ref="X73:X81" si="43">+P73-T73</f>
        <v>-1259.5</v>
      </c>
      <c r="Y73" s="1"/>
      <c r="Z73" s="5">
        <f t="shared" ref="Z73:Z81" si="44">IF(T73=0,0,X73/T73)</f>
        <v>-0.83500178999986729</v>
      </c>
    </row>
    <row r="74" spans="1:26" s="24" customFormat="1" hidden="1" outlineLevel="2" x14ac:dyDescent="0.25">
      <c r="A74" s="27"/>
      <c r="B74" s="11" t="str">
        <f>CONCATENATE("          ", "6362", " - ", "ADVERTISING EXPENSE")</f>
        <v xml:space="preserve">          6362 - ADVERTISING EXPENSE</v>
      </c>
      <c r="C74" s="11"/>
      <c r="D74" s="7"/>
      <c r="E74" s="2"/>
      <c r="F74" s="6">
        <f t="shared" si="37"/>
        <v>0</v>
      </c>
      <c r="G74" s="2"/>
      <c r="H74" s="7">
        <v>79.67</v>
      </c>
      <c r="I74" s="2"/>
      <c r="J74" s="6">
        <f t="shared" si="38"/>
        <v>9.4287784021682283E-4</v>
      </c>
      <c r="K74" s="2"/>
      <c r="L74" s="7">
        <f t="shared" si="39"/>
        <v>-79.67</v>
      </c>
      <c r="M74" s="2"/>
      <c r="N74" s="6">
        <f t="shared" si="40"/>
        <v>-1</v>
      </c>
      <c r="O74" s="11"/>
      <c r="P74" s="7">
        <v>248.88</v>
      </c>
      <c r="Q74" s="2"/>
      <c r="R74" s="6">
        <f t="shared" si="41"/>
        <v>1.9514726891208968E-4</v>
      </c>
      <c r="S74" s="2"/>
      <c r="T74" s="7">
        <v>1508.38</v>
      </c>
      <c r="U74" s="2"/>
      <c r="V74" s="6">
        <f t="shared" si="42"/>
        <v>9.5263191613373149E-4</v>
      </c>
      <c r="W74" s="2"/>
      <c r="X74" s="7">
        <f t="shared" si="43"/>
        <v>-1259.5</v>
      </c>
      <c r="Y74" s="2"/>
      <c r="Z74" s="6">
        <f t="shared" si="44"/>
        <v>-0.83500178999986729</v>
      </c>
    </row>
    <row r="75" spans="1:26" s="25" customFormat="1" outlineLevel="1" collapsed="1" x14ac:dyDescent="0.25">
      <c r="A75" s="26"/>
      <c r="B75" s="13" t="str">
        <f>CONCATENATE("     ","Depreciation                                      ")</f>
        <v xml:space="preserve">     Depreciation                                      </v>
      </c>
      <c r="C75" s="13"/>
      <c r="D75" s="1">
        <f>SUM(OSRRefD22_3x_0)</f>
        <v>280.44</v>
      </c>
      <c r="E75" s="1"/>
      <c r="F75" s="5">
        <f t="shared" si="37"/>
        <v>3.5301394911130975E-3</v>
      </c>
      <c r="G75" s="1"/>
      <c r="H75" s="1">
        <f>SUM(OSRRefH22_3x_0)</f>
        <v>280.44</v>
      </c>
      <c r="I75" s="1"/>
      <c r="J75" s="5">
        <f t="shared" si="38"/>
        <v>3.3189489332296446E-3</v>
      </c>
      <c r="K75" s="1"/>
      <c r="L75" s="1">
        <f t="shared" si="39"/>
        <v>0</v>
      </c>
      <c r="M75" s="1"/>
      <c r="N75" s="5">
        <f t="shared" si="40"/>
        <v>0</v>
      </c>
      <c r="O75" s="13"/>
      <c r="P75" s="1">
        <f>SUM(OSRRefP22_3x_0)</f>
        <v>1682.64</v>
      </c>
      <c r="Q75" s="1"/>
      <c r="R75" s="5">
        <f t="shared" si="41"/>
        <v>1.3193611401568573E-3</v>
      </c>
      <c r="S75" s="1"/>
      <c r="T75" s="1">
        <f>SUM(OSRRefT22_3x_0)</f>
        <v>1682.64</v>
      </c>
      <c r="U75" s="1"/>
      <c r="V75" s="5">
        <f t="shared" si="42"/>
        <v>1.0626874974232368E-3</v>
      </c>
      <c r="W75" s="1"/>
      <c r="X75" s="1">
        <f t="shared" si="43"/>
        <v>0</v>
      </c>
      <c r="Y75" s="1"/>
      <c r="Z75" s="5">
        <f t="shared" si="44"/>
        <v>0</v>
      </c>
    </row>
    <row r="76" spans="1:26" s="24" customFormat="1" hidden="1" outlineLevel="2" x14ac:dyDescent="0.25">
      <c r="A76" s="27"/>
      <c r="B76" s="11" t="str">
        <f>CONCATENATE("          ", "6322", " - ", "EQUIPMENT DEPRECIATION EXPENSE")</f>
        <v xml:space="preserve">          6322 - EQUIPMENT DEPRECIATION EXPENSE</v>
      </c>
      <c r="C76" s="11"/>
      <c r="D76" s="7">
        <v>280.44</v>
      </c>
      <c r="E76" s="2"/>
      <c r="F76" s="6">
        <f t="shared" si="37"/>
        <v>3.5301394911130975E-3</v>
      </c>
      <c r="G76" s="2"/>
      <c r="H76" s="7">
        <v>280.44</v>
      </c>
      <c r="I76" s="2"/>
      <c r="J76" s="6">
        <f t="shared" si="38"/>
        <v>3.3189489332296446E-3</v>
      </c>
      <c r="K76" s="2"/>
      <c r="L76" s="7">
        <f t="shared" si="39"/>
        <v>0</v>
      </c>
      <c r="M76" s="2"/>
      <c r="N76" s="6">
        <f t="shared" si="40"/>
        <v>0</v>
      </c>
      <c r="O76" s="11"/>
      <c r="P76" s="7">
        <v>1682.64</v>
      </c>
      <c r="Q76" s="2"/>
      <c r="R76" s="6">
        <f t="shared" si="41"/>
        <v>1.3193611401568573E-3</v>
      </c>
      <c r="S76" s="2"/>
      <c r="T76" s="7">
        <v>1682.64</v>
      </c>
      <c r="U76" s="2"/>
      <c r="V76" s="6">
        <f t="shared" si="42"/>
        <v>1.0626874974232368E-3</v>
      </c>
      <c r="W76" s="2"/>
      <c r="X76" s="7">
        <f t="shared" si="43"/>
        <v>0</v>
      </c>
      <c r="Y76" s="2"/>
      <c r="Z76" s="6">
        <f t="shared" si="44"/>
        <v>0</v>
      </c>
    </row>
    <row r="77" spans="1:26" s="25" customFormat="1" outlineLevel="1" collapsed="1" x14ac:dyDescent="0.25">
      <c r="A77" s="26"/>
      <c r="B77" s="13" t="str">
        <f>CONCATENATE("     ","Discounts and Markdowns                           ")</f>
        <v xml:space="preserve">     Discounts and Markdowns                           </v>
      </c>
      <c r="C77" s="13"/>
      <c r="D77" s="1">
        <f>SUM(OSRRefD22_4x_0)</f>
        <v>0</v>
      </c>
      <c r="E77" s="1"/>
      <c r="F77" s="5">
        <f t="shared" si="37"/>
        <v>0</v>
      </c>
      <c r="G77" s="1"/>
      <c r="H77" s="1">
        <f>SUM(OSRRefH22_4x_0)</f>
        <v>933.49</v>
      </c>
      <c r="I77" s="1"/>
      <c r="J77" s="5">
        <f t="shared" si="38"/>
        <v>1.1047659533877268E-2</v>
      </c>
      <c r="K77" s="1"/>
      <c r="L77" s="1">
        <f t="shared" si="39"/>
        <v>-933.49</v>
      </c>
      <c r="M77" s="1"/>
      <c r="N77" s="5">
        <f t="shared" si="40"/>
        <v>-1</v>
      </c>
      <c r="O77" s="13"/>
      <c r="P77" s="1">
        <f>SUM(OSRRefP22_4x_0)</f>
        <v>0</v>
      </c>
      <c r="Q77" s="1"/>
      <c r="R77" s="5">
        <f t="shared" si="41"/>
        <v>0</v>
      </c>
      <c r="S77" s="1"/>
      <c r="T77" s="1">
        <f>SUM(OSRRefT22_4x_0)</f>
        <v>49270.659999999996</v>
      </c>
      <c r="U77" s="1"/>
      <c r="V77" s="5">
        <f t="shared" si="42"/>
        <v>3.1117359846307688E-2</v>
      </c>
      <c r="W77" s="1"/>
      <c r="X77" s="1">
        <f t="shared" si="43"/>
        <v>-49270.659999999996</v>
      </c>
      <c r="Y77" s="1"/>
      <c r="Z77" s="5">
        <f t="shared" si="44"/>
        <v>-1</v>
      </c>
    </row>
    <row r="78" spans="1:26" s="24" customFormat="1" hidden="1" outlineLevel="2" x14ac:dyDescent="0.25">
      <c r="A78" s="27"/>
      <c r="B78" s="11" t="str">
        <f>CONCATENATE("          ", "6382", " - ", "DISCOUNTS/MARK DOWNS")</f>
        <v xml:space="preserve">          6382 - DISCOUNTS/MARK DOWNS</v>
      </c>
      <c r="C78" s="11"/>
      <c r="D78" s="7"/>
      <c r="E78" s="2"/>
      <c r="F78" s="6">
        <f t="shared" si="37"/>
        <v>0</v>
      </c>
      <c r="G78" s="2"/>
      <c r="H78" s="7">
        <v>933.49</v>
      </c>
      <c r="I78" s="2"/>
      <c r="J78" s="6">
        <f t="shared" si="38"/>
        <v>1.1047659533877268E-2</v>
      </c>
      <c r="K78" s="2"/>
      <c r="L78" s="7">
        <f t="shared" si="39"/>
        <v>-933.49</v>
      </c>
      <c r="M78" s="2"/>
      <c r="N78" s="6">
        <f t="shared" si="40"/>
        <v>-1</v>
      </c>
      <c r="O78" s="11"/>
      <c r="P78" s="7"/>
      <c r="Q78" s="2"/>
      <c r="R78" s="6">
        <f t="shared" si="41"/>
        <v>0</v>
      </c>
      <c r="S78" s="2"/>
      <c r="T78" s="7">
        <v>49270.659999999996</v>
      </c>
      <c r="U78" s="2"/>
      <c r="V78" s="6">
        <f t="shared" si="42"/>
        <v>3.1117359846307688E-2</v>
      </c>
      <c r="W78" s="2"/>
      <c r="X78" s="7">
        <f t="shared" si="43"/>
        <v>-49270.659999999996</v>
      </c>
      <c r="Y78" s="2"/>
      <c r="Z78" s="6">
        <f t="shared" si="44"/>
        <v>-1</v>
      </c>
    </row>
    <row r="79" spans="1:26" s="25" customFormat="1" outlineLevel="1" collapsed="1" x14ac:dyDescent="0.25">
      <c r="A79" s="26"/>
      <c r="B79" s="13" t="str">
        <f>CONCATENATE("     ","Freight out/Postage                               ")</f>
        <v xml:space="preserve">     Freight out/Postage                               </v>
      </c>
      <c r="C79" s="13"/>
      <c r="D79" s="1">
        <f>SUM(OSRRefD22_5x_0)</f>
        <v>43.58</v>
      </c>
      <c r="E79" s="1"/>
      <c r="F79" s="5">
        <f t="shared" si="37"/>
        <v>5.4857894388357143E-4</v>
      </c>
      <c r="G79" s="1"/>
      <c r="H79" s="1">
        <f>SUM(OSRRefH22_5x_0)</f>
        <v>0</v>
      </c>
      <c r="I79" s="1"/>
      <c r="J79" s="5">
        <f t="shared" si="38"/>
        <v>0</v>
      </c>
      <c r="K79" s="1"/>
      <c r="L79" s="1">
        <f t="shared" si="39"/>
        <v>43.58</v>
      </c>
      <c r="M79" s="1"/>
      <c r="N79" s="5">
        <f t="shared" si="40"/>
        <v>0</v>
      </c>
      <c r="O79" s="13"/>
      <c r="P79" s="1">
        <f>SUM(OSRRefP22_5x_0)</f>
        <v>871.17000000000007</v>
      </c>
      <c r="Q79" s="1"/>
      <c r="R79" s="5">
        <f t="shared" si="41"/>
        <v>6.8308601035898902E-4</v>
      </c>
      <c r="S79" s="1"/>
      <c r="T79" s="1">
        <f>SUM(OSRRefT22_5x_0)</f>
        <v>41.61</v>
      </c>
      <c r="U79" s="1"/>
      <c r="V79" s="5">
        <f t="shared" si="42"/>
        <v>2.6279196243867304E-5</v>
      </c>
      <c r="W79" s="1"/>
      <c r="X79" s="1">
        <f t="shared" si="43"/>
        <v>829.56000000000006</v>
      </c>
      <c r="Y79" s="1"/>
      <c r="Z79" s="5">
        <f t="shared" si="44"/>
        <v>19.936553713049751</v>
      </c>
    </row>
    <row r="80" spans="1:26" s="24" customFormat="1" hidden="1" outlineLevel="2" x14ac:dyDescent="0.25">
      <c r="A80" s="27"/>
      <c r="B80" s="11" t="str">
        <f>CONCATENATE("          ", "6305", " - ", "FREIGHT OUT")</f>
        <v xml:space="preserve">          6305 - FREIGHT OUT</v>
      </c>
      <c r="C80" s="11"/>
      <c r="D80" s="7">
        <v>43.58</v>
      </c>
      <c r="E80" s="2"/>
      <c r="F80" s="6">
        <f t="shared" si="37"/>
        <v>5.4857894388357143E-4</v>
      </c>
      <c r="G80" s="2"/>
      <c r="H80" s="7"/>
      <c r="I80" s="2"/>
      <c r="J80" s="6">
        <f t="shared" si="38"/>
        <v>0</v>
      </c>
      <c r="K80" s="2"/>
      <c r="L80" s="7">
        <f t="shared" si="39"/>
        <v>43.58</v>
      </c>
      <c r="M80" s="2"/>
      <c r="N80" s="6">
        <f t="shared" si="40"/>
        <v>0</v>
      </c>
      <c r="O80" s="11"/>
      <c r="P80" s="7">
        <v>858.57</v>
      </c>
      <c r="Q80" s="2"/>
      <c r="R80" s="6">
        <f t="shared" si="41"/>
        <v>6.7320632702448115E-4</v>
      </c>
      <c r="S80" s="2"/>
      <c r="T80" s="7">
        <v>41.61</v>
      </c>
      <c r="U80" s="2"/>
      <c r="V80" s="6">
        <f t="shared" si="42"/>
        <v>2.6279196243867304E-5</v>
      </c>
      <c r="W80" s="2"/>
      <c r="X80" s="7">
        <f t="shared" si="43"/>
        <v>816.96</v>
      </c>
      <c r="Y80" s="2"/>
      <c r="Z80" s="6">
        <f t="shared" si="44"/>
        <v>19.633741888968999</v>
      </c>
    </row>
    <row r="81" spans="1:26" s="24" customFormat="1" hidden="1" outlineLevel="2" x14ac:dyDescent="0.25">
      <c r="A81" s="27"/>
      <c r="B81" s="11" t="str">
        <f>CONCATENATE("          ", "6307", " - ", "POSTAGE")</f>
        <v xml:space="preserve">          6307 - POSTAGE</v>
      </c>
      <c r="C81" s="11"/>
      <c r="D81" s="7"/>
      <c r="E81" s="2"/>
      <c r="F81" s="6">
        <f t="shared" si="37"/>
        <v>0</v>
      </c>
      <c r="G81" s="2"/>
      <c r="H81" s="7"/>
      <c r="I81" s="2"/>
      <c r="J81" s="6">
        <f t="shared" si="38"/>
        <v>0</v>
      </c>
      <c r="K81" s="2"/>
      <c r="L81" s="7">
        <f t="shared" si="39"/>
        <v>0</v>
      </c>
      <c r="M81" s="2"/>
      <c r="N81" s="6">
        <f t="shared" si="40"/>
        <v>0</v>
      </c>
      <c r="O81" s="11"/>
      <c r="P81" s="7">
        <v>12.6</v>
      </c>
      <c r="Q81" s="2"/>
      <c r="R81" s="6">
        <f t="shared" si="41"/>
        <v>9.8796833345079152E-6</v>
      </c>
      <c r="S81" s="2"/>
      <c r="T81" s="7"/>
      <c r="U81" s="2"/>
      <c r="V81" s="6">
        <f t="shared" si="42"/>
        <v>0</v>
      </c>
      <c r="W81" s="2"/>
      <c r="X81" s="7">
        <f t="shared" si="43"/>
        <v>12.6</v>
      </c>
      <c r="Y81" s="2"/>
      <c r="Z81" s="6">
        <f t="shared" si="44"/>
        <v>0</v>
      </c>
    </row>
    <row r="82" spans="1:26" s="25" customFormat="1" outlineLevel="1" collapsed="1" x14ac:dyDescent="0.25">
      <c r="A82" s="26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SUM(OSRRefD22_6x_0)</f>
        <v>0</v>
      </c>
      <c r="E82" s="1"/>
      <c r="F82" s="5">
        <f t="shared" ref="F82:F93" si="45">IF(D$12=0,0,D82/D$12)</f>
        <v>0</v>
      </c>
      <c r="G82" s="1"/>
      <c r="H82" s="1">
        <f>SUM(OSRRefH22_6x_0)</f>
        <v>0</v>
      </c>
      <c r="I82" s="1"/>
      <c r="J82" s="5">
        <f t="shared" ref="J82:J93" si="46">IF(H$12=0,0,H82/H$12)</f>
        <v>0</v>
      </c>
      <c r="K82" s="1"/>
      <c r="L82" s="1">
        <f t="shared" ref="L82:L93" si="47">+D82-H82</f>
        <v>0</v>
      </c>
      <c r="M82" s="1"/>
      <c r="N82" s="5">
        <f t="shared" ref="N82:N93" si="48">IF(H82=0,0,L82/H82)</f>
        <v>0</v>
      </c>
      <c r="O82" s="13"/>
      <c r="P82" s="1">
        <f>SUM(OSRRefP22_6x_0)</f>
        <v>-30.15</v>
      </c>
      <c r="Q82" s="1"/>
      <c r="R82" s="5">
        <f t="shared" ref="R82:R93" si="49">IF(P$12=0,0,P82/P$12)</f>
        <v>-2.3640670836143939E-5</v>
      </c>
      <c r="S82" s="1"/>
      <c r="T82" s="1">
        <f>SUM(OSRRefT22_6x_0)</f>
        <v>0</v>
      </c>
      <c r="U82" s="1"/>
      <c r="V82" s="5">
        <f t="shared" ref="V82:V93" si="50">IF(T$12=0,0,T82/T$12)</f>
        <v>0</v>
      </c>
      <c r="W82" s="1"/>
      <c r="X82" s="1">
        <f t="shared" ref="X82:X93" si="51">+P82-T82</f>
        <v>-30.15</v>
      </c>
      <c r="Y82" s="1"/>
      <c r="Z82" s="5">
        <f t="shared" ref="Z82:Z93" si="52">IF(T82=0,0,X82/T82)</f>
        <v>0</v>
      </c>
    </row>
    <row r="83" spans="1:26" s="24" customFormat="1" hidden="1" outlineLevel="2" x14ac:dyDescent="0.25">
      <c r="A83" s="27"/>
      <c r="B83" s="11" t="str">
        <f>CONCATENATE("          ", "6279", " - ", "GENERAL EXPENSE")</f>
        <v xml:space="preserve">          6279 - GENERAL EXPENSE</v>
      </c>
      <c r="C83" s="11"/>
      <c r="D83" s="7"/>
      <c r="E83" s="2"/>
      <c r="F83" s="6">
        <f t="shared" si="45"/>
        <v>0</v>
      </c>
      <c r="G83" s="2"/>
      <c r="H83" s="7"/>
      <c r="I83" s="2"/>
      <c r="J83" s="6">
        <f t="shared" si="46"/>
        <v>0</v>
      </c>
      <c r="K83" s="2"/>
      <c r="L83" s="7">
        <f t="shared" si="47"/>
        <v>0</v>
      </c>
      <c r="M83" s="2"/>
      <c r="N83" s="6">
        <f t="shared" si="48"/>
        <v>0</v>
      </c>
      <c r="O83" s="11"/>
      <c r="P83" s="7">
        <v>-30.15</v>
      </c>
      <c r="Q83" s="2"/>
      <c r="R83" s="6">
        <f t="shared" si="49"/>
        <v>-2.3640670836143939E-5</v>
      </c>
      <c r="S83" s="2"/>
      <c r="T83" s="7"/>
      <c r="U83" s="2"/>
      <c r="V83" s="6">
        <f t="shared" si="50"/>
        <v>0</v>
      </c>
      <c r="W83" s="2"/>
      <c r="X83" s="7">
        <f t="shared" si="51"/>
        <v>-30.15</v>
      </c>
      <c r="Y83" s="2"/>
      <c r="Z83" s="6">
        <f t="shared" si="52"/>
        <v>0</v>
      </c>
    </row>
    <row r="84" spans="1:26" s="25" customFormat="1" outlineLevel="1" collapsed="1" x14ac:dyDescent="0.25">
      <c r="A84" s="26"/>
      <c r="B84" s="13" t="str">
        <f>CONCATENATE("     ","Inventory Adjustment                              ")</f>
        <v xml:space="preserve">     Inventory Adjustment                              </v>
      </c>
      <c r="C84" s="13"/>
      <c r="D84" s="1">
        <f>SUM(OSRRefD22_7x_0)</f>
        <v>1250</v>
      </c>
      <c r="E84" s="1"/>
      <c r="F84" s="5">
        <f t="shared" si="45"/>
        <v>1.5734825145811482E-2</v>
      </c>
      <c r="G84" s="1"/>
      <c r="H84" s="1">
        <f>SUM(OSRRefH22_7x_0)</f>
        <v>0</v>
      </c>
      <c r="I84" s="1"/>
      <c r="J84" s="5">
        <f t="shared" si="46"/>
        <v>0</v>
      </c>
      <c r="K84" s="1"/>
      <c r="L84" s="1">
        <f t="shared" si="47"/>
        <v>1250</v>
      </c>
      <c r="M84" s="1"/>
      <c r="N84" s="5">
        <f t="shared" si="48"/>
        <v>0</v>
      </c>
      <c r="O84" s="13"/>
      <c r="P84" s="1">
        <f>SUM(OSRRefP22_7x_0)</f>
        <v>7500</v>
      </c>
      <c r="Q84" s="1"/>
      <c r="R84" s="5">
        <f t="shared" si="49"/>
        <v>5.8807638895880454E-3</v>
      </c>
      <c r="S84" s="1"/>
      <c r="T84" s="1">
        <f>SUM(OSRRefT22_7x_0)</f>
        <v>0</v>
      </c>
      <c r="U84" s="1"/>
      <c r="V84" s="5">
        <f t="shared" si="50"/>
        <v>0</v>
      </c>
      <c r="W84" s="1"/>
      <c r="X84" s="1">
        <f t="shared" si="51"/>
        <v>7500</v>
      </c>
      <c r="Y84" s="1"/>
      <c r="Z84" s="5">
        <f t="shared" si="52"/>
        <v>0</v>
      </c>
    </row>
    <row r="85" spans="1:26" s="24" customFormat="1" hidden="1" outlineLevel="2" x14ac:dyDescent="0.25">
      <c r="A85" s="27"/>
      <c r="B85" s="11" t="str">
        <f>CONCATENATE("          ", "6408", " - ", "INVENTORY ADJUSTMENT")</f>
        <v xml:space="preserve">          6408 - INVENTORY ADJUSTMENT</v>
      </c>
      <c r="C85" s="11"/>
      <c r="D85" s="7">
        <v>1250</v>
      </c>
      <c r="E85" s="2"/>
      <c r="F85" s="6">
        <f t="shared" si="45"/>
        <v>1.5734825145811482E-2</v>
      </c>
      <c r="G85" s="2"/>
      <c r="H85" s="7"/>
      <c r="I85" s="2"/>
      <c r="J85" s="6">
        <f t="shared" si="46"/>
        <v>0</v>
      </c>
      <c r="K85" s="2"/>
      <c r="L85" s="7">
        <f t="shared" si="47"/>
        <v>1250</v>
      </c>
      <c r="M85" s="2"/>
      <c r="N85" s="6">
        <f t="shared" si="48"/>
        <v>0</v>
      </c>
      <c r="O85" s="11"/>
      <c r="P85" s="7">
        <v>7500</v>
      </c>
      <c r="Q85" s="2"/>
      <c r="R85" s="6">
        <f t="shared" si="49"/>
        <v>5.8807638895880454E-3</v>
      </c>
      <c r="S85" s="2"/>
      <c r="T85" s="7"/>
      <c r="U85" s="2"/>
      <c r="V85" s="6">
        <f t="shared" si="50"/>
        <v>0</v>
      </c>
      <c r="W85" s="2"/>
      <c r="X85" s="7">
        <f t="shared" si="51"/>
        <v>7500</v>
      </c>
      <c r="Y85" s="2"/>
      <c r="Z85" s="6">
        <f t="shared" si="52"/>
        <v>0</v>
      </c>
    </row>
    <row r="86" spans="1:26" s="25" customFormat="1" outlineLevel="1" collapsed="1" x14ac:dyDescent="0.25">
      <c r="A86" s="26"/>
      <c r="B86" s="13" t="str">
        <f>CONCATENATE("     ","Repair and Maintenance                            ")</f>
        <v xml:space="preserve">     Repair and Maintenance                            </v>
      </c>
      <c r="C86" s="13"/>
      <c r="D86" s="1">
        <f>SUM(OSRRefD22_8x_0)</f>
        <v>0</v>
      </c>
      <c r="E86" s="1"/>
      <c r="F86" s="5">
        <f t="shared" si="45"/>
        <v>0</v>
      </c>
      <c r="G86" s="1"/>
      <c r="H86" s="1">
        <f>SUM(OSRRefH22_8x_0)</f>
        <v>197.18</v>
      </c>
      <c r="I86" s="1"/>
      <c r="J86" s="5">
        <f t="shared" si="46"/>
        <v>2.333584191464204E-3</v>
      </c>
      <c r="K86" s="1"/>
      <c r="L86" s="1">
        <f t="shared" si="47"/>
        <v>-197.18</v>
      </c>
      <c r="M86" s="1"/>
      <c r="N86" s="5">
        <f t="shared" si="48"/>
        <v>-1</v>
      </c>
      <c r="O86" s="13"/>
      <c r="P86" s="1">
        <f>SUM(OSRRefP22_8x_0)</f>
        <v>0</v>
      </c>
      <c r="Q86" s="1"/>
      <c r="R86" s="5">
        <f t="shared" si="49"/>
        <v>0</v>
      </c>
      <c r="S86" s="1"/>
      <c r="T86" s="1">
        <f>SUM(OSRRefT22_8x_0)</f>
        <v>197.18</v>
      </c>
      <c r="U86" s="1"/>
      <c r="V86" s="5">
        <f t="shared" si="50"/>
        <v>1.2453092803090015E-4</v>
      </c>
      <c r="W86" s="1"/>
      <c r="X86" s="1">
        <f t="shared" si="51"/>
        <v>-197.18</v>
      </c>
      <c r="Y86" s="1"/>
      <c r="Z86" s="5">
        <f t="shared" si="52"/>
        <v>-1</v>
      </c>
    </row>
    <row r="87" spans="1:26" s="24" customFormat="1" hidden="1" outlineLevel="2" x14ac:dyDescent="0.25">
      <c r="A87" s="27"/>
      <c r="B87" s="11" t="str">
        <f>CONCATENATE("          ", "6375", " - ", "OUTSIDE REPAIRS &amp; MAINTENANCE")</f>
        <v xml:space="preserve">          6375 - OUTSIDE REPAIRS &amp; MAINTENANCE</v>
      </c>
      <c r="C87" s="11"/>
      <c r="D87" s="7"/>
      <c r="E87" s="2"/>
      <c r="F87" s="6">
        <f t="shared" si="45"/>
        <v>0</v>
      </c>
      <c r="G87" s="2"/>
      <c r="H87" s="7">
        <v>197.18</v>
      </c>
      <c r="I87" s="2"/>
      <c r="J87" s="6">
        <f t="shared" si="46"/>
        <v>2.333584191464204E-3</v>
      </c>
      <c r="K87" s="2"/>
      <c r="L87" s="7">
        <f t="shared" si="47"/>
        <v>-197.18</v>
      </c>
      <c r="M87" s="2"/>
      <c r="N87" s="6">
        <f t="shared" si="48"/>
        <v>-1</v>
      </c>
      <c r="O87" s="11"/>
      <c r="P87" s="7"/>
      <c r="Q87" s="2"/>
      <c r="R87" s="6">
        <f t="shared" si="49"/>
        <v>0</v>
      </c>
      <c r="S87" s="2"/>
      <c r="T87" s="7">
        <v>197.18</v>
      </c>
      <c r="U87" s="2"/>
      <c r="V87" s="6">
        <f t="shared" si="50"/>
        <v>1.2453092803090015E-4</v>
      </c>
      <c r="W87" s="2"/>
      <c r="X87" s="7">
        <f t="shared" si="51"/>
        <v>-197.18</v>
      </c>
      <c r="Y87" s="2"/>
      <c r="Z87" s="6">
        <f t="shared" si="52"/>
        <v>-1</v>
      </c>
    </row>
    <row r="88" spans="1:26" s="25" customFormat="1" outlineLevel="1" collapsed="1" x14ac:dyDescent="0.25">
      <c r="A88" s="26"/>
      <c r="B88" s="13" t="str">
        <f>CONCATENATE("     ","Subscriptions &amp; Dues                              ")</f>
        <v xml:space="preserve">     Subscriptions &amp; Dues                              </v>
      </c>
      <c r="C88" s="13"/>
      <c r="D88" s="1">
        <f>SUM(OSRRefD22_9x_0)</f>
        <v>0</v>
      </c>
      <c r="E88" s="1"/>
      <c r="F88" s="5">
        <f t="shared" si="45"/>
        <v>0</v>
      </c>
      <c r="G88" s="1"/>
      <c r="H88" s="1">
        <f>SUM(OSRRefH22_9x_0)</f>
        <v>0</v>
      </c>
      <c r="I88" s="1"/>
      <c r="J88" s="5">
        <f t="shared" si="46"/>
        <v>0</v>
      </c>
      <c r="K88" s="1"/>
      <c r="L88" s="1">
        <f t="shared" si="47"/>
        <v>0</v>
      </c>
      <c r="M88" s="1"/>
      <c r="N88" s="5">
        <f t="shared" si="48"/>
        <v>0</v>
      </c>
      <c r="O88" s="13"/>
      <c r="P88" s="1">
        <f>SUM(OSRRefP22_9x_0)</f>
        <v>0</v>
      </c>
      <c r="Q88" s="1"/>
      <c r="R88" s="5">
        <f t="shared" si="49"/>
        <v>0</v>
      </c>
      <c r="S88" s="1"/>
      <c r="T88" s="1">
        <f>SUM(OSRRefT22_9x_0)</f>
        <v>-5000</v>
      </c>
      <c r="U88" s="1"/>
      <c r="V88" s="5">
        <f t="shared" si="50"/>
        <v>-3.1577981547545424E-3</v>
      </c>
      <c r="W88" s="1"/>
      <c r="X88" s="1">
        <f t="shared" si="51"/>
        <v>5000</v>
      </c>
      <c r="Y88" s="1"/>
      <c r="Z88" s="5">
        <f t="shared" si="52"/>
        <v>-1</v>
      </c>
    </row>
    <row r="89" spans="1:26" s="24" customFormat="1" hidden="1" outlineLevel="2" x14ac:dyDescent="0.25">
      <c r="A89" s="27"/>
      <c r="B89" s="11" t="str">
        <f>CONCATENATE("          ", "6258", " - ", "MEMBERSHIP DUES")</f>
        <v xml:space="preserve">          6258 - MEMBERSHIP DUES</v>
      </c>
      <c r="C89" s="11"/>
      <c r="D89" s="7"/>
      <c r="E89" s="2"/>
      <c r="F89" s="6">
        <f t="shared" si="45"/>
        <v>0</v>
      </c>
      <c r="G89" s="2"/>
      <c r="H89" s="7"/>
      <c r="I89" s="2"/>
      <c r="J89" s="6">
        <f t="shared" si="46"/>
        <v>0</v>
      </c>
      <c r="K89" s="2"/>
      <c r="L89" s="7">
        <f t="shared" si="47"/>
        <v>0</v>
      </c>
      <c r="M89" s="2"/>
      <c r="N89" s="6">
        <f t="shared" si="48"/>
        <v>0</v>
      </c>
      <c r="O89" s="11"/>
      <c r="P89" s="7"/>
      <c r="Q89" s="2"/>
      <c r="R89" s="6">
        <f t="shared" si="49"/>
        <v>0</v>
      </c>
      <c r="S89" s="2"/>
      <c r="T89" s="7">
        <v>-5000</v>
      </c>
      <c r="U89" s="2"/>
      <c r="V89" s="6">
        <f t="shared" si="50"/>
        <v>-3.1577981547545424E-3</v>
      </c>
      <c r="W89" s="2"/>
      <c r="X89" s="7">
        <f t="shared" si="51"/>
        <v>5000</v>
      </c>
      <c r="Y89" s="2"/>
      <c r="Z89" s="6">
        <f t="shared" si="52"/>
        <v>-1</v>
      </c>
    </row>
    <row r="90" spans="1:26" s="25" customFormat="1" outlineLevel="1" collapsed="1" x14ac:dyDescent="0.25">
      <c r="A90" s="26"/>
      <c r="B90" s="13" t="str">
        <f>CONCATENATE("     ","Supplies                                          ")</f>
        <v xml:space="preserve">     Supplies                                          </v>
      </c>
      <c r="C90" s="13"/>
      <c r="D90" s="1">
        <f>SUM(OSRRefD22_10x_0)</f>
        <v>1052.8599999999999</v>
      </c>
      <c r="E90" s="1"/>
      <c r="F90" s="5">
        <f t="shared" si="45"/>
        <v>1.325325440241526E-2</v>
      </c>
      <c r="G90" s="1"/>
      <c r="H90" s="1">
        <f>SUM(OSRRefH22_10x_0)</f>
        <v>0</v>
      </c>
      <c r="I90" s="1"/>
      <c r="J90" s="5">
        <f t="shared" si="46"/>
        <v>0</v>
      </c>
      <c r="K90" s="1"/>
      <c r="L90" s="1">
        <f t="shared" si="47"/>
        <v>1052.8599999999999</v>
      </c>
      <c r="M90" s="1"/>
      <c r="N90" s="5">
        <f t="shared" si="48"/>
        <v>0</v>
      </c>
      <c r="O90" s="13"/>
      <c r="P90" s="1">
        <f>SUM(OSRRefP22_10x_0)</f>
        <v>2753.5699999999997</v>
      </c>
      <c r="Q90" s="1"/>
      <c r="R90" s="5">
        <f t="shared" si="49"/>
        <v>2.1590793364603938E-3</v>
      </c>
      <c r="S90" s="1"/>
      <c r="T90" s="1">
        <f>SUM(OSRRefT22_10x_0)</f>
        <v>2702.03</v>
      </c>
      <c r="U90" s="1"/>
      <c r="V90" s="5">
        <f t="shared" si="50"/>
        <v>1.7064930696182835E-3</v>
      </c>
      <c r="W90" s="1"/>
      <c r="X90" s="1">
        <f t="shared" si="51"/>
        <v>51.539999999999509</v>
      </c>
      <c r="Y90" s="1"/>
      <c r="Z90" s="5">
        <f t="shared" si="52"/>
        <v>1.9074547654911123E-2</v>
      </c>
    </row>
    <row r="91" spans="1:26" s="24" customFormat="1" hidden="1" outlineLevel="2" x14ac:dyDescent="0.25">
      <c r="A91" s="27"/>
      <c r="B91" s="11" t="str">
        <f>CONCATENATE("          ", "6235", " - ", "COVID-19 EXPENSES")</f>
        <v xml:space="preserve">          6235 - COVID-19 EXPENSES</v>
      </c>
      <c r="C91" s="11"/>
      <c r="D91" s="7"/>
      <c r="E91" s="2"/>
      <c r="F91" s="6">
        <f t="shared" si="45"/>
        <v>0</v>
      </c>
      <c r="G91" s="2"/>
      <c r="H91" s="7"/>
      <c r="I91" s="2"/>
      <c r="J91" s="6">
        <f t="shared" si="46"/>
        <v>0</v>
      </c>
      <c r="K91" s="2"/>
      <c r="L91" s="7">
        <f t="shared" si="47"/>
        <v>0</v>
      </c>
      <c r="M91" s="2"/>
      <c r="N91" s="6">
        <f t="shared" si="48"/>
        <v>0</v>
      </c>
      <c r="O91" s="11"/>
      <c r="P91" s="7">
        <v>668.12</v>
      </c>
      <c r="Q91" s="2"/>
      <c r="R91" s="6">
        <f t="shared" si="49"/>
        <v>5.2387412932154199E-4</v>
      </c>
      <c r="S91" s="2"/>
      <c r="T91" s="7"/>
      <c r="U91" s="2"/>
      <c r="V91" s="6">
        <f t="shared" si="50"/>
        <v>0</v>
      </c>
      <c r="W91" s="2"/>
      <c r="X91" s="7">
        <f t="shared" si="51"/>
        <v>668.12</v>
      </c>
      <c r="Y91" s="2"/>
      <c r="Z91" s="6">
        <f t="shared" si="52"/>
        <v>0</v>
      </c>
    </row>
    <row r="92" spans="1:26" s="24" customFormat="1" hidden="1" outlineLevel="2" x14ac:dyDescent="0.25">
      <c r="A92" s="27"/>
      <c r="B92" s="11" t="str">
        <f>CONCATENATE("          ", "6241", " - ", "OFFICE EXPENSE")</f>
        <v xml:space="preserve">          6241 - OFFICE EXPENSE</v>
      </c>
      <c r="C92" s="11"/>
      <c r="D92" s="7">
        <v>1052.8599999999999</v>
      </c>
      <c r="E92" s="2"/>
      <c r="F92" s="6">
        <f t="shared" si="45"/>
        <v>1.325325440241526E-2</v>
      </c>
      <c r="G92" s="2"/>
      <c r="H92" s="7"/>
      <c r="I92" s="2"/>
      <c r="J92" s="6">
        <f t="shared" si="46"/>
        <v>0</v>
      </c>
      <c r="K92" s="2"/>
      <c r="L92" s="7">
        <f t="shared" si="47"/>
        <v>1052.8599999999999</v>
      </c>
      <c r="M92" s="2"/>
      <c r="N92" s="6">
        <f t="shared" si="48"/>
        <v>0</v>
      </c>
      <c r="O92" s="11"/>
      <c r="P92" s="7">
        <v>2085.4499999999998</v>
      </c>
      <c r="Q92" s="2"/>
      <c r="R92" s="6">
        <f t="shared" si="49"/>
        <v>1.6352052071388517E-3</v>
      </c>
      <c r="S92" s="2"/>
      <c r="T92" s="7">
        <v>692.65</v>
      </c>
      <c r="U92" s="2"/>
      <c r="V92" s="6">
        <f t="shared" si="50"/>
        <v>4.3744977837814679E-4</v>
      </c>
      <c r="W92" s="2"/>
      <c r="X92" s="7">
        <f t="shared" si="51"/>
        <v>1392.7999999999997</v>
      </c>
      <c r="Y92" s="2"/>
      <c r="Z92" s="6">
        <f t="shared" si="52"/>
        <v>2.0108279794990254</v>
      </c>
    </row>
    <row r="93" spans="1:26" s="24" customFormat="1" hidden="1" outlineLevel="2" x14ac:dyDescent="0.25">
      <c r="A93" s="27"/>
      <c r="B93" s="11" t="str">
        <f>CONCATENATE("          ", "6247", " - ", "STORE SUPPLIES")</f>
        <v xml:space="preserve">          6247 - STORE SUPPLIES</v>
      </c>
      <c r="C93" s="11"/>
      <c r="D93" s="7"/>
      <c r="E93" s="2"/>
      <c r="F93" s="6">
        <f t="shared" si="45"/>
        <v>0</v>
      </c>
      <c r="G93" s="2"/>
      <c r="H93" s="7"/>
      <c r="I93" s="2"/>
      <c r="J93" s="6">
        <f t="shared" si="46"/>
        <v>0</v>
      </c>
      <c r="K93" s="2"/>
      <c r="L93" s="7">
        <f t="shared" si="47"/>
        <v>0</v>
      </c>
      <c r="M93" s="2"/>
      <c r="N93" s="6">
        <f t="shared" si="48"/>
        <v>0</v>
      </c>
      <c r="O93" s="11"/>
      <c r="P93" s="7"/>
      <c r="Q93" s="2"/>
      <c r="R93" s="6">
        <f t="shared" si="49"/>
        <v>0</v>
      </c>
      <c r="S93" s="2"/>
      <c r="T93" s="7">
        <v>2009.38</v>
      </c>
      <c r="U93" s="2"/>
      <c r="V93" s="6">
        <f t="shared" si="50"/>
        <v>1.2690432912401367E-3</v>
      </c>
      <c r="W93" s="2"/>
      <c r="X93" s="7">
        <f t="shared" si="51"/>
        <v>-2009.38</v>
      </c>
      <c r="Y93" s="2"/>
      <c r="Z93" s="6">
        <f t="shared" si="52"/>
        <v>-1</v>
      </c>
    </row>
    <row r="94" spans="1:26" s="25" customFormat="1" outlineLevel="1" collapsed="1" x14ac:dyDescent="0.25">
      <c r="A94" s="26"/>
      <c r="B94" s="13" t="str">
        <f>CONCATENATE("     ","Telephone/Data Lines                              ")</f>
        <v xml:space="preserve">     Telephone/Data Lines                              </v>
      </c>
      <c r="C94" s="13"/>
      <c r="D94" s="1">
        <f>SUM(OSRRefD22_11x_0)</f>
        <v>282.95</v>
      </c>
      <c r="E94" s="1"/>
      <c r="F94" s="5">
        <f t="shared" ref="F94:F99" si="53">IF(D$12=0,0,D94/D$12)</f>
        <v>3.5617350200058866E-3</v>
      </c>
      <c r="G94" s="1"/>
      <c r="H94" s="1">
        <f>SUM(OSRRefH22_11x_0)</f>
        <v>257</v>
      </c>
      <c r="I94" s="1"/>
      <c r="J94" s="5">
        <f t="shared" ref="J94:J99" si="54">IF(H$12=0,0,H94/H$12)</f>
        <v>3.041541420054267E-3</v>
      </c>
      <c r="K94" s="1"/>
      <c r="L94" s="1">
        <f t="shared" ref="L94:L99" si="55">+D94-H94</f>
        <v>25.949999999999989</v>
      </c>
      <c r="M94" s="1"/>
      <c r="N94" s="5">
        <f t="shared" ref="N94:N99" si="56">IF(H94=0,0,L94/H94)</f>
        <v>0.10097276264591436</v>
      </c>
      <c r="O94" s="13"/>
      <c r="P94" s="1">
        <f>SUM(OSRRefP22_11x_0)</f>
        <v>1853.3</v>
      </c>
      <c r="Q94" s="1"/>
      <c r="R94" s="5">
        <f t="shared" ref="R94:R99" si="57">IF(P$12=0,0,P94/P$12)</f>
        <v>1.4531759622098033E-3</v>
      </c>
      <c r="S94" s="1"/>
      <c r="T94" s="1">
        <f>SUM(OSRRefT22_11x_0)</f>
        <v>1536.15</v>
      </c>
      <c r="U94" s="1"/>
      <c r="V94" s="5">
        <f t="shared" ref="V94:V99" si="58">IF(T$12=0,0,T94/T$12)</f>
        <v>9.7017032708523814E-4</v>
      </c>
      <c r="W94" s="1"/>
      <c r="X94" s="1">
        <f t="shared" ref="X94:X99" si="59">+P94-T94</f>
        <v>317.14999999999986</v>
      </c>
      <c r="Y94" s="1"/>
      <c r="Z94" s="5">
        <f t="shared" ref="Z94:Z99" si="60">IF(T94=0,0,X94/T94)</f>
        <v>0.2064577026983041</v>
      </c>
    </row>
    <row r="95" spans="1:26" s="24" customFormat="1" hidden="1" outlineLevel="2" x14ac:dyDescent="0.25">
      <c r="A95" s="27"/>
      <c r="B95" s="11" t="str">
        <f>CONCATENATE("          ", "6309", " - ", "TELEPHONE")</f>
        <v xml:space="preserve">          6309 - TELEPHONE</v>
      </c>
      <c r="C95" s="11"/>
      <c r="D95" s="7">
        <v>282.95</v>
      </c>
      <c r="E95" s="2"/>
      <c r="F95" s="6">
        <f t="shared" si="53"/>
        <v>3.5617350200058866E-3</v>
      </c>
      <c r="G95" s="2"/>
      <c r="H95" s="7">
        <v>257</v>
      </c>
      <c r="I95" s="2"/>
      <c r="J95" s="6">
        <f t="shared" si="54"/>
        <v>3.041541420054267E-3</v>
      </c>
      <c r="K95" s="2"/>
      <c r="L95" s="7">
        <f t="shared" si="55"/>
        <v>25.949999999999989</v>
      </c>
      <c r="M95" s="2"/>
      <c r="N95" s="6">
        <f t="shared" si="56"/>
        <v>0.10097276264591436</v>
      </c>
      <c r="O95" s="11"/>
      <c r="P95" s="7">
        <v>1853.3</v>
      </c>
      <c r="Q95" s="2"/>
      <c r="R95" s="6">
        <f t="shared" si="57"/>
        <v>1.4531759622098033E-3</v>
      </c>
      <c r="S95" s="2"/>
      <c r="T95" s="7">
        <v>1536.15</v>
      </c>
      <c r="U95" s="2"/>
      <c r="V95" s="6">
        <f t="shared" si="58"/>
        <v>9.7017032708523814E-4</v>
      </c>
      <c r="W95" s="2"/>
      <c r="X95" s="7">
        <f t="shared" si="59"/>
        <v>317.14999999999986</v>
      </c>
      <c r="Y95" s="2"/>
      <c r="Z95" s="6">
        <f t="shared" si="60"/>
        <v>0.2064577026983041</v>
      </c>
    </row>
    <row r="96" spans="1:26" s="25" customFormat="1" outlineLevel="1" collapsed="1" x14ac:dyDescent="0.25">
      <c r="A96" s="26"/>
      <c r="B96" s="13" t="str">
        <f>CONCATENATE("     ","Training                                          ")</f>
        <v xml:space="preserve">     Training                                          </v>
      </c>
      <c r="C96" s="13"/>
      <c r="D96" s="1">
        <f>SUM(OSRRefD22_12x_0)</f>
        <v>0</v>
      </c>
      <c r="E96" s="1"/>
      <c r="F96" s="5">
        <f t="shared" si="53"/>
        <v>0</v>
      </c>
      <c r="G96" s="1"/>
      <c r="H96" s="1">
        <f>SUM(OSRRefH22_12x_0)</f>
        <v>0</v>
      </c>
      <c r="I96" s="1"/>
      <c r="J96" s="5">
        <f t="shared" si="54"/>
        <v>0</v>
      </c>
      <c r="K96" s="1"/>
      <c r="L96" s="1">
        <f t="shared" si="55"/>
        <v>0</v>
      </c>
      <c r="M96" s="1"/>
      <c r="N96" s="5">
        <f t="shared" si="56"/>
        <v>0</v>
      </c>
      <c r="O96" s="13"/>
      <c r="P96" s="1">
        <f>SUM(OSRRefP22_12x_0)</f>
        <v>100</v>
      </c>
      <c r="Q96" s="1"/>
      <c r="R96" s="5">
        <f t="shared" si="57"/>
        <v>7.8410185194507275E-5</v>
      </c>
      <c r="S96" s="1"/>
      <c r="T96" s="1">
        <f>SUM(OSRRefT22_12x_0)</f>
        <v>1163.6400000000001</v>
      </c>
      <c r="U96" s="1"/>
      <c r="V96" s="5">
        <f t="shared" si="58"/>
        <v>7.3490804895971523E-4</v>
      </c>
      <c r="W96" s="1"/>
      <c r="X96" s="1">
        <f t="shared" si="59"/>
        <v>-1063.6400000000001</v>
      </c>
      <c r="Y96" s="1"/>
      <c r="Z96" s="5">
        <f t="shared" si="60"/>
        <v>-0.91406276855384827</v>
      </c>
    </row>
    <row r="97" spans="1:26" s="24" customFormat="1" hidden="1" outlineLevel="2" x14ac:dyDescent="0.25">
      <c r="A97" s="27"/>
      <c r="B97" s="11" t="str">
        <f>CONCATENATE("          ", "6376", " - ", "TRAINING")</f>
        <v xml:space="preserve">          6376 - TRAINING</v>
      </c>
      <c r="C97" s="11"/>
      <c r="D97" s="7"/>
      <c r="E97" s="2"/>
      <c r="F97" s="6">
        <f t="shared" si="53"/>
        <v>0</v>
      </c>
      <c r="G97" s="2"/>
      <c r="H97" s="7"/>
      <c r="I97" s="2"/>
      <c r="J97" s="6">
        <f t="shared" si="54"/>
        <v>0</v>
      </c>
      <c r="K97" s="2"/>
      <c r="L97" s="7">
        <f t="shared" si="55"/>
        <v>0</v>
      </c>
      <c r="M97" s="2"/>
      <c r="N97" s="6">
        <f t="shared" si="56"/>
        <v>0</v>
      </c>
      <c r="O97" s="11"/>
      <c r="P97" s="7">
        <v>100</v>
      </c>
      <c r="Q97" s="2"/>
      <c r="R97" s="6">
        <f t="shared" si="57"/>
        <v>7.8410185194507275E-5</v>
      </c>
      <c r="S97" s="2"/>
      <c r="T97" s="7">
        <v>1163.6400000000001</v>
      </c>
      <c r="U97" s="2"/>
      <c r="V97" s="6">
        <f t="shared" si="58"/>
        <v>7.3490804895971523E-4</v>
      </c>
      <c r="W97" s="2"/>
      <c r="X97" s="7">
        <f t="shared" si="59"/>
        <v>-1063.6400000000001</v>
      </c>
      <c r="Y97" s="2"/>
      <c r="Z97" s="6">
        <f t="shared" si="60"/>
        <v>-0.91406276855384827</v>
      </c>
    </row>
    <row r="98" spans="1:26" s="25" customFormat="1" outlineLevel="1" collapsed="1" x14ac:dyDescent="0.25">
      <c r="A98" s="26"/>
      <c r="B98" s="13" t="str">
        <f>CONCATENATE("     ","Travel                                            ")</f>
        <v xml:space="preserve">     Travel                                            </v>
      </c>
      <c r="C98" s="13"/>
      <c r="D98" s="1">
        <f>SUM(OSRRefD22_13x_0)</f>
        <v>0</v>
      </c>
      <c r="E98" s="1"/>
      <c r="F98" s="5">
        <f t="shared" si="53"/>
        <v>0</v>
      </c>
      <c r="G98" s="1"/>
      <c r="H98" s="1">
        <f>SUM(OSRRefH22_13x_0)</f>
        <v>0</v>
      </c>
      <c r="I98" s="1"/>
      <c r="J98" s="5">
        <f t="shared" si="54"/>
        <v>0</v>
      </c>
      <c r="K98" s="1"/>
      <c r="L98" s="1">
        <f t="shared" si="55"/>
        <v>0</v>
      </c>
      <c r="M98" s="1"/>
      <c r="N98" s="5">
        <f t="shared" si="56"/>
        <v>0</v>
      </c>
      <c r="O98" s="13"/>
      <c r="P98" s="1">
        <f>SUM(OSRRefP22_13x_0)</f>
        <v>0</v>
      </c>
      <c r="Q98" s="1"/>
      <c r="R98" s="5">
        <f t="shared" si="57"/>
        <v>0</v>
      </c>
      <c r="S98" s="1"/>
      <c r="T98" s="1">
        <f>SUM(OSRRefT22_13x_0)</f>
        <v>-178.06</v>
      </c>
      <c r="U98" s="1"/>
      <c r="V98" s="5">
        <f t="shared" si="58"/>
        <v>-1.1245550788711877E-4</v>
      </c>
      <c r="W98" s="1"/>
      <c r="X98" s="1">
        <f t="shared" si="59"/>
        <v>178.06</v>
      </c>
      <c r="Y98" s="1"/>
      <c r="Z98" s="5">
        <f t="shared" si="60"/>
        <v>-1</v>
      </c>
    </row>
    <row r="99" spans="1:26" s="24" customFormat="1" hidden="1" outlineLevel="2" x14ac:dyDescent="0.25">
      <c r="A99" s="27"/>
      <c r="B99" s="11" t="str">
        <f>CONCATENATE("          ", "6292", " - ", "TRAVEL/CONFERENCE")</f>
        <v xml:space="preserve">          6292 - TRAVEL/CONFERENCE</v>
      </c>
      <c r="C99" s="11"/>
      <c r="D99" s="7"/>
      <c r="E99" s="2"/>
      <c r="F99" s="6">
        <f t="shared" si="53"/>
        <v>0</v>
      </c>
      <c r="G99" s="2"/>
      <c r="H99" s="7"/>
      <c r="I99" s="2"/>
      <c r="J99" s="6">
        <f t="shared" si="54"/>
        <v>0</v>
      </c>
      <c r="K99" s="2"/>
      <c r="L99" s="7">
        <f t="shared" si="55"/>
        <v>0</v>
      </c>
      <c r="M99" s="2"/>
      <c r="N99" s="6">
        <f t="shared" si="56"/>
        <v>0</v>
      </c>
      <c r="O99" s="11"/>
      <c r="P99" s="7"/>
      <c r="Q99" s="2"/>
      <c r="R99" s="6">
        <f t="shared" si="57"/>
        <v>0</v>
      </c>
      <c r="S99" s="2"/>
      <c r="T99" s="7">
        <v>-178.06</v>
      </c>
      <c r="U99" s="2"/>
      <c r="V99" s="6">
        <f t="shared" si="58"/>
        <v>-1.1245550788711877E-4</v>
      </c>
      <c r="W99" s="2"/>
      <c r="X99" s="7">
        <f t="shared" si="59"/>
        <v>178.06</v>
      </c>
      <c r="Y99" s="2"/>
      <c r="Z99" s="6">
        <f t="shared" si="60"/>
        <v>-1</v>
      </c>
    </row>
    <row r="100" spans="1:26" s="55" customFormat="1" x14ac:dyDescent="0.25">
      <c r="A100" s="37"/>
      <c r="B100" s="37"/>
      <c r="C100" s="37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7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25">
      <c r="A101" s="10"/>
      <c r="B101" s="29" t="s">
        <v>0</v>
      </c>
      <c r="C101" s="10"/>
      <c r="D101" s="4">
        <f>SUM(OSRRefD25x_0)</f>
        <v>-412.00999999999993</v>
      </c>
      <c r="E101" s="4"/>
      <c r="F101" s="12">
        <f t="shared" ref="F101:F105" si="61">IF(D$12=0,0,D101/D$12)</f>
        <v>-5.1863242466606303E-3</v>
      </c>
      <c r="G101" s="4"/>
      <c r="H101" s="4">
        <f>SUM(OSRRefH25x_0)</f>
        <v>4.9300000000000068</v>
      </c>
      <c r="I101" s="4"/>
      <c r="J101" s="12">
        <f t="shared" ref="J101:J105" si="62">IF(H$12=0,0,H101/H$12)</f>
        <v>5.8345522182364038E-5</v>
      </c>
      <c r="K101" s="4"/>
      <c r="L101" s="4">
        <f t="shared" ref="L101:L105" si="63">+D101-H101</f>
        <v>-416.93999999999994</v>
      </c>
      <c r="M101" s="4"/>
      <c r="N101" s="12">
        <f t="shared" ref="N101:N105" si="64">IF(H101=0,0,L101/H101)</f>
        <v>-84.57200811359013</v>
      </c>
      <c r="O101" s="10"/>
      <c r="P101" s="4">
        <f>SUM(OSRRefP25x_0)</f>
        <v>343.1</v>
      </c>
      <c r="Q101" s="4"/>
      <c r="R101" s="12">
        <f t="shared" ref="R101:R105" si="65">IF(P$12=0,0,P101/P$12)</f>
        <v>2.6902534540235444E-4</v>
      </c>
      <c r="S101" s="4"/>
      <c r="T101" s="4">
        <f>SUM(OSRRefT25x_0)</f>
        <v>7236.66</v>
      </c>
      <c r="U101" s="4"/>
      <c r="V101" s="12">
        <f t="shared" ref="V101:V105" si="66">IF(T$12=0,0,T101/T$12)</f>
        <v>4.5703823189172012E-3</v>
      </c>
      <c r="W101" s="4"/>
      <c r="X101" s="4">
        <f t="shared" ref="X101:X105" si="67">+P101-T101</f>
        <v>-6893.5599999999995</v>
      </c>
      <c r="Y101" s="4"/>
      <c r="Z101" s="12">
        <f t="shared" ref="Z101:Z105" si="68">IF(T101=0,0,X101/T101)</f>
        <v>-0.9525886251392216</v>
      </c>
    </row>
    <row r="102" spans="1:26" s="24" customFormat="1" hidden="1" outlineLevel="1" x14ac:dyDescent="0.25">
      <c r="A102" s="44"/>
      <c r="B102" s="11" t="str">
        <f>CONCATENATE("          ", "4187", " - ", "NON-TAXABLE SALES-COMPUTER REP")</f>
        <v xml:space="preserve">          4187 - NON-TAXABLE SALES-COMPUTER REP</v>
      </c>
      <c r="C102" s="11"/>
      <c r="D102" s="2">
        <f>--471.29</f>
        <v>471.29</v>
      </c>
      <c r="E102" s="2"/>
      <c r="F102" s="19">
        <f t="shared" si="61"/>
        <v>5.9325325943755947E-3</v>
      </c>
      <c r="G102" s="2"/>
      <c r="H102" s="2">
        <f>--456.99</f>
        <v>456.99</v>
      </c>
      <c r="I102" s="2"/>
      <c r="J102" s="19">
        <f t="shared" si="62"/>
        <v>5.4083813756832669E-3</v>
      </c>
      <c r="K102" s="2"/>
      <c r="L102" s="2">
        <f t="shared" si="63"/>
        <v>14.300000000000011</v>
      </c>
      <c r="M102" s="2"/>
      <c r="N102" s="19">
        <f t="shared" si="64"/>
        <v>3.1291713166590102E-2</v>
      </c>
      <c r="O102" s="11"/>
      <c r="P102" s="2">
        <f>--1034.5</f>
        <v>1034.5</v>
      </c>
      <c r="Q102" s="2"/>
      <c r="R102" s="19">
        <f t="shared" si="65"/>
        <v>8.1115336583717772E-4</v>
      </c>
      <c r="S102" s="2"/>
      <c r="T102" s="2">
        <f>--13188.92</f>
        <v>13188.92</v>
      </c>
      <c r="U102" s="2"/>
      <c r="V102" s="19">
        <f t="shared" si="66"/>
        <v>8.329589447841056E-3</v>
      </c>
      <c r="W102" s="2"/>
      <c r="X102" s="2">
        <f t="shared" si="67"/>
        <v>-12154.42</v>
      </c>
      <c r="Y102" s="2"/>
      <c r="Z102" s="19">
        <f t="shared" si="68"/>
        <v>-0.92156294829296104</v>
      </c>
    </row>
    <row r="103" spans="1:26" s="24" customFormat="1" hidden="1" outlineLevel="1" x14ac:dyDescent="0.25">
      <c r="A103" s="44"/>
      <c r="B103" s="11" t="str">
        <f>CONCATENATE("          ", "4387", " - ", "SALES RETURN NON TAXABLE-COMPU")</f>
        <v xml:space="preserve">          4387 - SALES RETURN NON TAXABLE-COMPU</v>
      </c>
      <c r="C103" s="11"/>
      <c r="D103" s="2">
        <f t="shared" ref="D103:D104" si="69">0</f>
        <v>0</v>
      </c>
      <c r="E103" s="2"/>
      <c r="F103" s="19">
        <f t="shared" si="61"/>
        <v>0</v>
      </c>
      <c r="G103" s="2"/>
      <c r="H103" s="2">
        <f>0</f>
        <v>0</v>
      </c>
      <c r="I103" s="2"/>
      <c r="J103" s="19">
        <f t="shared" si="62"/>
        <v>0</v>
      </c>
      <c r="K103" s="2"/>
      <c r="L103" s="2">
        <f t="shared" si="63"/>
        <v>0</v>
      </c>
      <c r="M103" s="2"/>
      <c r="N103" s="19">
        <f t="shared" si="64"/>
        <v>0</v>
      </c>
      <c r="O103" s="11"/>
      <c r="P103" s="2">
        <f t="shared" ref="P103:P104" si="70">0</f>
        <v>0</v>
      </c>
      <c r="Q103" s="2"/>
      <c r="R103" s="19">
        <f t="shared" si="65"/>
        <v>0</v>
      </c>
      <c r="S103" s="2"/>
      <c r="T103" s="2">
        <f>-7889</f>
        <v>-7889</v>
      </c>
      <c r="U103" s="2"/>
      <c r="V103" s="19">
        <f t="shared" si="66"/>
        <v>-4.9823739285717169E-3</v>
      </c>
      <c r="W103" s="2"/>
      <c r="X103" s="2">
        <f t="shared" si="67"/>
        <v>7889</v>
      </c>
      <c r="Y103" s="2"/>
      <c r="Z103" s="19">
        <f t="shared" si="68"/>
        <v>-1</v>
      </c>
    </row>
    <row r="104" spans="1:26" s="24" customFormat="1" hidden="1" outlineLevel="1" x14ac:dyDescent="0.25">
      <c r="A104" s="44"/>
      <c r="B104" s="11" t="str">
        <f>CONCATENATE("          ", "5087", " - ", "PURCHASES @ COST-COMPUTER REPA")</f>
        <v xml:space="preserve">          5087 - PURCHASES @ COST-COMPUTER REPA</v>
      </c>
      <c r="C104" s="11"/>
      <c r="D104" s="2">
        <f t="shared" si="69"/>
        <v>0</v>
      </c>
      <c r="E104" s="2"/>
      <c r="F104" s="19">
        <f t="shared" si="61"/>
        <v>0</v>
      </c>
      <c r="G104" s="2"/>
      <c r="H104" s="2">
        <f>-56.72</f>
        <v>-56.72</v>
      </c>
      <c r="I104" s="2"/>
      <c r="J104" s="19">
        <f t="shared" si="62"/>
        <v>-6.7126937488512853E-4</v>
      </c>
      <c r="K104" s="2"/>
      <c r="L104" s="2">
        <f t="shared" si="63"/>
        <v>56.72</v>
      </c>
      <c r="M104" s="2"/>
      <c r="N104" s="19">
        <f t="shared" si="64"/>
        <v>-1</v>
      </c>
      <c r="O104" s="11"/>
      <c r="P104" s="2">
        <f t="shared" si="70"/>
        <v>0</v>
      </c>
      <c r="Q104" s="2"/>
      <c r="R104" s="19">
        <f t="shared" si="65"/>
        <v>0</v>
      </c>
      <c r="S104" s="2"/>
      <c r="T104" s="2">
        <f>-56.72</f>
        <v>-56.72</v>
      </c>
      <c r="U104" s="2"/>
      <c r="V104" s="19">
        <f t="shared" si="66"/>
        <v>-3.5822062267535532E-5</v>
      </c>
      <c r="W104" s="2"/>
      <c r="X104" s="2">
        <f t="shared" si="67"/>
        <v>56.72</v>
      </c>
      <c r="Y104" s="2"/>
      <c r="Z104" s="19">
        <f t="shared" si="68"/>
        <v>-1</v>
      </c>
    </row>
    <row r="105" spans="1:26" s="24" customFormat="1" hidden="1" outlineLevel="1" x14ac:dyDescent="0.25">
      <c r="A105" s="44"/>
      <c r="B105" s="11" t="str">
        <f>CONCATENATE("          ", "9150", " - ", "MISC. INCOME")</f>
        <v xml:space="preserve">          9150 - MISC. INCOME</v>
      </c>
      <c r="C105" s="11"/>
      <c r="D105" s="2">
        <f>-883.3</f>
        <v>-883.3</v>
      </c>
      <c r="E105" s="2"/>
      <c r="F105" s="19">
        <f t="shared" si="61"/>
        <v>-1.1118856841036225E-2</v>
      </c>
      <c r="G105" s="2"/>
      <c r="H105" s="2">
        <f>-395.34</f>
        <v>-395.34</v>
      </c>
      <c r="I105" s="2"/>
      <c r="J105" s="19">
        <f t="shared" si="62"/>
        <v>-4.6787664786157738E-3</v>
      </c>
      <c r="K105" s="2"/>
      <c r="L105" s="2">
        <f t="shared" si="63"/>
        <v>-487.96</v>
      </c>
      <c r="M105" s="2"/>
      <c r="N105" s="19">
        <f t="shared" si="64"/>
        <v>1.2342793544796884</v>
      </c>
      <c r="O105" s="11"/>
      <c r="P105" s="2">
        <f>-691.4</f>
        <v>-691.4</v>
      </c>
      <c r="Q105" s="2"/>
      <c r="R105" s="19">
        <f t="shared" si="65"/>
        <v>-5.4212802043482322E-4</v>
      </c>
      <c r="S105" s="2"/>
      <c r="T105" s="2">
        <f>--1993.46</f>
        <v>1993.46</v>
      </c>
      <c r="U105" s="2"/>
      <c r="V105" s="19">
        <f t="shared" si="66"/>
        <v>1.2589888619153982E-3</v>
      </c>
      <c r="W105" s="2"/>
      <c r="X105" s="2">
        <f t="shared" si="67"/>
        <v>-2684.86</v>
      </c>
      <c r="Y105" s="2"/>
      <c r="Z105" s="19">
        <f t="shared" si="68"/>
        <v>-1.3468341476628576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8" t="s">
        <v>3</v>
      </c>
      <c r="C107" s="28"/>
      <c r="D107" s="20">
        <f>+D54-D56+D101</f>
        <v>-9141.1200000000208</v>
      </c>
      <c r="E107" s="14"/>
      <c r="F107" s="21">
        <f>IF(D$12=0,0,D107/D$12)</f>
        <v>-0.11506713986950447</v>
      </c>
      <c r="G107" s="14"/>
      <c r="H107" s="20">
        <f>+H54-H56+H101</f>
        <v>647.42000000000894</v>
      </c>
      <c r="I107" s="14"/>
      <c r="J107" s="21">
        <f>IF(H$12=0,0,H107/H$12)</f>
        <v>7.6620807244029603E-3</v>
      </c>
      <c r="K107" s="15"/>
      <c r="L107" s="20">
        <f>+D107-H107</f>
        <v>-9788.54000000003</v>
      </c>
      <c r="M107" s="15"/>
      <c r="N107" s="21">
        <f>IF(H107=0,0,L107/H107)</f>
        <v>-15.119304315590954</v>
      </c>
      <c r="O107" s="29"/>
      <c r="P107" s="20">
        <f>+P54-P56+P101</f>
        <v>-20505.650000000074</v>
      </c>
      <c r="Q107" s="14"/>
      <c r="R107" s="21">
        <f>IF(P$12=0,0,P107/P$12)</f>
        <v>-1.6078518140337537E-2</v>
      </c>
      <c r="S107" s="14"/>
      <c r="T107" s="20">
        <f>+T54-T56+T101</f>
        <v>55137.630000000179</v>
      </c>
      <c r="U107" s="14"/>
      <c r="V107" s="21">
        <f>IF(T$12=0,0,T107/T$12)</f>
        <v>3.4822701254307857E-2</v>
      </c>
      <c r="W107" s="15"/>
      <c r="X107" s="20">
        <f>+P107-T107</f>
        <v>-75643.280000000261</v>
      </c>
      <c r="Y107" s="15"/>
      <c r="Z107" s="21">
        <f>IF(T107=0,0,X107/T107)</f>
        <v>-1.3718993725337854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1"/>
      <c r="B109" s="10" t="s">
        <v>13</v>
      </c>
      <c r="C109" s="10"/>
      <c r="D109" s="4">
        <v>45936.74</v>
      </c>
      <c r="E109" s="4"/>
      <c r="F109" s="12">
        <f>IF(D$12=0,0,D109/D$12)</f>
        <v>0.5782452573348833</v>
      </c>
      <c r="G109" s="4"/>
      <c r="H109" s="4">
        <v>12295.62</v>
      </c>
      <c r="I109" s="4"/>
      <c r="J109" s="12">
        <f>IF(H$12=0,0,H109/H$12)</f>
        <v>0.14551609928111925</v>
      </c>
      <c r="K109" s="4"/>
      <c r="L109" s="4">
        <f>+D109-H109</f>
        <v>33641.119999999995</v>
      </c>
      <c r="M109" s="4"/>
      <c r="N109" s="12">
        <f>IF(H109=0,0,L109/H109)</f>
        <v>2.7360246982258718</v>
      </c>
      <c r="O109" s="10"/>
      <c r="P109" s="4">
        <v>235965.74</v>
      </c>
      <c r="Q109" s="4"/>
      <c r="R109" s="12">
        <f>IF(P$12=0,0,P109/P$12)</f>
        <v>0.18502117372958951</v>
      </c>
      <c r="S109" s="4"/>
      <c r="T109" s="4">
        <v>171017.42</v>
      </c>
      <c r="U109" s="4"/>
      <c r="V109" s="12">
        <f>IF(T$12=0,0,T109/T$12)</f>
        <v>0.10800769866137652</v>
      </c>
      <c r="W109" s="4"/>
      <c r="X109" s="4">
        <f>+P109-T109</f>
        <v>64948.319999999978</v>
      </c>
      <c r="Y109" s="4"/>
      <c r="Z109" s="12">
        <f>IF(T109=0,0,X109/T109)</f>
        <v>0.37977604854522989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8" t="s">
        <v>4</v>
      </c>
      <c r="C111" s="28"/>
      <c r="D111" s="33">
        <f>+D107-D109</f>
        <v>-55077.860000000015</v>
      </c>
      <c r="E111" s="14"/>
      <c r="F111" s="34">
        <f>IF(D$12=0,0,D111/D$12)</f>
        <v>-0.69331239720438764</v>
      </c>
      <c r="G111" s="14"/>
      <c r="H111" s="33">
        <f>+H107-H109</f>
        <v>-11648.199999999992</v>
      </c>
      <c r="I111" s="14"/>
      <c r="J111" s="34">
        <f>IF(H$12=0,0,H111/H$12)</f>
        <v>-0.13785401855671631</v>
      </c>
      <c r="K111" s="15"/>
      <c r="L111" s="33">
        <f>D111-H111</f>
        <v>-43429.660000000025</v>
      </c>
      <c r="M111" s="15"/>
      <c r="N111" s="34">
        <f>IF(H111=0,0,L111/H111)</f>
        <v>3.7284438797410808</v>
      </c>
      <c r="O111" s="29"/>
      <c r="P111" s="33">
        <f>+P107-P109</f>
        <v>-256471.39000000007</v>
      </c>
      <c r="Q111" s="14"/>
      <c r="R111" s="34">
        <f>IF(P$12=0,0,P111/P$12)</f>
        <v>-0.20109969186992704</v>
      </c>
      <c r="S111" s="14"/>
      <c r="T111" s="33">
        <f>+T107-T109</f>
        <v>-115879.78999999983</v>
      </c>
      <c r="U111" s="14"/>
      <c r="V111" s="34">
        <f>IF(T$12=0,0,T111/T$12)</f>
        <v>-7.3184997407068672E-2</v>
      </c>
      <c r="W111" s="15"/>
      <c r="X111" s="33">
        <f>P111-T111</f>
        <v>-140591.60000000024</v>
      </c>
      <c r="Y111" s="15"/>
      <c r="Z111" s="34">
        <f>IF(T111=0,0,X111/T111)</f>
        <v>1.2132538383095139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8" t="s">
        <v>5</v>
      </c>
      <c r="C114" s="28"/>
      <c r="D114" s="30">
        <f>SUM(D111:D113)</f>
        <v>-55077.860000000015</v>
      </c>
      <c r="E114" s="14"/>
      <c r="F114" s="32">
        <f>IF(D$12=0,0,D114/D$12)</f>
        <v>-0.69331239720438764</v>
      </c>
      <c r="G114" s="14"/>
      <c r="H114" s="30">
        <f>SUM(H111:H113)</f>
        <v>-11648.199999999992</v>
      </c>
      <c r="I114" s="14"/>
      <c r="J114" s="32">
        <f>IF(H$12=0,0,H114/H$12)</f>
        <v>-0.13785401855671631</v>
      </c>
      <c r="K114" s="15"/>
      <c r="L114" s="30">
        <f>+D114-H114</f>
        <v>-43429.660000000025</v>
      </c>
      <c r="M114" s="15"/>
      <c r="N114" s="32">
        <f>IF(H114=0,0,L114/H114)</f>
        <v>3.7284438797410808</v>
      </c>
      <c r="O114" s="29"/>
      <c r="P114" s="30">
        <f>SUM(P111:P113)</f>
        <v>-256471.39000000007</v>
      </c>
      <c r="Q114" s="14"/>
      <c r="R114" s="32">
        <f>IF(P$12=0,0,P114/P$12)</f>
        <v>-0.20109969186992704</v>
      </c>
      <c r="S114" s="14"/>
      <c r="T114" s="30">
        <f>SUM(T111:T113)</f>
        <v>-115879.78999999983</v>
      </c>
      <c r="U114" s="14"/>
      <c r="V114" s="32">
        <f>IF(T$12=0,0,T114/T$12)</f>
        <v>-7.3184997407068672E-2</v>
      </c>
      <c r="W114" s="15"/>
      <c r="X114" s="30">
        <f>+P114-T114</f>
        <v>-140591.60000000024</v>
      </c>
      <c r="Y114" s="15"/>
      <c r="Z114" s="32">
        <f>IF(T114=0,0,X114/T114)</f>
        <v>1.2132538383095139</v>
      </c>
    </row>
    <row r="115" spans="1:26" ht="15.75" thickTop="1" x14ac:dyDescent="0.25">
      <c r="A115" s="9"/>
      <c r="C115" s="9"/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  <row r="116" spans="1:26" x14ac:dyDescent="0.25">
      <c r="A116" s="9"/>
      <c r="B116" s="58">
        <v>44209.521538275461</v>
      </c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  <row r="117" spans="1:26" x14ac:dyDescent="0.25">
      <c r="A117" s="9"/>
      <c r="B117" s="61" t="s">
        <v>313</v>
      </c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A118" s="9"/>
      <c r="B118" s="57"/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","317", " - ", "Computer Store")</f>
        <v>Department 317 - Computer Store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79441.619999999981</v>
      </c>
      <c r="E12" s="4"/>
      <c r="F12" s="12"/>
      <c r="G12" s="4"/>
      <c r="H12" s="4">
        <f>SUM(OSRRefH13x_0)</f>
        <v>84496.63</v>
      </c>
      <c r="I12" s="4"/>
      <c r="J12" s="12"/>
      <c r="K12" s="4"/>
      <c r="L12" s="4">
        <f t="shared" ref="L12:L37" si="0">+D12-H12</f>
        <v>-5055.0100000000239</v>
      </c>
      <c r="M12" s="4"/>
      <c r="N12" s="12">
        <f t="shared" ref="N12:N37" si="1">IF(H12=0,0,L12/H12)</f>
        <v>-5.9824989469994524E-2</v>
      </c>
      <c r="O12" s="10"/>
      <c r="P12" s="4">
        <f>SUM(OSRRefP13x_0)</f>
        <v>1275344.5200000003</v>
      </c>
      <c r="Q12" s="4"/>
      <c r="R12" s="12"/>
      <c r="S12" s="4"/>
      <c r="T12" s="4">
        <f>SUM(OSRRefT13x_0)</f>
        <v>1583381.76</v>
      </c>
      <c r="U12" s="4"/>
      <c r="V12" s="12"/>
      <c r="W12" s="4"/>
      <c r="X12" s="4">
        <f t="shared" ref="X12:X37" si="2">+P12-T12</f>
        <v>-308037.23999999976</v>
      </c>
      <c r="Y12" s="4"/>
      <c r="Z12" s="12">
        <f t="shared" ref="Z12:Z37" si="3">IF(T12=0,0,X12/T12)</f>
        <v>-0.19454388561353628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-264.66</f>
        <v>-264.66000000000003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-264.66000000000003</v>
      </c>
      <c r="M13" s="2"/>
      <c r="N13" s="19">
        <f t="shared" si="1"/>
        <v>0</v>
      </c>
      <c r="O13" s="11"/>
      <c r="P13" s="2">
        <f>-2308.77</f>
        <v>-2308.77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-2308.77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--860.25</f>
        <v>860.25</v>
      </c>
      <c r="E14" s="2"/>
      <c r="F14" s="19"/>
      <c r="G14" s="2"/>
      <c r="H14" s="2">
        <f>--14554.47</f>
        <v>14554.47</v>
      </c>
      <c r="I14" s="2"/>
      <c r="J14" s="19"/>
      <c r="K14" s="2"/>
      <c r="L14" s="2">
        <f t="shared" si="0"/>
        <v>-13694.22</v>
      </c>
      <c r="M14" s="2"/>
      <c r="N14" s="19">
        <f t="shared" si="1"/>
        <v>-0.94089444686065515</v>
      </c>
      <c r="O14" s="11"/>
      <c r="P14" s="2">
        <f>--56879.52</f>
        <v>56879.519999999997</v>
      </c>
      <c r="Q14" s="2"/>
      <c r="R14" s="19"/>
      <c r="S14" s="2"/>
      <c r="T14" s="2">
        <f>--244135.05</f>
        <v>244135.05</v>
      </c>
      <c r="U14" s="2"/>
      <c r="V14" s="19"/>
      <c r="W14" s="2"/>
      <c r="X14" s="2">
        <f t="shared" si="2"/>
        <v>-187255.53</v>
      </c>
      <c r="Y14" s="2"/>
      <c r="Z14" s="19">
        <f t="shared" si="3"/>
        <v>-0.76701616584755039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--43662</f>
        <v>43662</v>
      </c>
      <c r="E15" s="2"/>
      <c r="F15" s="19"/>
      <c r="G15" s="2"/>
      <c r="H15" s="2">
        <f>--59566.42</f>
        <v>59566.42</v>
      </c>
      <c r="I15" s="2"/>
      <c r="J15" s="19"/>
      <c r="K15" s="2"/>
      <c r="L15" s="2">
        <f t="shared" si="0"/>
        <v>-15904.419999999998</v>
      </c>
      <c r="M15" s="2"/>
      <c r="N15" s="19">
        <f t="shared" si="1"/>
        <v>-0.26700312021437578</v>
      </c>
      <c r="O15" s="11"/>
      <c r="P15" s="2">
        <f>--993256.89</f>
        <v>993256.89</v>
      </c>
      <c r="Q15" s="2"/>
      <c r="R15" s="19"/>
      <c r="S15" s="2"/>
      <c r="T15" s="2">
        <f>--1342335.26</f>
        <v>1342335.26</v>
      </c>
      <c r="U15" s="2"/>
      <c r="V15" s="19"/>
      <c r="W15" s="2"/>
      <c r="X15" s="2">
        <f t="shared" si="2"/>
        <v>-349078.37</v>
      </c>
      <c r="Y15" s="2"/>
      <c r="Z15" s="19">
        <f t="shared" si="3"/>
        <v>-0.26005304367852183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--7787.03</f>
        <v>7787.03</v>
      </c>
      <c r="E16" s="2"/>
      <c r="F16" s="19"/>
      <c r="G16" s="2"/>
      <c r="H16" s="2">
        <f>--6927.18</f>
        <v>6927.18</v>
      </c>
      <c r="I16" s="2"/>
      <c r="J16" s="19"/>
      <c r="K16" s="2"/>
      <c r="L16" s="2">
        <f t="shared" si="0"/>
        <v>859.84999999999945</v>
      </c>
      <c r="M16" s="2"/>
      <c r="N16" s="19">
        <f t="shared" si="1"/>
        <v>0.12412698962637024</v>
      </c>
      <c r="O16" s="11"/>
      <c r="P16" s="2">
        <f>--84637.98</f>
        <v>84637.98</v>
      </c>
      <c r="Q16" s="2"/>
      <c r="R16" s="19"/>
      <c r="S16" s="2"/>
      <c r="T16" s="2">
        <f>--70431.2</f>
        <v>70431.199999999997</v>
      </c>
      <c r="U16" s="2"/>
      <c r="V16" s="19"/>
      <c r="W16" s="2"/>
      <c r="X16" s="2">
        <f t="shared" si="2"/>
        <v>14206.779999999999</v>
      </c>
      <c r="Y16" s="2"/>
      <c r="Z16" s="19">
        <f t="shared" si="3"/>
        <v>0.20171145742227875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>
        <f t="shared" ref="H17:H18" si="4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--1228.99</f>
        <v>1228.99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1228.99</v>
      </c>
      <c r="M18" s="2"/>
      <c r="N18" s="19">
        <f t="shared" si="1"/>
        <v>0</v>
      </c>
      <c r="O18" s="11"/>
      <c r="P18" s="2">
        <f>--2728.94</f>
        <v>2728.94</v>
      </c>
      <c r="Q18" s="2"/>
      <c r="R18" s="19"/>
      <c r="S18" s="2"/>
      <c r="T18" s="2">
        <f>--4407.94</f>
        <v>4407.9399999999996</v>
      </c>
      <c r="U18" s="2"/>
      <c r="V18" s="19"/>
      <c r="W18" s="2"/>
      <c r="X18" s="2">
        <f t="shared" si="2"/>
        <v>-1678.9999999999995</v>
      </c>
      <c r="Y18" s="2"/>
      <c r="Z18" s="19">
        <f t="shared" si="3"/>
        <v>-0.38090355131875653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--27507.98</f>
        <v>27507.98</v>
      </c>
      <c r="E19" s="2"/>
      <c r="F19" s="19"/>
      <c r="G19" s="2"/>
      <c r="H19" s="2">
        <f>--2710.56</f>
        <v>2710.56</v>
      </c>
      <c r="I19" s="2"/>
      <c r="J19" s="19"/>
      <c r="K19" s="2"/>
      <c r="L19" s="2">
        <f t="shared" si="0"/>
        <v>24797.42</v>
      </c>
      <c r="M19" s="2"/>
      <c r="N19" s="19">
        <f t="shared" si="1"/>
        <v>9.1484490289829399</v>
      </c>
      <c r="O19" s="11"/>
      <c r="P19" s="2">
        <f>--57135.58</f>
        <v>57135.58</v>
      </c>
      <c r="Q19" s="2"/>
      <c r="R19" s="19"/>
      <c r="S19" s="2"/>
      <c r="T19" s="2">
        <f>--33078.47</f>
        <v>33078.47</v>
      </c>
      <c r="U19" s="2"/>
      <c r="V19" s="19"/>
      <c r="W19" s="2"/>
      <c r="X19" s="2">
        <f t="shared" si="2"/>
        <v>24057.11</v>
      </c>
      <c r="Y19" s="2"/>
      <c r="Z19" s="19">
        <f t="shared" si="3"/>
        <v>0.72727396400135802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 t="shared" ref="D20:D21" si="5">0</f>
        <v>0</v>
      </c>
      <c r="E20" s="2"/>
      <c r="F20" s="19"/>
      <c r="G20" s="2"/>
      <c r="H20" s="2">
        <f t="shared" ref="H20:H21" si="6"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0</f>
        <v>0</v>
      </c>
      <c r="Q20" s="2"/>
      <c r="R20" s="19"/>
      <c r="S20" s="2"/>
      <c r="T20" s="2">
        <f>--936.91</f>
        <v>936.91</v>
      </c>
      <c r="U20" s="2"/>
      <c r="V20" s="19"/>
      <c r="W20" s="2"/>
      <c r="X20" s="2">
        <f t="shared" si="2"/>
        <v>-936.91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"4181", " - ", "NON-TAXABLE SALES-ELECTRONICS")</f>
        <v xml:space="preserve">          4181 - NON-TAXABLE SALES-ELECTRONICS</v>
      </c>
      <c r="C21" s="11"/>
      <c r="D21" s="2">
        <f t="shared" si="5"/>
        <v>0</v>
      </c>
      <c r="E21" s="2"/>
      <c r="F21" s="19"/>
      <c r="G21" s="2"/>
      <c r="H21" s="2">
        <f t="shared" si="6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--3534.12</f>
        <v>3534.12</v>
      </c>
      <c r="Q21" s="2"/>
      <c r="R21" s="19"/>
      <c r="S21" s="2"/>
      <c r="T21" s="2">
        <f>--1462.51</f>
        <v>1462.51</v>
      </c>
      <c r="U21" s="2"/>
      <c r="V21" s="19"/>
      <c r="W21" s="2"/>
      <c r="X21" s="2">
        <f t="shared" si="2"/>
        <v>2071.6099999999997</v>
      </c>
      <c r="Y21" s="2"/>
      <c r="Z21" s="19">
        <f t="shared" si="3"/>
        <v>1.4164757847809586</v>
      </c>
    </row>
    <row r="22" spans="1:26" s="24" customFormat="1" hidden="1" outlineLevel="1" x14ac:dyDescent="0.25">
      <c r="A22" s="44"/>
      <c r="B22" s="11" t="str">
        <f>CONCATENATE("          ", "4182", " - ", "NON-TAXABLE SALES-COMPUTER HAR")</f>
        <v xml:space="preserve">          4182 - NON-TAXABLE SALES-COMPUTER HAR</v>
      </c>
      <c r="C22" s="11"/>
      <c r="D22" s="2">
        <f>--9513.96</f>
        <v>9513.9599999999991</v>
      </c>
      <c r="E22" s="2"/>
      <c r="F22" s="19"/>
      <c r="G22" s="2"/>
      <c r="H22" s="2">
        <f>--8486</f>
        <v>8486</v>
      </c>
      <c r="I22" s="2"/>
      <c r="J22" s="19"/>
      <c r="K22" s="2"/>
      <c r="L22" s="2">
        <f t="shared" si="0"/>
        <v>1027.9599999999991</v>
      </c>
      <c r="M22" s="2"/>
      <c r="N22" s="19">
        <f t="shared" si="1"/>
        <v>0.12113598868724948</v>
      </c>
      <c r="O22" s="11"/>
      <c r="P22" s="2">
        <f>--164308.31</f>
        <v>164308.31</v>
      </c>
      <c r="Q22" s="2"/>
      <c r="R22" s="19"/>
      <c r="S22" s="2"/>
      <c r="T22" s="2">
        <f>--70795</f>
        <v>70795</v>
      </c>
      <c r="U22" s="2"/>
      <c r="V22" s="19"/>
      <c r="W22" s="2"/>
      <c r="X22" s="2">
        <f t="shared" si="2"/>
        <v>93513.31</v>
      </c>
      <c r="Y22" s="2"/>
      <c r="Z22" s="19">
        <f t="shared" si="3"/>
        <v>1.3209027473691644</v>
      </c>
    </row>
    <row r="23" spans="1:26" s="24" customFormat="1" hidden="1" outlineLevel="1" x14ac:dyDescent="0.25">
      <c r="A23" s="44"/>
      <c r="B23" s="11" t="str">
        <f>CONCATENATE("          ", "4183", " - ", "NON-TAXABLE SALES-COMPUTER EQU")</f>
        <v xml:space="preserve">          4183 - NON-TAXABLE SALES-COMPUTER EQU</v>
      </c>
      <c r="C23" s="11"/>
      <c r="D23" s="2">
        <f>--258.91</f>
        <v>258.91000000000003</v>
      </c>
      <c r="E23" s="2"/>
      <c r="F23" s="19"/>
      <c r="G23" s="2"/>
      <c r="H23" s="2">
        <f>--266.75</f>
        <v>266.75</v>
      </c>
      <c r="I23" s="2"/>
      <c r="J23" s="19"/>
      <c r="K23" s="2"/>
      <c r="L23" s="2">
        <f t="shared" si="0"/>
        <v>-7.839999999999975</v>
      </c>
      <c r="M23" s="2"/>
      <c r="N23" s="19">
        <f t="shared" si="1"/>
        <v>-2.9390815370196721E-2</v>
      </c>
      <c r="O23" s="11"/>
      <c r="P23" s="2">
        <f>--7629.19</f>
        <v>7629.19</v>
      </c>
      <c r="Q23" s="2"/>
      <c r="R23" s="19"/>
      <c r="S23" s="2"/>
      <c r="T23" s="2">
        <f>--3571.63</f>
        <v>3571.63</v>
      </c>
      <c r="U23" s="2"/>
      <c r="V23" s="19"/>
      <c r="W23" s="2"/>
      <c r="X23" s="2">
        <f t="shared" si="2"/>
        <v>4057.5599999999995</v>
      </c>
      <c r="Y23" s="2"/>
      <c r="Z23" s="19">
        <f t="shared" si="3"/>
        <v>1.1360527266262181</v>
      </c>
    </row>
    <row r="24" spans="1:26" s="24" customFormat="1" hidden="1" outlineLevel="1" x14ac:dyDescent="0.25">
      <c r="A24" s="44"/>
      <c r="B24" s="11" t="str">
        <f>CONCATENATE("          ", "4184", " - ", "NON-TAXABLE SALES-SOFTWARE LIC")</f>
        <v xml:space="preserve">          4184 - NON-TAXABLE SALES-SOFTWARE LIC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--2728</f>
        <v>2728</v>
      </c>
      <c r="U24" s="2"/>
      <c r="V24" s="19"/>
      <c r="W24" s="2"/>
      <c r="X24" s="2">
        <f t="shared" si="2"/>
        <v>-2728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"4185", " - ", "NON-TAXABLE SALES-SOFTWARE")</f>
        <v xml:space="preserve">          4185 - NON-TAXABLE SALES-SOFTWARE</v>
      </c>
      <c r="C25" s="11"/>
      <c r="D25" s="2">
        <f>--873.93</f>
        <v>873.93</v>
      </c>
      <c r="E25" s="2"/>
      <c r="F25" s="19"/>
      <c r="G25" s="2"/>
      <c r="H25" s="2">
        <f>--437.97</f>
        <v>437.97</v>
      </c>
      <c r="I25" s="2"/>
      <c r="J25" s="19"/>
      <c r="K25" s="2"/>
      <c r="L25" s="2">
        <f t="shared" si="0"/>
        <v>435.95999999999992</v>
      </c>
      <c r="M25" s="2"/>
      <c r="N25" s="19">
        <f t="shared" si="1"/>
        <v>0.99541064456469597</v>
      </c>
      <c r="O25" s="11"/>
      <c r="P25" s="2">
        <f>--26680.67</f>
        <v>26680.67</v>
      </c>
      <c r="Q25" s="2"/>
      <c r="R25" s="19"/>
      <c r="S25" s="2"/>
      <c r="T25" s="2">
        <f>--9401.84</f>
        <v>9401.84</v>
      </c>
      <c r="U25" s="2"/>
      <c r="V25" s="19"/>
      <c r="W25" s="2"/>
      <c r="X25" s="2">
        <f t="shared" si="2"/>
        <v>17278.829999999998</v>
      </c>
      <c r="Y25" s="2"/>
      <c r="Z25" s="19">
        <f t="shared" si="3"/>
        <v>1.8378136620065857</v>
      </c>
    </row>
    <row r="26" spans="1:26" s="24" customFormat="1" hidden="1" outlineLevel="1" x14ac:dyDescent="0.25">
      <c r="A26" s="44"/>
      <c r="B26" s="11" t="str">
        <f>CONCATENATE("          ", "4186", " - ", "NON-TAXABLE SALES-COMPUTER SUP")</f>
        <v xml:space="preserve">          4186 - NON-TAXABLE SALES-COMPUTER SUP</v>
      </c>
      <c r="C26" s="11"/>
      <c r="D26" s="2">
        <f>--176.22</f>
        <v>176.22</v>
      </c>
      <c r="E26" s="2"/>
      <c r="F26" s="19"/>
      <c r="G26" s="2"/>
      <c r="H26" s="2">
        <f>--49.99</f>
        <v>49.99</v>
      </c>
      <c r="I26" s="2"/>
      <c r="J26" s="19"/>
      <c r="K26" s="2"/>
      <c r="L26" s="2">
        <f t="shared" si="0"/>
        <v>126.22999999999999</v>
      </c>
      <c r="M26" s="2"/>
      <c r="N26" s="19">
        <f t="shared" si="1"/>
        <v>2.5251050210042005</v>
      </c>
      <c r="O26" s="11"/>
      <c r="P26" s="2">
        <f>--1949.99</f>
        <v>1949.99</v>
      </c>
      <c r="Q26" s="2"/>
      <c r="R26" s="19"/>
      <c r="S26" s="2"/>
      <c r="T26" s="2">
        <f>--1653.36</f>
        <v>1653.36</v>
      </c>
      <c r="U26" s="2"/>
      <c r="V26" s="19"/>
      <c r="W26" s="2"/>
      <c r="X26" s="2">
        <f t="shared" si="2"/>
        <v>296.63000000000011</v>
      </c>
      <c r="Y26" s="2"/>
      <c r="Z26" s="19">
        <f t="shared" si="3"/>
        <v>0.17941041273527855</v>
      </c>
    </row>
    <row r="27" spans="1:26" s="24" customFormat="1" hidden="1" outlineLevel="1" x14ac:dyDescent="0.25">
      <c r="A27" s="44"/>
      <c r="B27" s="11" t="str">
        <f>CONCATENATE("          ", "4188", " - ", "NON-TAXABLE SALES-MUSIC")</f>
        <v xml:space="preserve">          4188 - NON-TAXABLE SALES-MUSIC</v>
      </c>
      <c r="C27" s="11"/>
      <c r="D27" s="2">
        <f t="shared" ref="D27:D28" si="7"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--219.96</f>
        <v>219.96</v>
      </c>
      <c r="U27" s="2"/>
      <c r="V27" s="19"/>
      <c r="W27" s="2"/>
      <c r="X27" s="2">
        <f t="shared" si="2"/>
        <v>-219.96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"4281", " - ", "SALES RETURN TAXABLE-ELECTRONI")</f>
        <v xml:space="preserve">          4281 - SALES RETURN TAXABLE-ELECTRONI</v>
      </c>
      <c r="C28" s="11"/>
      <c r="D28" s="2">
        <f t="shared" si="7"/>
        <v>0</v>
      </c>
      <c r="E28" s="2"/>
      <c r="F28" s="19"/>
      <c r="G28" s="2"/>
      <c r="H28" s="2">
        <f>-804.91</f>
        <v>-804.91</v>
      </c>
      <c r="I28" s="2"/>
      <c r="J28" s="19"/>
      <c r="K28" s="2"/>
      <c r="L28" s="2">
        <f t="shared" si="0"/>
        <v>804.91</v>
      </c>
      <c r="M28" s="2"/>
      <c r="N28" s="19">
        <f t="shared" si="1"/>
        <v>-1</v>
      </c>
      <c r="O28" s="11"/>
      <c r="P28" s="2">
        <f>-14632.15</f>
        <v>-14632.15</v>
      </c>
      <c r="Q28" s="2"/>
      <c r="R28" s="19"/>
      <c r="S28" s="2"/>
      <c r="T28" s="2">
        <f>-5806.99</f>
        <v>-5806.99</v>
      </c>
      <c r="U28" s="2"/>
      <c r="V28" s="19"/>
      <c r="W28" s="2"/>
      <c r="X28" s="2">
        <f t="shared" si="2"/>
        <v>-8825.16</v>
      </c>
      <c r="Y28" s="2"/>
      <c r="Z28" s="19">
        <f t="shared" si="3"/>
        <v>1.5197477522778582</v>
      </c>
    </row>
    <row r="29" spans="1:26" s="24" customFormat="1" hidden="1" outlineLevel="1" x14ac:dyDescent="0.25">
      <c r="A29" s="44"/>
      <c r="B29" s="11" t="str">
        <f>CONCATENATE("          ", "4282", " - ", "SALES RETURN TAXABLE-COMPUTER")</f>
        <v xml:space="preserve">          4282 - SALES RETURN TAXABLE-COMPUTER</v>
      </c>
      <c r="C29" s="11"/>
      <c r="D29" s="2">
        <f>-7936</f>
        <v>-7936</v>
      </c>
      <c r="E29" s="2"/>
      <c r="F29" s="19"/>
      <c r="G29" s="2"/>
      <c r="H29" s="2">
        <f>-7175.99</f>
        <v>-7175.99</v>
      </c>
      <c r="I29" s="2"/>
      <c r="J29" s="19"/>
      <c r="K29" s="2"/>
      <c r="L29" s="2">
        <f t="shared" si="0"/>
        <v>-760.01000000000022</v>
      </c>
      <c r="M29" s="2"/>
      <c r="N29" s="19">
        <f t="shared" si="1"/>
        <v>0.10591012529281678</v>
      </c>
      <c r="O29" s="11"/>
      <c r="P29" s="2">
        <f>-92020.01</f>
        <v>-92020.01</v>
      </c>
      <c r="Q29" s="2"/>
      <c r="R29" s="19"/>
      <c r="S29" s="2"/>
      <c r="T29" s="2">
        <f>-187653.58</f>
        <v>-187653.58</v>
      </c>
      <c r="U29" s="2"/>
      <c r="V29" s="19"/>
      <c r="W29" s="2"/>
      <c r="X29" s="2">
        <f t="shared" si="2"/>
        <v>95633.569999999992</v>
      </c>
      <c r="Y29" s="2"/>
      <c r="Z29" s="19">
        <f t="shared" si="3"/>
        <v>-0.50962827354532747</v>
      </c>
    </row>
    <row r="30" spans="1:26" s="24" customFormat="1" hidden="1" outlineLevel="1" x14ac:dyDescent="0.25">
      <c r="A30" s="44"/>
      <c r="B30" s="11" t="str">
        <f>CONCATENATE("          ", "4283", " - ", "SALES RETURN TAXABLE-COMPUTER")</f>
        <v xml:space="preserve">          4283 - SALES RETURN TAXABLE-COMPUTER</v>
      </c>
      <c r="C30" s="11"/>
      <c r="D30" s="2">
        <f>-99.99</f>
        <v>-99.99</v>
      </c>
      <c r="E30" s="2"/>
      <c r="F30" s="19"/>
      <c r="G30" s="2"/>
      <c r="H30" s="2">
        <f>-325.91</f>
        <v>-325.91000000000003</v>
      </c>
      <c r="I30" s="2"/>
      <c r="J30" s="19"/>
      <c r="K30" s="2"/>
      <c r="L30" s="2">
        <f t="shared" si="0"/>
        <v>225.92000000000002</v>
      </c>
      <c r="M30" s="2"/>
      <c r="N30" s="19">
        <f t="shared" si="1"/>
        <v>-0.69319750851462059</v>
      </c>
      <c r="O30" s="11"/>
      <c r="P30" s="2">
        <f>-3411.26</f>
        <v>-3411.26</v>
      </c>
      <c r="Q30" s="2"/>
      <c r="R30" s="19"/>
      <c r="S30" s="2"/>
      <c r="T30" s="2">
        <f>-3282.15</f>
        <v>-3282.15</v>
      </c>
      <c r="U30" s="2"/>
      <c r="V30" s="19"/>
      <c r="W30" s="2"/>
      <c r="X30" s="2">
        <f t="shared" si="2"/>
        <v>-129.11000000000013</v>
      </c>
      <c r="Y30" s="2"/>
      <c r="Z30" s="19">
        <f t="shared" si="3"/>
        <v>3.9337019941197121E-2</v>
      </c>
    </row>
    <row r="31" spans="1:26" s="24" customFormat="1" hidden="1" outlineLevel="1" x14ac:dyDescent="0.25">
      <c r="A31" s="44"/>
      <c r="B31" s="11" t="str">
        <f>CONCATENATE("          ", "4284", " - ", "SALES RETURN TAXABLE-SOFTWARE")</f>
        <v xml:space="preserve">          4284 - SALES RETURN TAXABLE-SOFTWARE</v>
      </c>
      <c r="C31" s="11"/>
      <c r="D31" s="2">
        <f t="shared" ref="D31:D32" si="8">0</f>
        <v>0</v>
      </c>
      <c r="E31" s="2"/>
      <c r="F31" s="19"/>
      <c r="G31" s="2"/>
      <c r="H31" s="2">
        <f t="shared" ref="H31:H32" si="9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"4285", " - ", "SALES RETURN TAXABLE-SOFTWARE")</f>
        <v xml:space="preserve">          4285 - SALES RETURN TAXABLE-SOFTWARE</v>
      </c>
      <c r="C32" s="11"/>
      <c r="D32" s="2">
        <f t="shared" si="8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-691.98</f>
        <v>-691.98</v>
      </c>
      <c r="Q32" s="2"/>
      <c r="R32" s="19"/>
      <c r="S32" s="2"/>
      <c r="T32" s="2">
        <f>-655.98</f>
        <v>-655.98</v>
      </c>
      <c r="U32" s="2"/>
      <c r="V32" s="19"/>
      <c r="W32" s="2"/>
      <c r="X32" s="2">
        <f t="shared" si="2"/>
        <v>-36</v>
      </c>
      <c r="Y32" s="2"/>
      <c r="Z32" s="19">
        <f t="shared" si="3"/>
        <v>5.4879721942742155E-2</v>
      </c>
    </row>
    <row r="33" spans="1:26" s="24" customFormat="1" hidden="1" outlineLevel="1" x14ac:dyDescent="0.25">
      <c r="A33" s="44"/>
      <c r="B33" s="11" t="str">
        <f>CONCATENATE("          ", "4286", " - ", "SALES RETURN TAXABLE-COMPUTER")</f>
        <v xml:space="preserve">          4286 - SALES RETURN TAXABLE-COMPUTER</v>
      </c>
      <c r="C33" s="11"/>
      <c r="D33" s="2">
        <f>-4127</f>
        <v>-4127</v>
      </c>
      <c r="E33" s="2"/>
      <c r="F33" s="19"/>
      <c r="G33" s="2"/>
      <c r="H33" s="2">
        <f>-195.9</f>
        <v>-195.9</v>
      </c>
      <c r="I33" s="2"/>
      <c r="J33" s="19"/>
      <c r="K33" s="2"/>
      <c r="L33" s="2">
        <f t="shared" si="0"/>
        <v>-3931.1</v>
      </c>
      <c r="M33" s="2"/>
      <c r="N33" s="19">
        <f t="shared" si="1"/>
        <v>20.066870852475752</v>
      </c>
      <c r="O33" s="11"/>
      <c r="P33" s="2">
        <f>-4708.35</f>
        <v>-4708.3500000000004</v>
      </c>
      <c r="Q33" s="2"/>
      <c r="R33" s="19"/>
      <c r="S33" s="2"/>
      <c r="T33" s="2">
        <f>-2987.89</f>
        <v>-2987.89</v>
      </c>
      <c r="U33" s="2"/>
      <c r="V33" s="19"/>
      <c r="W33" s="2"/>
      <c r="X33" s="2">
        <f t="shared" si="2"/>
        <v>-1720.4600000000005</v>
      </c>
      <c r="Y33" s="2"/>
      <c r="Z33" s="19">
        <f t="shared" si="3"/>
        <v>0.57581102383287219</v>
      </c>
    </row>
    <row r="34" spans="1:26" s="24" customFormat="1" hidden="1" outlineLevel="1" x14ac:dyDescent="0.25">
      <c r="A34" s="44"/>
      <c r="B34" s="11" t="str">
        <f>CONCATENATE("          ", "4288", " - ", "TAXABLE SALES RETURN-MUSIC")</f>
        <v xml:space="preserve">          4288 - TAXABLE SALES RETURN-MUSIC</v>
      </c>
      <c r="C34" s="11"/>
      <c r="D34" s="2">
        <f t="shared" ref="D34:D37" si="10">0</f>
        <v>0</v>
      </c>
      <c r="E34" s="2"/>
      <c r="F34" s="19"/>
      <c r="G34" s="2"/>
      <c r="H34" s="2">
        <f t="shared" ref="H34:H37" si="11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0</f>
        <v>0</v>
      </c>
      <c r="Q34" s="2"/>
      <c r="R34" s="19"/>
      <c r="S34" s="2"/>
      <c r="T34" s="2">
        <f>-3.99</f>
        <v>-3.99</v>
      </c>
      <c r="U34" s="2"/>
      <c r="V34" s="19"/>
      <c r="W34" s="2"/>
      <c r="X34" s="2">
        <f t="shared" si="2"/>
        <v>3.99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"4381", " - ", "SALES RETURN NON TAXABLE-ELECT")</f>
        <v xml:space="preserve">          4381 - SALES RETURN NON TAXABLE-ELECT</v>
      </c>
      <c r="C35" s="11"/>
      <c r="D35" s="2">
        <f t="shared" si="10"/>
        <v>0</v>
      </c>
      <c r="E35" s="2"/>
      <c r="F35" s="19"/>
      <c r="G35" s="2"/>
      <c r="H35" s="2">
        <f t="shared" si="11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-5624.15</f>
        <v>-5624.15</v>
      </c>
      <c r="Q35" s="2"/>
      <c r="R35" s="19"/>
      <c r="S35" s="2"/>
      <c r="T35" s="2">
        <f>-1279.84</f>
        <v>-1279.8399999999999</v>
      </c>
      <c r="U35" s="2"/>
      <c r="V35" s="19"/>
      <c r="W35" s="2"/>
      <c r="X35" s="2">
        <f t="shared" si="2"/>
        <v>-4344.3099999999995</v>
      </c>
      <c r="Y35" s="2"/>
      <c r="Z35" s="19">
        <f t="shared" si="3"/>
        <v>3.3944164895611948</v>
      </c>
    </row>
    <row r="36" spans="1:26" s="24" customFormat="1" hidden="1" outlineLevel="1" x14ac:dyDescent="0.25">
      <c r="A36" s="44"/>
      <c r="B36" s="11" t="str">
        <f>CONCATENATE("          ", "4383", " - ", "SALES RETURN NON TAXABLE-COMPU")</f>
        <v xml:space="preserve">          4383 - SALES RETURN NON TAXABLE-COMPU</v>
      </c>
      <c r="C36" s="11"/>
      <c r="D36" s="2">
        <f t="shared" si="10"/>
        <v>0</v>
      </c>
      <c r="E36" s="2"/>
      <c r="F36" s="19"/>
      <c r="G36" s="2"/>
      <c r="H36" s="2">
        <f t="shared" si="11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ref="P36:P37" si="12">0</f>
        <v>0</v>
      </c>
      <c r="Q36" s="2"/>
      <c r="R36" s="19"/>
      <c r="S36" s="2"/>
      <c r="T36" s="2">
        <f>-49.98</f>
        <v>-49.98</v>
      </c>
      <c r="U36" s="2"/>
      <c r="V36" s="19"/>
      <c r="W36" s="2"/>
      <c r="X36" s="2">
        <f t="shared" si="2"/>
        <v>49.98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"4386", " - ", "SALES RETURN NON TAXABLE-COMPU")</f>
        <v xml:space="preserve">          4386 - SALES RETURN NON TAXABLE-COMPU</v>
      </c>
      <c r="C37" s="11"/>
      <c r="D37" s="2">
        <f t="shared" si="10"/>
        <v>0</v>
      </c>
      <c r="E37" s="2"/>
      <c r="F37" s="19"/>
      <c r="G37" s="2"/>
      <c r="H37" s="2">
        <f t="shared" si="11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 t="shared" si="12"/>
        <v>0</v>
      </c>
      <c r="Q37" s="2"/>
      <c r="R37" s="19"/>
      <c r="S37" s="2"/>
      <c r="T37" s="2">
        <f>-54.97</f>
        <v>-54.97</v>
      </c>
      <c r="U37" s="2"/>
      <c r="V37" s="19"/>
      <c r="W37" s="2"/>
      <c r="X37" s="2">
        <f t="shared" si="2"/>
        <v>54.97</v>
      </c>
      <c r="Y37" s="2"/>
      <c r="Z37" s="19">
        <f t="shared" si="3"/>
        <v>-1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collapsed="1" x14ac:dyDescent="0.25">
      <c r="A39" s="10"/>
      <c r="B39" s="29" t="s">
        <v>8</v>
      </c>
      <c r="C39" s="10"/>
      <c r="D39" s="4">
        <f>SUM(OSRRefD16x_0)</f>
        <v>74328</v>
      </c>
      <c r="E39" s="4"/>
      <c r="F39" s="12">
        <f t="shared" ref="F39:F52" si="13">IF(D$12=0,0,D39/D$12)</f>
        <v>0.93563046675030059</v>
      </c>
      <c r="G39" s="4"/>
      <c r="H39" s="4">
        <f>SUM(OSRRefH16x_0)</f>
        <v>70545.789999999994</v>
      </c>
      <c r="I39" s="4"/>
      <c r="J39" s="12">
        <f t="shared" ref="J39:J52" si="14">IF(H$12=0,0,H39/H$12)</f>
        <v>0.83489471710291863</v>
      </c>
      <c r="K39" s="4"/>
      <c r="L39" s="4">
        <f t="shared" ref="L39:L52" si="15">+D39-H39</f>
        <v>3782.2100000000064</v>
      </c>
      <c r="M39" s="4"/>
      <c r="N39" s="12">
        <f t="shared" ref="N39:N52" si="16">IF(H39=0,0,L39/H39)</f>
        <v>5.3613546605686985E-2</v>
      </c>
      <c r="O39" s="10"/>
      <c r="P39" s="4">
        <f>SUM(OSRRefP16x_0)</f>
        <v>1215966.8400000003</v>
      </c>
      <c r="Q39" s="4"/>
      <c r="R39" s="12">
        <f t="shared" ref="R39:R52" si="17">IF(P$12=0,0,P39/P$12)</f>
        <v>0.95344185114779811</v>
      </c>
      <c r="S39" s="4"/>
      <c r="T39" s="4">
        <f>SUM(OSRRefT16x_0)</f>
        <v>1407046.8499999999</v>
      </c>
      <c r="U39" s="4"/>
      <c r="V39" s="12">
        <f t="shared" ref="V39:V52" si="18">IF(T$12=0,0,T39/T$12)</f>
        <v>0.88863398931663828</v>
      </c>
      <c r="W39" s="4"/>
      <c r="X39" s="4">
        <f t="shared" ref="X39:X52" si="19">+P39-T39</f>
        <v>-191080.00999999954</v>
      </c>
      <c r="Y39" s="4"/>
      <c r="Z39" s="12">
        <f t="shared" ref="Z39:Z52" si="20">IF(T39=0,0,X39/T39)</f>
        <v>-0.13580216607570642</v>
      </c>
    </row>
    <row r="40" spans="1:26" s="24" customFormat="1" hidden="1" outlineLevel="1" x14ac:dyDescent="0.25">
      <c r="A40" s="44"/>
      <c r="B40" s="11" t="str">
        <f>CONCATENATE("          ", "5081", " - ", "PURCHASES @ COST-ELECTRONICS")</f>
        <v xml:space="preserve">          5081 - PURCHASES @ COST-ELECTRONICS</v>
      </c>
      <c r="C40" s="11"/>
      <c r="D40" s="2">
        <v>945.44</v>
      </c>
      <c r="E40" s="2"/>
      <c r="F40" s="19">
        <f t="shared" si="13"/>
        <v>1.1901066468684806E-2</v>
      </c>
      <c r="G40" s="2"/>
      <c r="H40" s="2">
        <v>2601.6999999999998</v>
      </c>
      <c r="I40" s="2"/>
      <c r="J40" s="19">
        <f t="shared" si="14"/>
        <v>3.079057709165442E-2</v>
      </c>
      <c r="K40" s="2"/>
      <c r="L40" s="2">
        <f t="shared" si="15"/>
        <v>-1656.2599999999998</v>
      </c>
      <c r="M40" s="2"/>
      <c r="N40" s="19">
        <f t="shared" si="16"/>
        <v>-0.63660683399315832</v>
      </c>
      <c r="O40" s="11"/>
      <c r="P40" s="2">
        <v>25260.510000000002</v>
      </c>
      <c r="Q40" s="2"/>
      <c r="R40" s="19">
        <f t="shared" si="17"/>
        <v>1.9806812672077029E-2</v>
      </c>
      <c r="S40" s="2"/>
      <c r="T40" s="2">
        <v>187409.43</v>
      </c>
      <c r="U40" s="2"/>
      <c r="V40" s="19">
        <f t="shared" si="18"/>
        <v>0.11836023044752012</v>
      </c>
      <c r="W40" s="2"/>
      <c r="X40" s="2">
        <f t="shared" si="19"/>
        <v>-162148.91999999998</v>
      </c>
      <c r="Y40" s="2"/>
      <c r="Z40" s="19">
        <f t="shared" si="20"/>
        <v>-0.86521217208760515</v>
      </c>
    </row>
    <row r="41" spans="1:26" s="24" customFormat="1" hidden="1" outlineLevel="1" x14ac:dyDescent="0.25">
      <c r="A41" s="44"/>
      <c r="B41" s="11" t="str">
        <f>CONCATENATE("          ", "5082", " - ", "PURCHASES @ COST-COMPUTER HARD")</f>
        <v xml:space="preserve">          5082 - PURCHASES @ COST-COMPUTER HARD</v>
      </c>
      <c r="C41" s="11"/>
      <c r="D41" s="2">
        <v>20916.710000000003</v>
      </c>
      <c r="E41" s="2"/>
      <c r="F41" s="19">
        <f t="shared" si="13"/>
        <v>0.2632966195805172</v>
      </c>
      <c r="G41" s="2"/>
      <c r="H41" s="2">
        <v>49827.72</v>
      </c>
      <c r="I41" s="2"/>
      <c r="J41" s="19">
        <f t="shared" si="14"/>
        <v>0.58970067800337123</v>
      </c>
      <c r="K41" s="2"/>
      <c r="L41" s="2">
        <f t="shared" si="15"/>
        <v>-28911.01</v>
      </c>
      <c r="M41" s="2"/>
      <c r="N41" s="19">
        <f t="shared" si="16"/>
        <v>-0.5802194039783477</v>
      </c>
      <c r="O41" s="11"/>
      <c r="P41" s="2">
        <v>980936.82000000007</v>
      </c>
      <c r="Q41" s="2"/>
      <c r="R41" s="19">
        <f t="shared" si="17"/>
        <v>0.76915437720311053</v>
      </c>
      <c r="S41" s="2"/>
      <c r="T41" s="2">
        <v>1008177.98</v>
      </c>
      <c r="U41" s="2"/>
      <c r="V41" s="19">
        <f t="shared" si="18"/>
        <v>0.63672451298163246</v>
      </c>
      <c r="W41" s="2"/>
      <c r="X41" s="2">
        <f t="shared" si="19"/>
        <v>-27241.159999999916</v>
      </c>
      <c r="Y41" s="2"/>
      <c r="Z41" s="19">
        <f t="shared" si="20"/>
        <v>-2.7020189431235065E-2</v>
      </c>
    </row>
    <row r="42" spans="1:26" s="24" customFormat="1" hidden="1" outlineLevel="1" x14ac:dyDescent="0.25">
      <c r="A42" s="44"/>
      <c r="B42" s="11" t="str">
        <f>CONCATENATE("          ", "5083", " - ", "PURCHASES @ COST-COMPUTER EQUI")</f>
        <v xml:space="preserve">          5083 - PURCHASES @ COST-COMPUTER EQUI</v>
      </c>
      <c r="C42" s="11"/>
      <c r="D42" s="2">
        <v>5833.72</v>
      </c>
      <c r="E42" s="2"/>
      <c r="F42" s="19">
        <f t="shared" si="13"/>
        <v>7.3434051319698684E-2</v>
      </c>
      <c r="G42" s="2"/>
      <c r="H42" s="2">
        <v>5515.26</v>
      </c>
      <c r="I42" s="2"/>
      <c r="J42" s="19">
        <f t="shared" si="14"/>
        <v>6.5271952266025279E-2</v>
      </c>
      <c r="K42" s="2"/>
      <c r="L42" s="2">
        <f t="shared" si="15"/>
        <v>318.46000000000004</v>
      </c>
      <c r="M42" s="2"/>
      <c r="N42" s="19">
        <f t="shared" si="16"/>
        <v>5.7741611456214217E-2</v>
      </c>
      <c r="O42" s="11"/>
      <c r="P42" s="2">
        <v>81726.840000000011</v>
      </c>
      <c r="Q42" s="2"/>
      <c r="R42" s="19">
        <f t="shared" si="17"/>
        <v>6.4082166597618659E-2</v>
      </c>
      <c r="S42" s="2"/>
      <c r="T42" s="2">
        <v>54451.43</v>
      </c>
      <c r="U42" s="2"/>
      <c r="V42" s="19">
        <f t="shared" si="18"/>
        <v>3.4389325035549229E-2</v>
      </c>
      <c r="W42" s="2"/>
      <c r="X42" s="2">
        <f t="shared" si="19"/>
        <v>27275.410000000011</v>
      </c>
      <c r="Y42" s="2"/>
      <c r="Z42" s="19">
        <f t="shared" si="20"/>
        <v>0.50091264820776993</v>
      </c>
    </row>
    <row r="43" spans="1:26" s="24" customFormat="1" hidden="1" outlineLevel="1" x14ac:dyDescent="0.25">
      <c r="A43" s="44"/>
      <c r="B43" s="11" t="str">
        <f>CONCATENATE("          ", "5084", " - ", "PURCHASES @ COST-SOFTWARE LICE")</f>
        <v xml:space="preserve">          5084 - PURCHASES @ COST-SOFTWARE LICE</v>
      </c>
      <c r="C43" s="11"/>
      <c r="D43" s="2"/>
      <c r="E43" s="2"/>
      <c r="F43" s="19">
        <f t="shared" si="13"/>
        <v>0</v>
      </c>
      <c r="G43" s="2"/>
      <c r="H43" s="2"/>
      <c r="I43" s="2"/>
      <c r="J43" s="19">
        <f t="shared" si="14"/>
        <v>0</v>
      </c>
      <c r="K43" s="2"/>
      <c r="L43" s="2">
        <f t="shared" si="15"/>
        <v>0</v>
      </c>
      <c r="M43" s="2"/>
      <c r="N43" s="19">
        <f t="shared" si="16"/>
        <v>0</v>
      </c>
      <c r="O43" s="11"/>
      <c r="P43" s="2"/>
      <c r="Q43" s="2"/>
      <c r="R43" s="19">
        <f t="shared" si="17"/>
        <v>0</v>
      </c>
      <c r="S43" s="2"/>
      <c r="T43" s="2">
        <v>2728</v>
      </c>
      <c r="U43" s="2"/>
      <c r="V43" s="19">
        <f t="shared" si="18"/>
        <v>1.7228946732340785E-3</v>
      </c>
      <c r="W43" s="2"/>
      <c r="X43" s="2">
        <f t="shared" si="19"/>
        <v>-2728</v>
      </c>
      <c r="Y43" s="2"/>
      <c r="Z43" s="19">
        <f t="shared" si="20"/>
        <v>-1</v>
      </c>
    </row>
    <row r="44" spans="1:26" s="24" customFormat="1" hidden="1" outlineLevel="1" x14ac:dyDescent="0.25">
      <c r="A44" s="44"/>
      <c r="B44" s="11" t="str">
        <f>CONCATENATE("          ", "5085", " - ", "PURCHASES @ COST-SOFTWARE")</f>
        <v xml:space="preserve">          5085 - PURCHASES @ COST-SOFTWARE</v>
      </c>
      <c r="C44" s="11"/>
      <c r="D44" s="2">
        <v>496.16</v>
      </c>
      <c r="E44" s="2"/>
      <c r="F44" s="19">
        <f t="shared" si="13"/>
        <v>6.2455926754766602E-3</v>
      </c>
      <c r="G44" s="2"/>
      <c r="H44" s="2">
        <v>780.26</v>
      </c>
      <c r="I44" s="2"/>
      <c r="J44" s="19">
        <f t="shared" si="14"/>
        <v>9.2342144296168969E-3</v>
      </c>
      <c r="K44" s="2"/>
      <c r="L44" s="2">
        <f t="shared" si="15"/>
        <v>-284.09999999999997</v>
      </c>
      <c r="M44" s="2"/>
      <c r="N44" s="19">
        <f t="shared" si="16"/>
        <v>-0.36410939943095888</v>
      </c>
      <c r="O44" s="11"/>
      <c r="P44" s="2">
        <v>24572.080000000002</v>
      </c>
      <c r="Q44" s="2"/>
      <c r="R44" s="19">
        <f t="shared" si="17"/>
        <v>1.9267013434142482E-2</v>
      </c>
      <c r="S44" s="2"/>
      <c r="T44" s="2">
        <v>7860.66</v>
      </c>
      <c r="U44" s="2"/>
      <c r="V44" s="19">
        <f t="shared" si="18"/>
        <v>4.9644755286305685E-3</v>
      </c>
      <c r="W44" s="2"/>
      <c r="X44" s="2">
        <f t="shared" si="19"/>
        <v>16711.420000000002</v>
      </c>
      <c r="Y44" s="2"/>
      <c r="Z44" s="19">
        <f t="shared" si="20"/>
        <v>2.1259563446326393</v>
      </c>
    </row>
    <row r="45" spans="1:26" s="24" customFormat="1" hidden="1" outlineLevel="1" x14ac:dyDescent="0.25">
      <c r="A45" s="44"/>
      <c r="B45" s="11" t="str">
        <f>CONCATENATE("          ", "5086", " - ", "PURCHASES @ COST-COMPUTER SUPP")</f>
        <v xml:space="preserve">          5086 - PURCHASES @ COST-COMPUTER SUPP</v>
      </c>
      <c r="C45" s="11"/>
      <c r="D45" s="2"/>
      <c r="E45" s="2"/>
      <c r="F45" s="19">
        <f t="shared" si="13"/>
        <v>0</v>
      </c>
      <c r="G45" s="2"/>
      <c r="H45" s="2">
        <v>1409.73</v>
      </c>
      <c r="I45" s="2"/>
      <c r="J45" s="19">
        <f t="shared" si="14"/>
        <v>1.6683860646276662E-2</v>
      </c>
      <c r="K45" s="2"/>
      <c r="L45" s="2">
        <f t="shared" si="15"/>
        <v>-1409.73</v>
      </c>
      <c r="M45" s="2"/>
      <c r="N45" s="19">
        <f t="shared" si="16"/>
        <v>-1</v>
      </c>
      <c r="O45" s="11"/>
      <c r="P45" s="2">
        <v>22718.609999999997</v>
      </c>
      <c r="Q45" s="2"/>
      <c r="R45" s="19">
        <f t="shared" si="17"/>
        <v>1.7813704174617844E-2</v>
      </c>
      <c r="S45" s="2"/>
      <c r="T45" s="2">
        <v>20604.38</v>
      </c>
      <c r="U45" s="2"/>
      <c r="V45" s="19">
        <f t="shared" si="18"/>
        <v>1.3012894628772281E-2</v>
      </c>
      <c r="W45" s="2"/>
      <c r="X45" s="2">
        <f t="shared" si="19"/>
        <v>2114.2299999999959</v>
      </c>
      <c r="Y45" s="2"/>
      <c r="Z45" s="19">
        <f t="shared" si="20"/>
        <v>0.10261070704384193</v>
      </c>
    </row>
    <row r="46" spans="1:26" s="24" customFormat="1" hidden="1" outlineLevel="1" x14ac:dyDescent="0.25">
      <c r="A46" s="44"/>
      <c r="B46" s="11" t="str">
        <f>CONCATENATE("          ", "5088", " - ", "PURCHASES @ COST-MUSIC")</f>
        <v xml:space="preserve">          5088 - PURCHASES @ COST-MUSIC</v>
      </c>
      <c r="C46" s="11"/>
      <c r="D46" s="2"/>
      <c r="E46" s="2"/>
      <c r="F46" s="19">
        <f t="shared" si="13"/>
        <v>0</v>
      </c>
      <c r="G46" s="2"/>
      <c r="H46" s="2"/>
      <c r="I46" s="2"/>
      <c r="J46" s="19">
        <f t="shared" si="14"/>
        <v>0</v>
      </c>
      <c r="K46" s="2"/>
      <c r="L46" s="2">
        <f t="shared" si="15"/>
        <v>0</v>
      </c>
      <c r="M46" s="2"/>
      <c r="N46" s="19">
        <f t="shared" si="16"/>
        <v>0</v>
      </c>
      <c r="O46" s="11"/>
      <c r="P46" s="2"/>
      <c r="Q46" s="2"/>
      <c r="R46" s="19">
        <f t="shared" si="17"/>
        <v>0</v>
      </c>
      <c r="S46" s="2"/>
      <c r="T46" s="2">
        <v>88.75</v>
      </c>
      <c r="U46" s="2"/>
      <c r="V46" s="19">
        <f t="shared" si="18"/>
        <v>5.6050917246893132E-5</v>
      </c>
      <c r="W46" s="2"/>
      <c r="X46" s="2">
        <f t="shared" si="19"/>
        <v>-88.75</v>
      </c>
      <c r="Y46" s="2"/>
      <c r="Z46" s="19">
        <f t="shared" si="20"/>
        <v>-1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-28230.26</v>
      </c>
      <c r="E47" s="2"/>
      <c r="F47" s="19">
        <f t="shared" si="13"/>
        <v>-0.35535856393663678</v>
      </c>
      <c r="G47" s="2"/>
      <c r="H47" s="2">
        <v>-60143.000000000007</v>
      </c>
      <c r="I47" s="2"/>
      <c r="J47" s="19">
        <f t="shared" si="14"/>
        <v>-0.71177986625028722</v>
      </c>
      <c r="K47" s="2"/>
      <c r="L47" s="2">
        <f t="shared" si="15"/>
        <v>31912.740000000009</v>
      </c>
      <c r="M47" s="2"/>
      <c r="N47" s="19">
        <f t="shared" si="16"/>
        <v>-0.53061436908700943</v>
      </c>
      <c r="O47" s="11"/>
      <c r="P47" s="2">
        <v>-1131650.54</v>
      </c>
      <c r="Q47" s="2"/>
      <c r="R47" s="19">
        <f t="shared" si="17"/>
        <v>-0.88732928416864154</v>
      </c>
      <c r="S47" s="2"/>
      <c r="T47" s="2">
        <v>-1281641</v>
      </c>
      <c r="U47" s="2"/>
      <c r="V47" s="19">
        <f t="shared" si="18"/>
        <v>-0.80943271697155339</v>
      </c>
      <c r="W47" s="2"/>
      <c r="X47" s="2">
        <f t="shared" si="19"/>
        <v>149990.45999999996</v>
      </c>
      <c r="Y47" s="2"/>
      <c r="Z47" s="19">
        <f t="shared" si="20"/>
        <v>-0.11703001074403828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74328</v>
      </c>
      <c r="E48" s="2"/>
      <c r="F48" s="19">
        <f t="shared" si="13"/>
        <v>0.93563046675030059</v>
      </c>
      <c r="G48" s="2"/>
      <c r="H48" s="2">
        <v>70546</v>
      </c>
      <c r="I48" s="2"/>
      <c r="J48" s="19">
        <f t="shared" si="14"/>
        <v>0.83489720240913745</v>
      </c>
      <c r="K48" s="2"/>
      <c r="L48" s="2">
        <f t="shared" si="15"/>
        <v>3782</v>
      </c>
      <c r="M48" s="2"/>
      <c r="N48" s="19">
        <f t="shared" si="16"/>
        <v>5.3610410228786889E-2</v>
      </c>
      <c r="O48" s="11"/>
      <c r="P48" s="2">
        <v>1212021</v>
      </c>
      <c r="Q48" s="2"/>
      <c r="R48" s="19">
        <f t="shared" si="17"/>
        <v>0.95034791069631896</v>
      </c>
      <c r="S48" s="2"/>
      <c r="T48" s="2">
        <v>1407045</v>
      </c>
      <c r="U48" s="2"/>
      <c r="V48" s="19">
        <f t="shared" si="18"/>
        <v>0.88863282093132112</v>
      </c>
      <c r="W48" s="2"/>
      <c r="X48" s="2">
        <f t="shared" si="19"/>
        <v>-195024</v>
      </c>
      <c r="Y48" s="2"/>
      <c r="Z48" s="19">
        <f t="shared" si="20"/>
        <v>-0.13860537509461318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>
        <v>31</v>
      </c>
      <c r="E49" s="2"/>
      <c r="F49" s="19">
        <f t="shared" si="13"/>
        <v>3.9022366361612476E-4</v>
      </c>
      <c r="G49" s="2"/>
      <c r="H49" s="2"/>
      <c r="I49" s="2"/>
      <c r="J49" s="19">
        <f t="shared" si="14"/>
        <v>0</v>
      </c>
      <c r="K49" s="2"/>
      <c r="L49" s="2">
        <f t="shared" si="15"/>
        <v>31</v>
      </c>
      <c r="M49" s="2"/>
      <c r="N49" s="19">
        <f t="shared" si="16"/>
        <v>0</v>
      </c>
      <c r="O49" s="11"/>
      <c r="P49" s="2">
        <v>31</v>
      </c>
      <c r="Q49" s="2"/>
      <c r="R49" s="19">
        <f t="shared" si="17"/>
        <v>2.4307157410297253E-5</v>
      </c>
      <c r="S49" s="2"/>
      <c r="T49" s="2">
        <v>105.75</v>
      </c>
      <c r="U49" s="2"/>
      <c r="V49" s="19">
        <f t="shared" si="18"/>
        <v>6.6787430973058574E-5</v>
      </c>
      <c r="W49" s="2"/>
      <c r="X49" s="2">
        <f t="shared" si="19"/>
        <v>-74.75</v>
      </c>
      <c r="Y49" s="2"/>
      <c r="Z49" s="19">
        <f t="shared" si="20"/>
        <v>-0.70685579196217496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13"/>
        <v>0</v>
      </c>
      <c r="G50" s="2"/>
      <c r="H50" s="2"/>
      <c r="I50" s="2"/>
      <c r="J50" s="19">
        <f t="shared" si="14"/>
        <v>0</v>
      </c>
      <c r="K50" s="2"/>
      <c r="L50" s="2">
        <f t="shared" si="15"/>
        <v>0</v>
      </c>
      <c r="M50" s="2"/>
      <c r="N50" s="19">
        <f t="shared" si="16"/>
        <v>0</v>
      </c>
      <c r="O50" s="11"/>
      <c r="P50" s="2">
        <v>94</v>
      </c>
      <c r="Q50" s="2"/>
      <c r="R50" s="19">
        <f t="shared" si="17"/>
        <v>7.3705574082836837E-5</v>
      </c>
      <c r="S50" s="2"/>
      <c r="T50" s="2">
        <v>4.84</v>
      </c>
      <c r="U50" s="2"/>
      <c r="V50" s="19">
        <f t="shared" si="18"/>
        <v>3.0567486138023972E-6</v>
      </c>
      <c r="W50" s="2"/>
      <c r="X50" s="2">
        <f t="shared" si="19"/>
        <v>89.16</v>
      </c>
      <c r="Y50" s="2"/>
      <c r="Z50" s="19">
        <f t="shared" si="20"/>
        <v>18.421487603305785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>
        <v>7.23</v>
      </c>
      <c r="E51" s="2"/>
      <c r="F51" s="19">
        <f t="shared" si="13"/>
        <v>9.1010228643373614E-5</v>
      </c>
      <c r="G51" s="2"/>
      <c r="H51" s="2">
        <v>8.1199999999999992</v>
      </c>
      <c r="I51" s="2"/>
      <c r="J51" s="19">
        <f t="shared" si="14"/>
        <v>9.6098507123893565E-5</v>
      </c>
      <c r="K51" s="2"/>
      <c r="L51" s="2">
        <f t="shared" si="15"/>
        <v>-0.88999999999999879</v>
      </c>
      <c r="M51" s="2"/>
      <c r="N51" s="19">
        <f t="shared" si="16"/>
        <v>-0.10960591133004913</v>
      </c>
      <c r="O51" s="11"/>
      <c r="P51" s="2">
        <v>232.4</v>
      </c>
      <c r="Q51" s="2"/>
      <c r="R51" s="19">
        <f t="shared" si="17"/>
        <v>1.822252703920349E-4</v>
      </c>
      <c r="S51" s="2"/>
      <c r="T51" s="2">
        <v>49.12</v>
      </c>
      <c r="U51" s="2"/>
      <c r="V51" s="19">
        <f t="shared" si="18"/>
        <v>3.1022209072308621E-5</v>
      </c>
      <c r="W51" s="2"/>
      <c r="X51" s="2">
        <f t="shared" si="19"/>
        <v>183.28</v>
      </c>
      <c r="Y51" s="2"/>
      <c r="Z51" s="19">
        <f t="shared" si="20"/>
        <v>3.731270358306189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/>
      <c r="E52" s="2"/>
      <c r="F52" s="19">
        <f t="shared" si="13"/>
        <v>0</v>
      </c>
      <c r="G52" s="2"/>
      <c r="H52" s="2"/>
      <c r="I52" s="2"/>
      <c r="J52" s="19">
        <f t="shared" si="14"/>
        <v>0</v>
      </c>
      <c r="K52" s="2"/>
      <c r="L52" s="2">
        <f t="shared" si="15"/>
        <v>0</v>
      </c>
      <c r="M52" s="2"/>
      <c r="N52" s="19">
        <f t="shared" si="16"/>
        <v>0</v>
      </c>
      <c r="O52" s="11"/>
      <c r="P52" s="2">
        <v>24.12</v>
      </c>
      <c r="Q52" s="2"/>
      <c r="R52" s="19">
        <f t="shared" si="17"/>
        <v>1.8912536668915153E-5</v>
      </c>
      <c r="S52" s="2"/>
      <c r="T52" s="2">
        <v>162.51</v>
      </c>
      <c r="U52" s="2"/>
      <c r="V52" s="19">
        <f t="shared" si="18"/>
        <v>1.0263475562583214E-4</v>
      </c>
      <c r="W52" s="2"/>
      <c r="X52" s="2">
        <f t="shared" si="19"/>
        <v>-138.38999999999999</v>
      </c>
      <c r="Y52" s="2"/>
      <c r="Z52" s="19">
        <f t="shared" si="20"/>
        <v>-0.85157836440834411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0">
        <f>D12-D39</f>
        <v>5113.6199999999808</v>
      </c>
      <c r="E54" s="14"/>
      <c r="F54" s="21">
        <f>IF(D$12=0,0,D54/D$12)</f>
        <v>6.4369533249699365E-2</v>
      </c>
      <c r="G54" s="14"/>
      <c r="H54" s="20">
        <f>H12-H39</f>
        <v>13950.840000000011</v>
      </c>
      <c r="I54" s="14"/>
      <c r="J54" s="21">
        <f>IF(H$12=0,0,H54/H$12)</f>
        <v>0.16510528289708135</v>
      </c>
      <c r="K54" s="15"/>
      <c r="L54" s="20">
        <f>+D54-H54</f>
        <v>-8837.2200000000303</v>
      </c>
      <c r="M54" s="15"/>
      <c r="N54" s="21">
        <f>IF(H54=0,0,L54/H54)</f>
        <v>-0.63345432963176573</v>
      </c>
      <c r="O54" s="29"/>
      <c r="P54" s="20">
        <f>P12-P39</f>
        <v>59377.679999999935</v>
      </c>
      <c r="Q54" s="14"/>
      <c r="R54" s="21">
        <f>IF(P$12=0,0,P54/P$12)</f>
        <v>4.6558148852201851E-2</v>
      </c>
      <c r="S54" s="14"/>
      <c r="T54" s="20">
        <f>T12-T39</f>
        <v>176334.91000000015</v>
      </c>
      <c r="U54" s="14"/>
      <c r="V54" s="21">
        <f>IF(T$12=0,0,T54/T$12)</f>
        <v>0.11136601068336176</v>
      </c>
      <c r="W54" s="15"/>
      <c r="X54" s="20">
        <f>+P54-T54</f>
        <v>-116957.23000000021</v>
      </c>
      <c r="Y54" s="15"/>
      <c r="Z54" s="21">
        <f>IF(T54=0,0,X54/T54)</f>
        <v>-0.66326758552801668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2">
        <f>SUM(OSRRefD22x_0)</f>
        <v>13842.730000000001</v>
      </c>
      <c r="E56" s="22"/>
      <c r="F56" s="36">
        <f t="shared" ref="F56:F66" si="21">IF(D$12=0,0,D56/D$12)</f>
        <v>0.1742503488725432</v>
      </c>
      <c r="G56" s="22"/>
      <c r="H56" s="22">
        <f>SUM(OSRRefH22x_0)</f>
        <v>13308.350000000002</v>
      </c>
      <c r="I56" s="22"/>
      <c r="J56" s="36">
        <f t="shared" ref="J56:J66" si="22">IF(H$12=0,0,H56/H$12)</f>
        <v>0.15750154769486074</v>
      </c>
      <c r="K56" s="4"/>
      <c r="L56" s="22">
        <f t="shared" ref="L56:L66" si="23">+D56-H56</f>
        <v>534.3799999999992</v>
      </c>
      <c r="M56" s="4"/>
      <c r="N56" s="36">
        <f t="shared" ref="N56:N66" si="24">IF(H56=0,0,L56/H56)</f>
        <v>4.0153738066702416E-2</v>
      </c>
      <c r="O56" s="10"/>
      <c r="P56" s="22">
        <f>SUM(OSRRefP22x_0)</f>
        <v>80226.430000000008</v>
      </c>
      <c r="Q56" s="22"/>
      <c r="R56" s="36">
        <f t="shared" ref="R56:R66" si="25">IF(P$12=0,0,P56/P$12)</f>
        <v>6.2905692337941743E-2</v>
      </c>
      <c r="S56" s="22"/>
      <c r="T56" s="22">
        <f>SUM(OSRRefT22x_0)</f>
        <v>128433.93999999997</v>
      </c>
      <c r="U56" s="22"/>
      <c r="V56" s="36">
        <f t="shared" ref="V56:V66" si="26">IF(T$12=0,0,T56/T$12)</f>
        <v>8.1113691747971103E-2</v>
      </c>
      <c r="W56" s="4"/>
      <c r="X56" s="22">
        <f t="shared" ref="X56:X66" si="27">+P56-T56</f>
        <v>-48207.509999999966</v>
      </c>
      <c r="Y56" s="4"/>
      <c r="Z56" s="36">
        <f t="shared" ref="Z56:Z66" si="28">IF(T56=0,0,X56/T56)</f>
        <v>-0.3753486811975088</v>
      </c>
    </row>
    <row r="57" spans="1:26" s="25" customFormat="1" outlineLevel="1" collapsed="1" x14ac:dyDescent="0.25">
      <c r="A57" s="26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2984.54</v>
      </c>
      <c r="E57" s="1"/>
      <c r="F57" s="5">
        <f t="shared" si="21"/>
        <v>3.7568972032544161E-2</v>
      </c>
      <c r="G57" s="1"/>
      <c r="H57" s="1">
        <f>SUM(OSRRefH22_0x_0)</f>
        <v>2991.2100000000005</v>
      </c>
      <c r="I57" s="1"/>
      <c r="J57" s="5">
        <f t="shared" si="22"/>
        <v>3.5400346735721892E-2</v>
      </c>
      <c r="K57" s="1"/>
      <c r="L57" s="1">
        <f t="shared" si="23"/>
        <v>-6.6700000000005275</v>
      </c>
      <c r="M57" s="1"/>
      <c r="N57" s="5">
        <f t="shared" si="24"/>
        <v>-2.2298668431840378E-3</v>
      </c>
      <c r="O57" s="13"/>
      <c r="P57" s="1">
        <f>SUM(OSRRefP22_0x_0)</f>
        <v>17818.880000000005</v>
      </c>
      <c r="Q57" s="1"/>
      <c r="R57" s="5">
        <f t="shared" si="25"/>
        <v>1.3971816807587021E-2</v>
      </c>
      <c r="S57" s="1"/>
      <c r="T57" s="1">
        <f>SUM(OSRRefT22_0x_0)</f>
        <v>18221.209999999995</v>
      </c>
      <c r="U57" s="1"/>
      <c r="V57" s="5">
        <f t="shared" si="26"/>
        <v>1.1507780663079E-2</v>
      </c>
      <c r="W57" s="1"/>
      <c r="X57" s="1">
        <f t="shared" si="27"/>
        <v>-402.32999999999083</v>
      </c>
      <c r="Y57" s="1"/>
      <c r="Z57" s="5">
        <f t="shared" si="28"/>
        <v>-2.208031190025201E-2</v>
      </c>
    </row>
    <row r="58" spans="1:26" s="24" customFormat="1" hidden="1" outlineLevel="2" x14ac:dyDescent="0.25">
      <c r="A58" s="27"/>
      <c r="B58" s="11" t="str">
        <f>CONCATENATE("          ", "6111", " - ", "F.I.C.A.")</f>
        <v xml:space="preserve">          6111 - F.I.C.A.</v>
      </c>
      <c r="C58" s="11"/>
      <c r="D58" s="7">
        <v>443.32</v>
      </c>
      <c r="E58" s="2"/>
      <c r="F58" s="6">
        <f t="shared" si="21"/>
        <v>5.5804501469129165E-3</v>
      </c>
      <c r="G58" s="2"/>
      <c r="H58" s="7">
        <v>526</v>
      </c>
      <c r="I58" s="2"/>
      <c r="J58" s="6">
        <f t="shared" si="22"/>
        <v>6.2251003383211852E-3</v>
      </c>
      <c r="K58" s="2"/>
      <c r="L58" s="7">
        <f t="shared" si="23"/>
        <v>-82.68</v>
      </c>
      <c r="M58" s="2"/>
      <c r="N58" s="6">
        <f t="shared" si="24"/>
        <v>-0.15718631178707226</v>
      </c>
      <c r="O58" s="11"/>
      <c r="P58" s="7">
        <v>3390.36</v>
      </c>
      <c r="Q58" s="2"/>
      <c r="R58" s="6">
        <f t="shared" si="25"/>
        <v>2.6583875547604966E-3</v>
      </c>
      <c r="S58" s="2"/>
      <c r="T58" s="7">
        <v>4227.74</v>
      </c>
      <c r="U58" s="2"/>
      <c r="V58" s="6">
        <f t="shared" si="26"/>
        <v>2.670069914156394E-3</v>
      </c>
      <c r="W58" s="2"/>
      <c r="X58" s="7">
        <f t="shared" si="27"/>
        <v>-837.37999999999965</v>
      </c>
      <c r="Y58" s="2"/>
      <c r="Z58" s="6">
        <f t="shared" si="28"/>
        <v>-0.19806799850511142</v>
      </c>
    </row>
    <row r="59" spans="1:26" s="24" customFormat="1" hidden="1" outlineLevel="2" x14ac:dyDescent="0.25">
      <c r="A59" s="27"/>
      <c r="B59" s="11" t="str">
        <f>CONCATENATE("          ", "6112", " - ", "COMPENSATION INSURANCE")</f>
        <v xml:space="preserve">          6112 - COMPENSATION INSURANCE</v>
      </c>
      <c r="C59" s="11"/>
      <c r="D59" s="7">
        <v>256.8</v>
      </c>
      <c r="E59" s="2"/>
      <c r="F59" s="6">
        <f t="shared" si="21"/>
        <v>3.2325624779555107E-3</v>
      </c>
      <c r="G59" s="2"/>
      <c r="H59" s="7">
        <v>254.69</v>
      </c>
      <c r="I59" s="2"/>
      <c r="J59" s="6">
        <f t="shared" si="22"/>
        <v>3.0142030516483319E-3</v>
      </c>
      <c r="K59" s="2"/>
      <c r="L59" s="7">
        <f t="shared" si="23"/>
        <v>2.1100000000000136</v>
      </c>
      <c r="M59" s="2"/>
      <c r="N59" s="6">
        <f t="shared" si="24"/>
        <v>8.28458125564417E-3</v>
      </c>
      <c r="O59" s="11"/>
      <c r="P59" s="7">
        <v>982.53</v>
      </c>
      <c r="Q59" s="2"/>
      <c r="R59" s="6">
        <f t="shared" si="25"/>
        <v>7.7040359259159224E-4</v>
      </c>
      <c r="S59" s="2"/>
      <c r="T59" s="7">
        <v>960.61</v>
      </c>
      <c r="U59" s="2"/>
      <c r="V59" s="6">
        <f t="shared" si="26"/>
        <v>6.0668249708775224E-4</v>
      </c>
      <c r="W59" s="2"/>
      <c r="X59" s="7">
        <f t="shared" si="27"/>
        <v>21.919999999999959</v>
      </c>
      <c r="Y59" s="2"/>
      <c r="Z59" s="6">
        <f t="shared" si="28"/>
        <v>2.2818833865980947E-2</v>
      </c>
    </row>
    <row r="60" spans="1:26" s="24" customFormat="1" hidden="1" outlineLevel="2" x14ac:dyDescent="0.25">
      <c r="A60" s="27"/>
      <c r="B60" s="11" t="str">
        <f>CONCATENATE("          ", "6113", " - ", "GROUP INSURANCE")</f>
        <v xml:space="preserve">          6113 - GROUP INSURANCE</v>
      </c>
      <c r="C60" s="11"/>
      <c r="D60" s="7">
        <v>1036.33</v>
      </c>
      <c r="E60" s="2"/>
      <c r="F60" s="6">
        <f t="shared" si="21"/>
        <v>1.304517707468705E-2</v>
      </c>
      <c r="G60" s="2"/>
      <c r="H60" s="7">
        <v>1287.6500000000001</v>
      </c>
      <c r="I60" s="2"/>
      <c r="J60" s="6">
        <f t="shared" si="22"/>
        <v>1.5239069297793296E-2</v>
      </c>
      <c r="K60" s="2"/>
      <c r="L60" s="7">
        <f t="shared" si="23"/>
        <v>-251.32000000000016</v>
      </c>
      <c r="M60" s="2"/>
      <c r="N60" s="6">
        <f t="shared" si="24"/>
        <v>-0.19517726090164264</v>
      </c>
      <c r="O60" s="11"/>
      <c r="P60" s="7">
        <v>6214.78</v>
      </c>
      <c r="Q60" s="2"/>
      <c r="R60" s="6">
        <f t="shared" si="25"/>
        <v>4.8730205074311991E-3</v>
      </c>
      <c r="S60" s="2"/>
      <c r="T60" s="7">
        <v>6434.82</v>
      </c>
      <c r="U60" s="2"/>
      <c r="V60" s="6">
        <f t="shared" si="26"/>
        <v>4.0639725444355252E-3</v>
      </c>
      <c r="W60" s="2"/>
      <c r="X60" s="7">
        <f t="shared" si="27"/>
        <v>-220.03999999999996</v>
      </c>
      <c r="Y60" s="2"/>
      <c r="Z60" s="6">
        <f t="shared" si="28"/>
        <v>-3.4195206703528609E-2</v>
      </c>
    </row>
    <row r="61" spans="1:26" s="24" customFormat="1" hidden="1" outlineLevel="2" x14ac:dyDescent="0.25">
      <c r="A61" s="27"/>
      <c r="B61" s="11" t="str">
        <f>CONCATENATE("          ", "6114", " - ", "STATE UNEMPLOYMENT INSURANCE")</f>
        <v xml:space="preserve">          6114 - STATE UNEMPLOYMENT INSURANCE</v>
      </c>
      <c r="C61" s="11"/>
      <c r="D61" s="7"/>
      <c r="E61" s="2"/>
      <c r="F61" s="6">
        <f t="shared" si="21"/>
        <v>0</v>
      </c>
      <c r="G61" s="2"/>
      <c r="H61" s="7">
        <v>34.85</v>
      </c>
      <c r="I61" s="2"/>
      <c r="J61" s="6">
        <f t="shared" si="22"/>
        <v>4.1244248439257283E-4</v>
      </c>
      <c r="K61" s="2"/>
      <c r="L61" s="7">
        <f t="shared" si="23"/>
        <v>-34.85</v>
      </c>
      <c r="M61" s="2"/>
      <c r="N61" s="6">
        <f t="shared" si="24"/>
        <v>-1</v>
      </c>
      <c r="O61" s="11"/>
      <c r="P61" s="7">
        <v>116.69</v>
      </c>
      <c r="Q61" s="2"/>
      <c r="R61" s="6">
        <f t="shared" si="25"/>
        <v>9.1496845103470527E-5</v>
      </c>
      <c r="S61" s="2"/>
      <c r="T61" s="7">
        <v>159.9</v>
      </c>
      <c r="U61" s="2"/>
      <c r="V61" s="6">
        <f t="shared" si="26"/>
        <v>1.0098638498905028E-4</v>
      </c>
      <c r="W61" s="2"/>
      <c r="X61" s="7">
        <f t="shared" si="27"/>
        <v>-43.210000000000008</v>
      </c>
      <c r="Y61" s="2"/>
      <c r="Z61" s="6">
        <f t="shared" si="28"/>
        <v>-0.27023139462163859</v>
      </c>
    </row>
    <row r="62" spans="1:26" s="24" customFormat="1" hidden="1" outlineLevel="2" x14ac:dyDescent="0.25">
      <c r="A62" s="27"/>
      <c r="B62" s="11" t="str">
        <f>CONCATENATE("          ", "6115", " - ", "P.E.R.S.")</f>
        <v xml:space="preserve">          6115 - P.E.R.S.</v>
      </c>
      <c r="C62" s="11"/>
      <c r="D62" s="7">
        <v>176.42</v>
      </c>
      <c r="E62" s="2"/>
      <c r="F62" s="6">
        <f t="shared" si="21"/>
        <v>2.2207502817792493E-3</v>
      </c>
      <c r="G62" s="2"/>
      <c r="H62" s="7">
        <v>263.31</v>
      </c>
      <c r="I62" s="2"/>
      <c r="J62" s="6">
        <f t="shared" si="22"/>
        <v>3.1162189545310857E-3</v>
      </c>
      <c r="K62" s="2"/>
      <c r="L62" s="7">
        <f t="shared" si="23"/>
        <v>-86.890000000000015</v>
      </c>
      <c r="M62" s="2"/>
      <c r="N62" s="6">
        <f t="shared" si="24"/>
        <v>-0.32999126504880183</v>
      </c>
      <c r="O62" s="11"/>
      <c r="P62" s="7">
        <v>1146.73</v>
      </c>
      <c r="Q62" s="2"/>
      <c r="R62" s="6">
        <f t="shared" si="25"/>
        <v>8.9915311668097323E-4</v>
      </c>
      <c r="S62" s="2"/>
      <c r="T62" s="7">
        <v>1285.92</v>
      </c>
      <c r="U62" s="2"/>
      <c r="V62" s="6">
        <f t="shared" si="26"/>
        <v>8.1213516063239233E-4</v>
      </c>
      <c r="W62" s="2"/>
      <c r="X62" s="7">
        <f t="shared" si="27"/>
        <v>-139.19000000000005</v>
      </c>
      <c r="Y62" s="2"/>
      <c r="Z62" s="6">
        <f t="shared" si="28"/>
        <v>-0.10824157023765089</v>
      </c>
    </row>
    <row r="63" spans="1:26" s="24" customFormat="1" hidden="1" outlineLevel="2" x14ac:dyDescent="0.25">
      <c r="A63" s="27"/>
      <c r="B63" s="11" t="str">
        <f>CONCATENATE("          ", "6117", " - ", "RETIREMENT STAFF HOURLY")</f>
        <v xml:space="preserve">          6117 - RETIREMENT STAFF HOURLY</v>
      </c>
      <c r="C63" s="11"/>
      <c r="D63" s="7">
        <v>170.96</v>
      </c>
      <c r="E63" s="2"/>
      <c r="F63" s="6">
        <f t="shared" si="21"/>
        <v>2.1520205655423449E-3</v>
      </c>
      <c r="G63" s="2"/>
      <c r="H63" s="7">
        <v>159.55000000000001</v>
      </c>
      <c r="I63" s="2"/>
      <c r="J63" s="6">
        <f t="shared" si="22"/>
        <v>1.888240986652367E-3</v>
      </c>
      <c r="K63" s="2"/>
      <c r="L63" s="7">
        <f t="shared" si="23"/>
        <v>11.409999999999997</v>
      </c>
      <c r="M63" s="2"/>
      <c r="N63" s="6">
        <f t="shared" si="24"/>
        <v>7.1513632090253812E-2</v>
      </c>
      <c r="O63" s="11"/>
      <c r="P63" s="7">
        <v>1105.04</v>
      </c>
      <c r="Q63" s="2"/>
      <c r="R63" s="6">
        <f t="shared" si="25"/>
        <v>8.6646391047338314E-4</v>
      </c>
      <c r="S63" s="2"/>
      <c r="T63" s="7">
        <v>1032.23</v>
      </c>
      <c r="U63" s="2"/>
      <c r="V63" s="6">
        <f t="shared" si="26"/>
        <v>6.5191479785645632E-4</v>
      </c>
      <c r="W63" s="2"/>
      <c r="X63" s="7">
        <f t="shared" si="27"/>
        <v>72.809999999999945</v>
      </c>
      <c r="Y63" s="2"/>
      <c r="Z63" s="6">
        <f t="shared" si="28"/>
        <v>7.0536605213954204E-2</v>
      </c>
    </row>
    <row r="64" spans="1:26" s="24" customFormat="1" hidden="1" outlineLevel="2" x14ac:dyDescent="0.25">
      <c r="A64" s="27"/>
      <c r="B64" s="11" t="str">
        <f>CONCATENATE("          ", "6118", " - ", "VACATION")</f>
        <v xml:space="preserve">          6118 - VACATION</v>
      </c>
      <c r="C64" s="11"/>
      <c r="D64" s="7">
        <v>267.04000000000002</v>
      </c>
      <c r="E64" s="2"/>
      <c r="F64" s="6">
        <f t="shared" si="21"/>
        <v>3.3614621655499986E-3</v>
      </c>
      <c r="G64" s="2"/>
      <c r="H64" s="7">
        <v>125.52</v>
      </c>
      <c r="I64" s="2"/>
      <c r="J64" s="6">
        <f t="shared" si="22"/>
        <v>1.4855030313043252E-3</v>
      </c>
      <c r="K64" s="2"/>
      <c r="L64" s="7">
        <f t="shared" si="23"/>
        <v>141.52000000000004</v>
      </c>
      <c r="M64" s="2"/>
      <c r="N64" s="6">
        <f t="shared" si="24"/>
        <v>1.1274697259400897</v>
      </c>
      <c r="O64" s="11"/>
      <c r="P64" s="7">
        <v>1689.54</v>
      </c>
      <c r="Q64" s="2"/>
      <c r="R64" s="6">
        <f t="shared" si="25"/>
        <v>1.3247714429352781E-3</v>
      </c>
      <c r="S64" s="2"/>
      <c r="T64" s="7">
        <v>1531.09</v>
      </c>
      <c r="U64" s="2"/>
      <c r="V64" s="6">
        <f t="shared" si="26"/>
        <v>9.6697463535262641E-4</v>
      </c>
      <c r="W64" s="2"/>
      <c r="X64" s="7">
        <f t="shared" si="27"/>
        <v>158.45000000000005</v>
      </c>
      <c r="Y64" s="2"/>
      <c r="Z64" s="6">
        <f t="shared" si="28"/>
        <v>0.10348836449849458</v>
      </c>
    </row>
    <row r="65" spans="1:26" s="24" customFormat="1" hidden="1" outlineLevel="2" x14ac:dyDescent="0.25">
      <c r="A65" s="27"/>
      <c r="B65" s="11" t="str">
        <f>CONCATENATE("          ", "6119", " - ", "SICK LEAVE")</f>
        <v xml:space="preserve">          6119 - SICK LEAVE</v>
      </c>
      <c r="C65" s="11"/>
      <c r="D65" s="7">
        <v>267.63</v>
      </c>
      <c r="E65" s="2"/>
      <c r="F65" s="6">
        <f t="shared" si="21"/>
        <v>3.3688890030188212E-3</v>
      </c>
      <c r="G65" s="2"/>
      <c r="H65" s="7">
        <v>173.86</v>
      </c>
      <c r="I65" s="2"/>
      <c r="J65" s="6">
        <f t="shared" si="22"/>
        <v>2.0575968532709531E-3</v>
      </c>
      <c r="K65" s="2"/>
      <c r="L65" s="7">
        <f t="shared" si="23"/>
        <v>93.769999999999982</v>
      </c>
      <c r="M65" s="2"/>
      <c r="N65" s="6">
        <f t="shared" si="24"/>
        <v>0.53934199930978932</v>
      </c>
      <c r="O65" s="11"/>
      <c r="P65" s="7">
        <v>1684.29</v>
      </c>
      <c r="Q65" s="2"/>
      <c r="R65" s="6">
        <f t="shared" si="25"/>
        <v>1.3206549082125664E-3</v>
      </c>
      <c r="S65" s="2"/>
      <c r="T65" s="7">
        <v>1628.12</v>
      </c>
      <c r="U65" s="2"/>
      <c r="V65" s="6">
        <f t="shared" si="26"/>
        <v>1.0282548663437931E-3</v>
      </c>
      <c r="W65" s="2"/>
      <c r="X65" s="7">
        <f t="shared" si="27"/>
        <v>56.170000000000073</v>
      </c>
      <c r="Y65" s="2"/>
      <c r="Z65" s="6">
        <f t="shared" si="28"/>
        <v>3.449991401125229E-2</v>
      </c>
    </row>
    <row r="66" spans="1:26" s="24" customFormat="1" hidden="1" outlineLevel="2" x14ac:dyDescent="0.25">
      <c r="A66" s="27"/>
      <c r="B66" s="11" t="str">
        <f>CONCATENATE("          ", "6156", " - ", "EMPLOYEE MEALS")</f>
        <v xml:space="preserve">          6156 - EMPLOYEE MEALS</v>
      </c>
      <c r="C66" s="11"/>
      <c r="D66" s="7">
        <v>366.04</v>
      </c>
      <c r="E66" s="2"/>
      <c r="F66" s="6">
        <f t="shared" si="21"/>
        <v>4.6076603170982682E-3</v>
      </c>
      <c r="G66" s="2"/>
      <c r="H66" s="7">
        <v>165.78</v>
      </c>
      <c r="I66" s="2"/>
      <c r="J66" s="6">
        <f t="shared" si="22"/>
        <v>1.9619717378077683E-3</v>
      </c>
      <c r="K66" s="2"/>
      <c r="L66" s="7">
        <f t="shared" si="23"/>
        <v>200.26000000000002</v>
      </c>
      <c r="M66" s="2"/>
      <c r="N66" s="6">
        <f t="shared" si="24"/>
        <v>1.2079864881167814</v>
      </c>
      <c r="O66" s="11"/>
      <c r="P66" s="7">
        <v>1488.92</v>
      </c>
      <c r="Q66" s="2"/>
      <c r="R66" s="6">
        <f t="shared" si="25"/>
        <v>1.1674649293980576E-3</v>
      </c>
      <c r="S66" s="2"/>
      <c r="T66" s="7">
        <v>960.78</v>
      </c>
      <c r="U66" s="2"/>
      <c r="V66" s="6">
        <f t="shared" si="26"/>
        <v>6.0678986222501387E-4</v>
      </c>
      <c r="W66" s="2"/>
      <c r="X66" s="7">
        <f t="shared" si="27"/>
        <v>528.1400000000001</v>
      </c>
      <c r="Y66" s="2"/>
      <c r="Z66" s="6">
        <f t="shared" si="28"/>
        <v>0.54969920273111439</v>
      </c>
    </row>
    <row r="67" spans="1:26" s="25" customFormat="1" outlineLevel="1" collapsed="1" x14ac:dyDescent="0.25">
      <c r="A67" s="26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7948.3600000000006</v>
      </c>
      <c r="E67" s="1"/>
      <c r="F67" s="5">
        <f t="shared" ref="F67:F72" si="29">IF(D$12=0,0,D67/D$12)</f>
        <v>0.10005284383676973</v>
      </c>
      <c r="G67" s="1"/>
      <c r="H67" s="1">
        <f>SUM(OSRRefH22_1x_0)</f>
        <v>8569.36</v>
      </c>
      <c r="I67" s="1"/>
      <c r="J67" s="5">
        <f t="shared" ref="J67:J72" si="30">IF(H$12=0,0,H67/H$12)</f>
        <v>0.10141658904029664</v>
      </c>
      <c r="K67" s="1"/>
      <c r="L67" s="1">
        <f t="shared" ref="L67:L72" si="31">+D67-H67</f>
        <v>-621</v>
      </c>
      <c r="M67" s="1"/>
      <c r="N67" s="5">
        <f t="shared" ref="N67:N72" si="32">IF(H67=0,0,L67/H67)</f>
        <v>-7.2467488820635376E-2</v>
      </c>
      <c r="O67" s="13"/>
      <c r="P67" s="1">
        <f>SUM(OSRRefP22_1x_0)</f>
        <v>47428.14</v>
      </c>
      <c r="Q67" s="1"/>
      <c r="R67" s="5">
        <f t="shared" ref="R67:R72" si="33">IF(P$12=0,0,P67/P$12)</f>
        <v>3.7188492408310181E-2</v>
      </c>
      <c r="S67" s="1"/>
      <c r="T67" s="1">
        <f>SUM(OSRRefT22_1x_0)</f>
        <v>57288.5</v>
      </c>
      <c r="U67" s="1"/>
      <c r="V67" s="5">
        <f t="shared" ref="V67:V72" si="34">IF(T$12=0,0,T67/T$12)</f>
        <v>3.6181103917731119E-2</v>
      </c>
      <c r="W67" s="1"/>
      <c r="X67" s="1">
        <f t="shared" ref="X67:X72" si="35">+P67-T67</f>
        <v>-9860.36</v>
      </c>
      <c r="Y67" s="1"/>
      <c r="Z67" s="5">
        <f t="shared" ref="Z67:Z72" si="36">IF(T67=0,0,X67/T67)</f>
        <v>-0.17211761522818717</v>
      </c>
    </row>
    <row r="68" spans="1:26" s="24" customFormat="1" hidden="1" outlineLevel="2" x14ac:dyDescent="0.25">
      <c r="A68" s="27"/>
      <c r="B68" s="11" t="str">
        <f>CONCATENATE("          ", "6002", " - ", "STAFF SALARIES")</f>
        <v xml:space="preserve">          6002 - STAFF SALARIES</v>
      </c>
      <c r="C68" s="11"/>
      <c r="D68" s="7">
        <v>1939.96</v>
      </c>
      <c r="E68" s="2"/>
      <c r="F68" s="6">
        <f t="shared" si="29"/>
        <v>2.4419945111894752E-2</v>
      </c>
      <c r="G68" s="2"/>
      <c r="H68" s="7">
        <v>3721.56</v>
      </c>
      <c r="I68" s="2"/>
      <c r="J68" s="6">
        <f t="shared" si="30"/>
        <v>4.4043886720689332E-2</v>
      </c>
      <c r="K68" s="2"/>
      <c r="L68" s="7">
        <f t="shared" si="31"/>
        <v>-1781.6</v>
      </c>
      <c r="M68" s="2"/>
      <c r="N68" s="6">
        <f t="shared" si="32"/>
        <v>-0.47872397596706756</v>
      </c>
      <c r="O68" s="11"/>
      <c r="P68" s="7">
        <v>13237.35</v>
      </c>
      <c r="Q68" s="2"/>
      <c r="R68" s="6">
        <f t="shared" si="33"/>
        <v>1.0379430649845109E-2</v>
      </c>
      <c r="S68" s="2"/>
      <c r="T68" s="7">
        <v>18778.14</v>
      </c>
      <c r="U68" s="2"/>
      <c r="V68" s="6">
        <f t="shared" si="34"/>
        <v>1.1859515168344492E-2</v>
      </c>
      <c r="W68" s="2"/>
      <c r="X68" s="7">
        <f t="shared" si="35"/>
        <v>-5540.7899999999991</v>
      </c>
      <c r="Y68" s="2"/>
      <c r="Z68" s="6">
        <f t="shared" si="36"/>
        <v>-0.29506596499972837</v>
      </c>
    </row>
    <row r="69" spans="1:26" s="24" customFormat="1" hidden="1" outlineLevel="2" x14ac:dyDescent="0.25">
      <c r="A69" s="27"/>
      <c r="B69" s="11" t="str">
        <f>CONCATENATE("          ", "6004", " - ", "STAFF HOURLY")</f>
        <v xml:space="preserve">          6004 - STAFF HOURLY</v>
      </c>
      <c r="C69" s="11"/>
      <c r="D69" s="7">
        <v>3520</v>
      </c>
      <c r="E69" s="2"/>
      <c r="F69" s="6">
        <f t="shared" si="29"/>
        <v>4.4309267610605128E-2</v>
      </c>
      <c r="G69" s="2"/>
      <c r="H69" s="7"/>
      <c r="I69" s="2"/>
      <c r="J69" s="6">
        <f t="shared" si="30"/>
        <v>0</v>
      </c>
      <c r="K69" s="2"/>
      <c r="L69" s="7">
        <f t="shared" si="31"/>
        <v>3520</v>
      </c>
      <c r="M69" s="2"/>
      <c r="N69" s="6">
        <f t="shared" si="32"/>
        <v>0</v>
      </c>
      <c r="O69" s="11"/>
      <c r="P69" s="7">
        <v>21336.16</v>
      </c>
      <c r="Q69" s="2"/>
      <c r="R69" s="6">
        <f t="shared" si="33"/>
        <v>1.6729722569396383E-2</v>
      </c>
      <c r="S69" s="2"/>
      <c r="T69" s="7"/>
      <c r="U69" s="2"/>
      <c r="V69" s="6">
        <f t="shared" si="34"/>
        <v>0</v>
      </c>
      <c r="W69" s="2"/>
      <c r="X69" s="7">
        <f t="shared" si="35"/>
        <v>21336.16</v>
      </c>
      <c r="Y69" s="2"/>
      <c r="Z69" s="6">
        <f t="shared" si="36"/>
        <v>0</v>
      </c>
    </row>
    <row r="70" spans="1:26" s="24" customFormat="1" hidden="1" outlineLevel="2" x14ac:dyDescent="0.25">
      <c r="A70" s="27"/>
      <c r="B70" s="11" t="str">
        <f>CONCATENATE("          ", "6005", " - ", "TEMPORARY WAGES-HOURLY")</f>
        <v xml:space="preserve">          6005 - TEMPORARY WAGES-HOURLY</v>
      </c>
      <c r="C70" s="11"/>
      <c r="D70" s="7"/>
      <c r="E70" s="2"/>
      <c r="F70" s="6">
        <f t="shared" si="29"/>
        <v>0</v>
      </c>
      <c r="G70" s="2"/>
      <c r="H70" s="7">
        <v>2457.04</v>
      </c>
      <c r="I70" s="2"/>
      <c r="J70" s="6">
        <f t="shared" si="30"/>
        <v>2.9078556150700919E-2</v>
      </c>
      <c r="K70" s="2"/>
      <c r="L70" s="7">
        <f t="shared" si="31"/>
        <v>-2457.04</v>
      </c>
      <c r="M70" s="2"/>
      <c r="N70" s="6">
        <f t="shared" si="32"/>
        <v>-1</v>
      </c>
      <c r="O70" s="11"/>
      <c r="P70" s="7"/>
      <c r="Q70" s="2"/>
      <c r="R70" s="6">
        <f t="shared" si="33"/>
        <v>0</v>
      </c>
      <c r="S70" s="2"/>
      <c r="T70" s="7">
        <v>19659.289999999997</v>
      </c>
      <c r="U70" s="2"/>
      <c r="V70" s="6">
        <f t="shared" si="34"/>
        <v>1.2416013937156885E-2</v>
      </c>
      <c r="W70" s="2"/>
      <c r="X70" s="7">
        <f t="shared" si="35"/>
        <v>-19659.289999999997</v>
      </c>
      <c r="Y70" s="2"/>
      <c r="Z70" s="6">
        <f t="shared" si="36"/>
        <v>-1</v>
      </c>
    </row>
    <row r="71" spans="1:26" s="24" customFormat="1" hidden="1" outlineLevel="2" x14ac:dyDescent="0.25">
      <c r="A71" s="27"/>
      <c r="B71" s="11" t="str">
        <f>CONCATENATE("          ", "6006", " - ", "TEMPORARY PART TIME")</f>
        <v xml:space="preserve">          6006 - TEMPORARY PART TIME</v>
      </c>
      <c r="C71" s="11"/>
      <c r="D71" s="7"/>
      <c r="E71" s="2"/>
      <c r="F71" s="6">
        <f t="shared" si="29"/>
        <v>0</v>
      </c>
      <c r="G71" s="2"/>
      <c r="H71" s="7">
        <v>641</v>
      </c>
      <c r="I71" s="2"/>
      <c r="J71" s="6">
        <f t="shared" si="30"/>
        <v>7.5861013628590861E-3</v>
      </c>
      <c r="K71" s="2"/>
      <c r="L71" s="7">
        <f t="shared" si="31"/>
        <v>-641</v>
      </c>
      <c r="M71" s="2"/>
      <c r="N71" s="6">
        <f t="shared" si="32"/>
        <v>-1</v>
      </c>
      <c r="O71" s="11"/>
      <c r="P71" s="7"/>
      <c r="Q71" s="2"/>
      <c r="R71" s="6">
        <f t="shared" si="33"/>
        <v>0</v>
      </c>
      <c r="S71" s="2"/>
      <c r="T71" s="7">
        <v>8242.16</v>
      </c>
      <c r="U71" s="2"/>
      <c r="V71" s="6">
        <f t="shared" si="34"/>
        <v>5.2054155278383404E-3</v>
      </c>
      <c r="W71" s="2"/>
      <c r="X71" s="7">
        <f t="shared" si="35"/>
        <v>-8242.16</v>
      </c>
      <c r="Y71" s="2"/>
      <c r="Z71" s="6">
        <f t="shared" si="36"/>
        <v>-1</v>
      </c>
    </row>
    <row r="72" spans="1:26" s="24" customFormat="1" hidden="1" outlineLevel="2" x14ac:dyDescent="0.25">
      <c r="A72" s="27"/>
      <c r="B72" s="11" t="str">
        <f>CONCATENATE("          ", "6007", " - ", "STUDENT HOURLY")</f>
        <v xml:space="preserve">          6007 - STUDENT HOURLY</v>
      </c>
      <c r="C72" s="11"/>
      <c r="D72" s="7">
        <v>2488.4</v>
      </c>
      <c r="E72" s="2"/>
      <c r="F72" s="6">
        <f t="shared" si="29"/>
        <v>3.1323631114269834E-2</v>
      </c>
      <c r="G72" s="2"/>
      <c r="H72" s="7">
        <v>1749.76</v>
      </c>
      <c r="I72" s="2"/>
      <c r="J72" s="6">
        <f t="shared" si="30"/>
        <v>2.0708044806047293E-2</v>
      </c>
      <c r="K72" s="2"/>
      <c r="L72" s="7">
        <f t="shared" si="31"/>
        <v>738.6400000000001</v>
      </c>
      <c r="M72" s="2"/>
      <c r="N72" s="6">
        <f t="shared" si="32"/>
        <v>0.42213789319678136</v>
      </c>
      <c r="O72" s="11"/>
      <c r="P72" s="7">
        <v>12854.63</v>
      </c>
      <c r="Q72" s="2"/>
      <c r="R72" s="6">
        <f t="shared" si="33"/>
        <v>1.0079339189068689E-2</v>
      </c>
      <c r="S72" s="2"/>
      <c r="T72" s="7">
        <v>10608.91</v>
      </c>
      <c r="U72" s="2"/>
      <c r="V72" s="6">
        <f t="shared" si="34"/>
        <v>6.7001592843914026E-3</v>
      </c>
      <c r="W72" s="2"/>
      <c r="X72" s="7">
        <f t="shared" si="35"/>
        <v>2245.7199999999993</v>
      </c>
      <c r="Y72" s="2"/>
      <c r="Z72" s="6">
        <f t="shared" si="36"/>
        <v>0.2116824442850396</v>
      </c>
    </row>
    <row r="73" spans="1:26" s="25" customFormat="1" outlineLevel="1" collapsed="1" x14ac:dyDescent="0.25">
      <c r="A73" s="26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0</v>
      </c>
      <c r="E73" s="1"/>
      <c r="F73" s="5">
        <f t="shared" ref="F73:F81" si="37">IF(D$12=0,0,D73/D$12)</f>
        <v>0</v>
      </c>
      <c r="G73" s="1"/>
      <c r="H73" s="1">
        <f>SUM(OSRRefH22_2x_0)</f>
        <v>79.67</v>
      </c>
      <c r="I73" s="1"/>
      <c r="J73" s="5">
        <f t="shared" ref="J73:J81" si="38">IF(H$12=0,0,H73/H$12)</f>
        <v>9.4287784021682283E-4</v>
      </c>
      <c r="K73" s="1"/>
      <c r="L73" s="1">
        <f t="shared" ref="L73:L81" si="39">+D73-H73</f>
        <v>-79.67</v>
      </c>
      <c r="M73" s="1"/>
      <c r="N73" s="5">
        <f t="shared" ref="N73:N81" si="40">IF(H73=0,0,L73/H73)</f>
        <v>-1</v>
      </c>
      <c r="O73" s="13"/>
      <c r="P73" s="1">
        <f>SUM(OSRRefP22_2x_0)</f>
        <v>248.88</v>
      </c>
      <c r="Q73" s="1"/>
      <c r="R73" s="5">
        <f t="shared" ref="R73:R81" si="41">IF(P$12=0,0,P73/P$12)</f>
        <v>1.9514726891208968E-4</v>
      </c>
      <c r="S73" s="1"/>
      <c r="T73" s="1">
        <f>SUM(OSRRefT22_2x_0)</f>
        <v>1508.38</v>
      </c>
      <c r="U73" s="1"/>
      <c r="V73" s="5">
        <f t="shared" ref="V73:V81" si="42">IF(T$12=0,0,T73/T$12)</f>
        <v>9.5263191613373149E-4</v>
      </c>
      <c r="W73" s="1"/>
      <c r="X73" s="1">
        <f t="shared" ref="X73:X81" si="43">+P73-T73</f>
        <v>-1259.5</v>
      </c>
      <c r="Y73" s="1"/>
      <c r="Z73" s="5">
        <f t="shared" ref="Z73:Z81" si="44">IF(T73=0,0,X73/T73)</f>
        <v>-0.83500178999986729</v>
      </c>
    </row>
    <row r="74" spans="1:26" s="24" customFormat="1" hidden="1" outlineLevel="2" x14ac:dyDescent="0.25">
      <c r="A74" s="27"/>
      <c r="B74" s="11" t="str">
        <f>CONCATENATE("          ", "6362", " - ", "ADVERTISING EXPENSE")</f>
        <v xml:space="preserve">          6362 - ADVERTISING EXPENSE</v>
      </c>
      <c r="C74" s="11"/>
      <c r="D74" s="7"/>
      <c r="E74" s="2"/>
      <c r="F74" s="6">
        <f t="shared" si="37"/>
        <v>0</v>
      </c>
      <c r="G74" s="2"/>
      <c r="H74" s="7">
        <v>79.67</v>
      </c>
      <c r="I74" s="2"/>
      <c r="J74" s="6">
        <f t="shared" si="38"/>
        <v>9.4287784021682283E-4</v>
      </c>
      <c r="K74" s="2"/>
      <c r="L74" s="7">
        <f t="shared" si="39"/>
        <v>-79.67</v>
      </c>
      <c r="M74" s="2"/>
      <c r="N74" s="6">
        <f t="shared" si="40"/>
        <v>-1</v>
      </c>
      <c r="O74" s="11"/>
      <c r="P74" s="7">
        <v>248.88</v>
      </c>
      <c r="Q74" s="2"/>
      <c r="R74" s="6">
        <f t="shared" si="41"/>
        <v>1.9514726891208968E-4</v>
      </c>
      <c r="S74" s="2"/>
      <c r="T74" s="7">
        <v>1508.38</v>
      </c>
      <c r="U74" s="2"/>
      <c r="V74" s="6">
        <f t="shared" si="42"/>
        <v>9.5263191613373149E-4</v>
      </c>
      <c r="W74" s="2"/>
      <c r="X74" s="7">
        <f t="shared" si="43"/>
        <v>-1259.5</v>
      </c>
      <c r="Y74" s="2"/>
      <c r="Z74" s="6">
        <f t="shared" si="44"/>
        <v>-0.83500178999986729</v>
      </c>
    </row>
    <row r="75" spans="1:26" s="25" customFormat="1" outlineLevel="1" collapsed="1" x14ac:dyDescent="0.25">
      <c r="A75" s="26"/>
      <c r="B75" s="13" t="str">
        <f>CONCATENATE("     ","Depreciation                                      ")</f>
        <v xml:space="preserve">     Depreciation                                      </v>
      </c>
      <c r="C75" s="13"/>
      <c r="D75" s="1">
        <f>SUM(OSRRefD22_3x_0)</f>
        <v>280.44</v>
      </c>
      <c r="E75" s="1"/>
      <c r="F75" s="5">
        <f t="shared" si="37"/>
        <v>3.5301394911130975E-3</v>
      </c>
      <c r="G75" s="1"/>
      <c r="H75" s="1">
        <f>SUM(OSRRefH22_3x_0)</f>
        <v>280.44</v>
      </c>
      <c r="I75" s="1"/>
      <c r="J75" s="5">
        <f t="shared" si="38"/>
        <v>3.3189489332296446E-3</v>
      </c>
      <c r="K75" s="1"/>
      <c r="L75" s="1">
        <f t="shared" si="39"/>
        <v>0</v>
      </c>
      <c r="M75" s="1"/>
      <c r="N75" s="5">
        <f t="shared" si="40"/>
        <v>0</v>
      </c>
      <c r="O75" s="13"/>
      <c r="P75" s="1">
        <f>SUM(OSRRefP22_3x_0)</f>
        <v>1682.64</v>
      </c>
      <c r="Q75" s="1"/>
      <c r="R75" s="5">
        <f t="shared" si="41"/>
        <v>1.3193611401568573E-3</v>
      </c>
      <c r="S75" s="1"/>
      <c r="T75" s="1">
        <f>SUM(OSRRefT22_3x_0)</f>
        <v>1682.64</v>
      </c>
      <c r="U75" s="1"/>
      <c r="V75" s="5">
        <f t="shared" si="42"/>
        <v>1.0626874974232368E-3</v>
      </c>
      <c r="W75" s="1"/>
      <c r="X75" s="1">
        <f t="shared" si="43"/>
        <v>0</v>
      </c>
      <c r="Y75" s="1"/>
      <c r="Z75" s="5">
        <f t="shared" si="44"/>
        <v>0</v>
      </c>
    </row>
    <row r="76" spans="1:26" s="24" customFormat="1" hidden="1" outlineLevel="2" x14ac:dyDescent="0.25">
      <c r="A76" s="27"/>
      <c r="B76" s="11" t="str">
        <f>CONCATENATE("          ", "6322", " - ", "EQUIPMENT DEPRECIATION EXPENSE")</f>
        <v xml:space="preserve">          6322 - EQUIPMENT DEPRECIATION EXPENSE</v>
      </c>
      <c r="C76" s="11"/>
      <c r="D76" s="7">
        <v>280.44</v>
      </c>
      <c r="E76" s="2"/>
      <c r="F76" s="6">
        <f t="shared" si="37"/>
        <v>3.5301394911130975E-3</v>
      </c>
      <c r="G76" s="2"/>
      <c r="H76" s="7">
        <v>280.44</v>
      </c>
      <c r="I76" s="2"/>
      <c r="J76" s="6">
        <f t="shared" si="38"/>
        <v>3.3189489332296446E-3</v>
      </c>
      <c r="K76" s="2"/>
      <c r="L76" s="7">
        <f t="shared" si="39"/>
        <v>0</v>
      </c>
      <c r="M76" s="2"/>
      <c r="N76" s="6">
        <f t="shared" si="40"/>
        <v>0</v>
      </c>
      <c r="O76" s="11"/>
      <c r="P76" s="7">
        <v>1682.64</v>
      </c>
      <c r="Q76" s="2"/>
      <c r="R76" s="6">
        <f t="shared" si="41"/>
        <v>1.3193611401568573E-3</v>
      </c>
      <c r="S76" s="2"/>
      <c r="T76" s="7">
        <v>1682.64</v>
      </c>
      <c r="U76" s="2"/>
      <c r="V76" s="6">
        <f t="shared" si="42"/>
        <v>1.0626874974232368E-3</v>
      </c>
      <c r="W76" s="2"/>
      <c r="X76" s="7">
        <f t="shared" si="43"/>
        <v>0</v>
      </c>
      <c r="Y76" s="2"/>
      <c r="Z76" s="6">
        <f t="shared" si="44"/>
        <v>0</v>
      </c>
    </row>
    <row r="77" spans="1:26" s="25" customFormat="1" outlineLevel="1" collapsed="1" x14ac:dyDescent="0.25">
      <c r="A77" s="26"/>
      <c r="B77" s="13" t="str">
        <f>CONCATENATE("     ","Discounts and Markdowns                           ")</f>
        <v xml:space="preserve">     Discounts and Markdowns                           </v>
      </c>
      <c r="C77" s="13"/>
      <c r="D77" s="1">
        <f>SUM(OSRRefD22_4x_0)</f>
        <v>0</v>
      </c>
      <c r="E77" s="1"/>
      <c r="F77" s="5">
        <f t="shared" si="37"/>
        <v>0</v>
      </c>
      <c r="G77" s="1"/>
      <c r="H77" s="1">
        <f>SUM(OSRRefH22_4x_0)</f>
        <v>933.49</v>
      </c>
      <c r="I77" s="1"/>
      <c r="J77" s="5">
        <f t="shared" si="38"/>
        <v>1.1047659533877268E-2</v>
      </c>
      <c r="K77" s="1"/>
      <c r="L77" s="1">
        <f t="shared" si="39"/>
        <v>-933.49</v>
      </c>
      <c r="M77" s="1"/>
      <c r="N77" s="5">
        <f t="shared" si="40"/>
        <v>-1</v>
      </c>
      <c r="O77" s="13"/>
      <c r="P77" s="1">
        <f>SUM(OSRRefP22_4x_0)</f>
        <v>0</v>
      </c>
      <c r="Q77" s="1"/>
      <c r="R77" s="5">
        <f t="shared" si="41"/>
        <v>0</v>
      </c>
      <c r="S77" s="1"/>
      <c r="T77" s="1">
        <f>SUM(OSRRefT22_4x_0)</f>
        <v>49270.659999999996</v>
      </c>
      <c r="U77" s="1"/>
      <c r="V77" s="5">
        <f t="shared" si="42"/>
        <v>3.1117359846307688E-2</v>
      </c>
      <c r="W77" s="1"/>
      <c r="X77" s="1">
        <f t="shared" si="43"/>
        <v>-49270.659999999996</v>
      </c>
      <c r="Y77" s="1"/>
      <c r="Z77" s="5">
        <f t="shared" si="44"/>
        <v>-1</v>
      </c>
    </row>
    <row r="78" spans="1:26" s="24" customFormat="1" hidden="1" outlineLevel="2" x14ac:dyDescent="0.25">
      <c r="A78" s="27"/>
      <c r="B78" s="11" t="str">
        <f>CONCATENATE("          ", "6382", " - ", "DISCOUNTS/MARK DOWNS")</f>
        <v xml:space="preserve">          6382 - DISCOUNTS/MARK DOWNS</v>
      </c>
      <c r="C78" s="11"/>
      <c r="D78" s="7"/>
      <c r="E78" s="2"/>
      <c r="F78" s="6">
        <f t="shared" si="37"/>
        <v>0</v>
      </c>
      <c r="G78" s="2"/>
      <c r="H78" s="7">
        <v>933.49</v>
      </c>
      <c r="I78" s="2"/>
      <c r="J78" s="6">
        <f t="shared" si="38"/>
        <v>1.1047659533877268E-2</v>
      </c>
      <c r="K78" s="2"/>
      <c r="L78" s="7">
        <f t="shared" si="39"/>
        <v>-933.49</v>
      </c>
      <c r="M78" s="2"/>
      <c r="N78" s="6">
        <f t="shared" si="40"/>
        <v>-1</v>
      </c>
      <c r="O78" s="11"/>
      <c r="P78" s="7"/>
      <c r="Q78" s="2"/>
      <c r="R78" s="6">
        <f t="shared" si="41"/>
        <v>0</v>
      </c>
      <c r="S78" s="2"/>
      <c r="T78" s="7">
        <v>49270.659999999996</v>
      </c>
      <c r="U78" s="2"/>
      <c r="V78" s="6">
        <f t="shared" si="42"/>
        <v>3.1117359846307688E-2</v>
      </c>
      <c r="W78" s="2"/>
      <c r="X78" s="7">
        <f t="shared" si="43"/>
        <v>-49270.659999999996</v>
      </c>
      <c r="Y78" s="2"/>
      <c r="Z78" s="6">
        <f t="shared" si="44"/>
        <v>-1</v>
      </c>
    </row>
    <row r="79" spans="1:26" s="25" customFormat="1" outlineLevel="1" collapsed="1" x14ac:dyDescent="0.25">
      <c r="A79" s="26"/>
      <c r="B79" s="13" t="str">
        <f>CONCATENATE("     ","Freight out/Postage                               ")</f>
        <v xml:space="preserve">     Freight out/Postage                               </v>
      </c>
      <c r="C79" s="13"/>
      <c r="D79" s="1">
        <f>SUM(OSRRefD22_5x_0)</f>
        <v>43.58</v>
      </c>
      <c r="E79" s="1"/>
      <c r="F79" s="5">
        <f t="shared" si="37"/>
        <v>5.4857894388357143E-4</v>
      </c>
      <c r="G79" s="1"/>
      <c r="H79" s="1">
        <f>SUM(OSRRefH22_5x_0)</f>
        <v>0</v>
      </c>
      <c r="I79" s="1"/>
      <c r="J79" s="5">
        <f t="shared" si="38"/>
        <v>0</v>
      </c>
      <c r="K79" s="1"/>
      <c r="L79" s="1">
        <f t="shared" si="39"/>
        <v>43.58</v>
      </c>
      <c r="M79" s="1"/>
      <c r="N79" s="5">
        <f t="shared" si="40"/>
        <v>0</v>
      </c>
      <c r="O79" s="13"/>
      <c r="P79" s="1">
        <f>SUM(OSRRefP22_5x_0)</f>
        <v>871.17000000000007</v>
      </c>
      <c r="Q79" s="1"/>
      <c r="R79" s="5">
        <f t="shared" si="41"/>
        <v>6.8308601035898902E-4</v>
      </c>
      <c r="S79" s="1"/>
      <c r="T79" s="1">
        <f>SUM(OSRRefT22_5x_0)</f>
        <v>41.61</v>
      </c>
      <c r="U79" s="1"/>
      <c r="V79" s="5">
        <f t="shared" si="42"/>
        <v>2.6279196243867304E-5</v>
      </c>
      <c r="W79" s="1"/>
      <c r="X79" s="1">
        <f t="shared" si="43"/>
        <v>829.56000000000006</v>
      </c>
      <c r="Y79" s="1"/>
      <c r="Z79" s="5">
        <f t="shared" si="44"/>
        <v>19.936553713049751</v>
      </c>
    </row>
    <row r="80" spans="1:26" s="24" customFormat="1" hidden="1" outlineLevel="2" x14ac:dyDescent="0.25">
      <c r="A80" s="27"/>
      <c r="B80" s="11" t="str">
        <f>CONCATENATE("          ", "6305", " - ", "FREIGHT OUT")</f>
        <v xml:space="preserve">          6305 - FREIGHT OUT</v>
      </c>
      <c r="C80" s="11"/>
      <c r="D80" s="7">
        <v>43.58</v>
      </c>
      <c r="E80" s="2"/>
      <c r="F80" s="6">
        <f t="shared" si="37"/>
        <v>5.4857894388357143E-4</v>
      </c>
      <c r="G80" s="2"/>
      <c r="H80" s="7"/>
      <c r="I80" s="2"/>
      <c r="J80" s="6">
        <f t="shared" si="38"/>
        <v>0</v>
      </c>
      <c r="K80" s="2"/>
      <c r="L80" s="7">
        <f t="shared" si="39"/>
        <v>43.58</v>
      </c>
      <c r="M80" s="2"/>
      <c r="N80" s="6">
        <f t="shared" si="40"/>
        <v>0</v>
      </c>
      <c r="O80" s="11"/>
      <c r="P80" s="7">
        <v>858.57</v>
      </c>
      <c r="Q80" s="2"/>
      <c r="R80" s="6">
        <f t="shared" si="41"/>
        <v>6.7320632702448115E-4</v>
      </c>
      <c r="S80" s="2"/>
      <c r="T80" s="7">
        <v>41.61</v>
      </c>
      <c r="U80" s="2"/>
      <c r="V80" s="6">
        <f t="shared" si="42"/>
        <v>2.6279196243867304E-5</v>
      </c>
      <c r="W80" s="2"/>
      <c r="X80" s="7">
        <f t="shared" si="43"/>
        <v>816.96</v>
      </c>
      <c r="Y80" s="2"/>
      <c r="Z80" s="6">
        <f t="shared" si="44"/>
        <v>19.633741888968999</v>
      </c>
    </row>
    <row r="81" spans="1:26" s="24" customFormat="1" hidden="1" outlineLevel="2" x14ac:dyDescent="0.25">
      <c r="A81" s="27"/>
      <c r="B81" s="11" t="str">
        <f>CONCATENATE("          ", "6307", " - ", "POSTAGE")</f>
        <v xml:space="preserve">          6307 - POSTAGE</v>
      </c>
      <c r="C81" s="11"/>
      <c r="D81" s="7"/>
      <c r="E81" s="2"/>
      <c r="F81" s="6">
        <f t="shared" si="37"/>
        <v>0</v>
      </c>
      <c r="G81" s="2"/>
      <c r="H81" s="7"/>
      <c r="I81" s="2"/>
      <c r="J81" s="6">
        <f t="shared" si="38"/>
        <v>0</v>
      </c>
      <c r="K81" s="2"/>
      <c r="L81" s="7">
        <f t="shared" si="39"/>
        <v>0</v>
      </c>
      <c r="M81" s="2"/>
      <c r="N81" s="6">
        <f t="shared" si="40"/>
        <v>0</v>
      </c>
      <c r="O81" s="11"/>
      <c r="P81" s="7">
        <v>12.6</v>
      </c>
      <c r="Q81" s="2"/>
      <c r="R81" s="6">
        <f t="shared" si="41"/>
        <v>9.8796833345079152E-6</v>
      </c>
      <c r="S81" s="2"/>
      <c r="T81" s="7"/>
      <c r="U81" s="2"/>
      <c r="V81" s="6">
        <f t="shared" si="42"/>
        <v>0</v>
      </c>
      <c r="W81" s="2"/>
      <c r="X81" s="7">
        <f t="shared" si="43"/>
        <v>12.6</v>
      </c>
      <c r="Y81" s="2"/>
      <c r="Z81" s="6">
        <f t="shared" si="44"/>
        <v>0</v>
      </c>
    </row>
    <row r="82" spans="1:26" s="25" customFormat="1" outlineLevel="1" collapsed="1" x14ac:dyDescent="0.25">
      <c r="A82" s="26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SUM(OSRRefD22_6x_0)</f>
        <v>0</v>
      </c>
      <c r="E82" s="1"/>
      <c r="F82" s="5">
        <f t="shared" ref="F82:F93" si="45">IF(D$12=0,0,D82/D$12)</f>
        <v>0</v>
      </c>
      <c r="G82" s="1"/>
      <c r="H82" s="1">
        <f>SUM(OSRRefH22_6x_0)</f>
        <v>0</v>
      </c>
      <c r="I82" s="1"/>
      <c r="J82" s="5">
        <f t="shared" ref="J82:J93" si="46">IF(H$12=0,0,H82/H$12)</f>
        <v>0</v>
      </c>
      <c r="K82" s="1"/>
      <c r="L82" s="1">
        <f t="shared" ref="L82:L93" si="47">+D82-H82</f>
        <v>0</v>
      </c>
      <c r="M82" s="1"/>
      <c r="N82" s="5">
        <f t="shared" ref="N82:N93" si="48">IF(H82=0,0,L82/H82)</f>
        <v>0</v>
      </c>
      <c r="O82" s="13"/>
      <c r="P82" s="1">
        <f>SUM(OSRRefP22_6x_0)</f>
        <v>-30.15</v>
      </c>
      <c r="Q82" s="1"/>
      <c r="R82" s="5">
        <f t="shared" ref="R82:R93" si="49">IF(P$12=0,0,P82/P$12)</f>
        <v>-2.3640670836143939E-5</v>
      </c>
      <c r="S82" s="1"/>
      <c r="T82" s="1">
        <f>SUM(OSRRefT22_6x_0)</f>
        <v>0</v>
      </c>
      <c r="U82" s="1"/>
      <c r="V82" s="5">
        <f t="shared" ref="V82:V93" si="50">IF(T$12=0,0,T82/T$12)</f>
        <v>0</v>
      </c>
      <c r="W82" s="1"/>
      <c r="X82" s="1">
        <f t="shared" ref="X82:X93" si="51">+P82-T82</f>
        <v>-30.15</v>
      </c>
      <c r="Y82" s="1"/>
      <c r="Z82" s="5">
        <f t="shared" ref="Z82:Z93" si="52">IF(T82=0,0,X82/T82)</f>
        <v>0</v>
      </c>
    </row>
    <row r="83" spans="1:26" s="24" customFormat="1" hidden="1" outlineLevel="2" x14ac:dyDescent="0.25">
      <c r="A83" s="27"/>
      <c r="B83" s="11" t="str">
        <f>CONCATENATE("          ", "6279", " - ", "GENERAL EXPENSE")</f>
        <v xml:space="preserve">          6279 - GENERAL EXPENSE</v>
      </c>
      <c r="C83" s="11"/>
      <c r="D83" s="7"/>
      <c r="E83" s="2"/>
      <c r="F83" s="6">
        <f t="shared" si="45"/>
        <v>0</v>
      </c>
      <c r="G83" s="2"/>
      <c r="H83" s="7"/>
      <c r="I83" s="2"/>
      <c r="J83" s="6">
        <f t="shared" si="46"/>
        <v>0</v>
      </c>
      <c r="K83" s="2"/>
      <c r="L83" s="7">
        <f t="shared" si="47"/>
        <v>0</v>
      </c>
      <c r="M83" s="2"/>
      <c r="N83" s="6">
        <f t="shared" si="48"/>
        <v>0</v>
      </c>
      <c r="O83" s="11"/>
      <c r="P83" s="7">
        <v>-30.15</v>
      </c>
      <c r="Q83" s="2"/>
      <c r="R83" s="6">
        <f t="shared" si="49"/>
        <v>-2.3640670836143939E-5</v>
      </c>
      <c r="S83" s="2"/>
      <c r="T83" s="7"/>
      <c r="U83" s="2"/>
      <c r="V83" s="6">
        <f t="shared" si="50"/>
        <v>0</v>
      </c>
      <c r="W83" s="2"/>
      <c r="X83" s="7">
        <f t="shared" si="51"/>
        <v>-30.15</v>
      </c>
      <c r="Y83" s="2"/>
      <c r="Z83" s="6">
        <f t="shared" si="52"/>
        <v>0</v>
      </c>
    </row>
    <row r="84" spans="1:26" s="25" customFormat="1" outlineLevel="1" collapsed="1" x14ac:dyDescent="0.25">
      <c r="A84" s="26"/>
      <c r="B84" s="13" t="str">
        <f>CONCATENATE("     ","Inventory Adjustment                              ")</f>
        <v xml:space="preserve">     Inventory Adjustment                              </v>
      </c>
      <c r="C84" s="13"/>
      <c r="D84" s="1">
        <f>SUM(OSRRefD22_7x_0)</f>
        <v>1250</v>
      </c>
      <c r="E84" s="1"/>
      <c r="F84" s="5">
        <f t="shared" si="45"/>
        <v>1.5734825145811482E-2</v>
      </c>
      <c r="G84" s="1"/>
      <c r="H84" s="1">
        <f>SUM(OSRRefH22_7x_0)</f>
        <v>0</v>
      </c>
      <c r="I84" s="1"/>
      <c r="J84" s="5">
        <f t="shared" si="46"/>
        <v>0</v>
      </c>
      <c r="K84" s="1"/>
      <c r="L84" s="1">
        <f t="shared" si="47"/>
        <v>1250</v>
      </c>
      <c r="M84" s="1"/>
      <c r="N84" s="5">
        <f t="shared" si="48"/>
        <v>0</v>
      </c>
      <c r="O84" s="13"/>
      <c r="P84" s="1">
        <f>SUM(OSRRefP22_7x_0)</f>
        <v>7500</v>
      </c>
      <c r="Q84" s="1"/>
      <c r="R84" s="5">
        <f t="shared" si="49"/>
        <v>5.8807638895880454E-3</v>
      </c>
      <c r="S84" s="1"/>
      <c r="T84" s="1">
        <f>SUM(OSRRefT22_7x_0)</f>
        <v>0</v>
      </c>
      <c r="U84" s="1"/>
      <c r="V84" s="5">
        <f t="shared" si="50"/>
        <v>0</v>
      </c>
      <c r="W84" s="1"/>
      <c r="X84" s="1">
        <f t="shared" si="51"/>
        <v>7500</v>
      </c>
      <c r="Y84" s="1"/>
      <c r="Z84" s="5">
        <f t="shared" si="52"/>
        <v>0</v>
      </c>
    </row>
    <row r="85" spans="1:26" s="24" customFormat="1" hidden="1" outlineLevel="2" x14ac:dyDescent="0.25">
      <c r="A85" s="27"/>
      <c r="B85" s="11" t="str">
        <f>CONCATENATE("          ", "6408", " - ", "INVENTORY ADJUSTMENT")</f>
        <v xml:space="preserve">          6408 - INVENTORY ADJUSTMENT</v>
      </c>
      <c r="C85" s="11"/>
      <c r="D85" s="7">
        <v>1250</v>
      </c>
      <c r="E85" s="2"/>
      <c r="F85" s="6">
        <f t="shared" si="45"/>
        <v>1.5734825145811482E-2</v>
      </c>
      <c r="G85" s="2"/>
      <c r="H85" s="7"/>
      <c r="I85" s="2"/>
      <c r="J85" s="6">
        <f t="shared" si="46"/>
        <v>0</v>
      </c>
      <c r="K85" s="2"/>
      <c r="L85" s="7">
        <f t="shared" si="47"/>
        <v>1250</v>
      </c>
      <c r="M85" s="2"/>
      <c r="N85" s="6">
        <f t="shared" si="48"/>
        <v>0</v>
      </c>
      <c r="O85" s="11"/>
      <c r="P85" s="7">
        <v>7500</v>
      </c>
      <c r="Q85" s="2"/>
      <c r="R85" s="6">
        <f t="shared" si="49"/>
        <v>5.8807638895880454E-3</v>
      </c>
      <c r="S85" s="2"/>
      <c r="T85" s="7"/>
      <c r="U85" s="2"/>
      <c r="V85" s="6">
        <f t="shared" si="50"/>
        <v>0</v>
      </c>
      <c r="W85" s="2"/>
      <c r="X85" s="7">
        <f t="shared" si="51"/>
        <v>7500</v>
      </c>
      <c r="Y85" s="2"/>
      <c r="Z85" s="6">
        <f t="shared" si="52"/>
        <v>0</v>
      </c>
    </row>
    <row r="86" spans="1:26" s="25" customFormat="1" outlineLevel="1" collapsed="1" x14ac:dyDescent="0.25">
      <c r="A86" s="26"/>
      <c r="B86" s="13" t="str">
        <f>CONCATENATE("     ","Repair and Maintenance                            ")</f>
        <v xml:space="preserve">     Repair and Maintenance                            </v>
      </c>
      <c r="C86" s="13"/>
      <c r="D86" s="1">
        <f>SUM(OSRRefD22_8x_0)</f>
        <v>0</v>
      </c>
      <c r="E86" s="1"/>
      <c r="F86" s="5">
        <f t="shared" si="45"/>
        <v>0</v>
      </c>
      <c r="G86" s="1"/>
      <c r="H86" s="1">
        <f>SUM(OSRRefH22_8x_0)</f>
        <v>197.18</v>
      </c>
      <c r="I86" s="1"/>
      <c r="J86" s="5">
        <f t="shared" si="46"/>
        <v>2.333584191464204E-3</v>
      </c>
      <c r="K86" s="1"/>
      <c r="L86" s="1">
        <f t="shared" si="47"/>
        <v>-197.18</v>
      </c>
      <c r="M86" s="1"/>
      <c r="N86" s="5">
        <f t="shared" si="48"/>
        <v>-1</v>
      </c>
      <c r="O86" s="13"/>
      <c r="P86" s="1">
        <f>SUM(OSRRefP22_8x_0)</f>
        <v>0</v>
      </c>
      <c r="Q86" s="1"/>
      <c r="R86" s="5">
        <f t="shared" si="49"/>
        <v>0</v>
      </c>
      <c r="S86" s="1"/>
      <c r="T86" s="1">
        <f>SUM(OSRRefT22_8x_0)</f>
        <v>197.18</v>
      </c>
      <c r="U86" s="1"/>
      <c r="V86" s="5">
        <f t="shared" si="50"/>
        <v>1.2453092803090015E-4</v>
      </c>
      <c r="W86" s="1"/>
      <c r="X86" s="1">
        <f t="shared" si="51"/>
        <v>-197.18</v>
      </c>
      <c r="Y86" s="1"/>
      <c r="Z86" s="5">
        <f t="shared" si="52"/>
        <v>-1</v>
      </c>
    </row>
    <row r="87" spans="1:26" s="24" customFormat="1" hidden="1" outlineLevel="2" x14ac:dyDescent="0.25">
      <c r="A87" s="27"/>
      <c r="B87" s="11" t="str">
        <f>CONCATENATE("          ", "6375", " - ", "OUTSIDE REPAIRS &amp; MAINTENANCE")</f>
        <v xml:space="preserve">          6375 - OUTSIDE REPAIRS &amp; MAINTENANCE</v>
      </c>
      <c r="C87" s="11"/>
      <c r="D87" s="7"/>
      <c r="E87" s="2"/>
      <c r="F87" s="6">
        <f t="shared" si="45"/>
        <v>0</v>
      </c>
      <c r="G87" s="2"/>
      <c r="H87" s="7">
        <v>197.18</v>
      </c>
      <c r="I87" s="2"/>
      <c r="J87" s="6">
        <f t="shared" si="46"/>
        <v>2.333584191464204E-3</v>
      </c>
      <c r="K87" s="2"/>
      <c r="L87" s="7">
        <f t="shared" si="47"/>
        <v>-197.18</v>
      </c>
      <c r="M87" s="2"/>
      <c r="N87" s="6">
        <f t="shared" si="48"/>
        <v>-1</v>
      </c>
      <c r="O87" s="11"/>
      <c r="P87" s="7"/>
      <c r="Q87" s="2"/>
      <c r="R87" s="6">
        <f t="shared" si="49"/>
        <v>0</v>
      </c>
      <c r="S87" s="2"/>
      <c r="T87" s="7">
        <v>197.18</v>
      </c>
      <c r="U87" s="2"/>
      <c r="V87" s="6">
        <f t="shared" si="50"/>
        <v>1.2453092803090015E-4</v>
      </c>
      <c r="W87" s="2"/>
      <c r="X87" s="7">
        <f t="shared" si="51"/>
        <v>-197.18</v>
      </c>
      <c r="Y87" s="2"/>
      <c r="Z87" s="6">
        <f t="shared" si="52"/>
        <v>-1</v>
      </c>
    </row>
    <row r="88" spans="1:26" s="25" customFormat="1" outlineLevel="1" collapsed="1" x14ac:dyDescent="0.25">
      <c r="A88" s="26"/>
      <c r="B88" s="13" t="str">
        <f>CONCATENATE("     ","Subscriptions &amp; Dues                              ")</f>
        <v xml:space="preserve">     Subscriptions &amp; Dues                              </v>
      </c>
      <c r="C88" s="13"/>
      <c r="D88" s="1">
        <f>SUM(OSRRefD22_9x_0)</f>
        <v>0</v>
      </c>
      <c r="E88" s="1"/>
      <c r="F88" s="5">
        <f t="shared" si="45"/>
        <v>0</v>
      </c>
      <c r="G88" s="1"/>
      <c r="H88" s="1">
        <f>SUM(OSRRefH22_9x_0)</f>
        <v>0</v>
      </c>
      <c r="I88" s="1"/>
      <c r="J88" s="5">
        <f t="shared" si="46"/>
        <v>0</v>
      </c>
      <c r="K88" s="1"/>
      <c r="L88" s="1">
        <f t="shared" si="47"/>
        <v>0</v>
      </c>
      <c r="M88" s="1"/>
      <c r="N88" s="5">
        <f t="shared" si="48"/>
        <v>0</v>
      </c>
      <c r="O88" s="13"/>
      <c r="P88" s="1">
        <f>SUM(OSRRefP22_9x_0)</f>
        <v>0</v>
      </c>
      <c r="Q88" s="1"/>
      <c r="R88" s="5">
        <f t="shared" si="49"/>
        <v>0</v>
      </c>
      <c r="S88" s="1"/>
      <c r="T88" s="1">
        <f>SUM(OSRRefT22_9x_0)</f>
        <v>-5000</v>
      </c>
      <c r="U88" s="1"/>
      <c r="V88" s="5">
        <f t="shared" si="50"/>
        <v>-3.1577981547545424E-3</v>
      </c>
      <c r="W88" s="1"/>
      <c r="X88" s="1">
        <f t="shared" si="51"/>
        <v>5000</v>
      </c>
      <c r="Y88" s="1"/>
      <c r="Z88" s="5">
        <f t="shared" si="52"/>
        <v>-1</v>
      </c>
    </row>
    <row r="89" spans="1:26" s="24" customFormat="1" hidden="1" outlineLevel="2" x14ac:dyDescent="0.25">
      <c r="A89" s="27"/>
      <c r="B89" s="11" t="str">
        <f>CONCATENATE("          ", "6258", " - ", "MEMBERSHIP DUES")</f>
        <v xml:space="preserve">          6258 - MEMBERSHIP DUES</v>
      </c>
      <c r="C89" s="11"/>
      <c r="D89" s="7"/>
      <c r="E89" s="2"/>
      <c r="F89" s="6">
        <f t="shared" si="45"/>
        <v>0</v>
      </c>
      <c r="G89" s="2"/>
      <c r="H89" s="7"/>
      <c r="I89" s="2"/>
      <c r="J89" s="6">
        <f t="shared" si="46"/>
        <v>0</v>
      </c>
      <c r="K89" s="2"/>
      <c r="L89" s="7">
        <f t="shared" si="47"/>
        <v>0</v>
      </c>
      <c r="M89" s="2"/>
      <c r="N89" s="6">
        <f t="shared" si="48"/>
        <v>0</v>
      </c>
      <c r="O89" s="11"/>
      <c r="P89" s="7"/>
      <c r="Q89" s="2"/>
      <c r="R89" s="6">
        <f t="shared" si="49"/>
        <v>0</v>
      </c>
      <c r="S89" s="2"/>
      <c r="T89" s="7">
        <v>-5000</v>
      </c>
      <c r="U89" s="2"/>
      <c r="V89" s="6">
        <f t="shared" si="50"/>
        <v>-3.1577981547545424E-3</v>
      </c>
      <c r="W89" s="2"/>
      <c r="X89" s="7">
        <f t="shared" si="51"/>
        <v>5000</v>
      </c>
      <c r="Y89" s="2"/>
      <c r="Z89" s="6">
        <f t="shared" si="52"/>
        <v>-1</v>
      </c>
    </row>
    <row r="90" spans="1:26" s="25" customFormat="1" outlineLevel="1" collapsed="1" x14ac:dyDescent="0.25">
      <c r="A90" s="26"/>
      <c r="B90" s="13" t="str">
        <f>CONCATENATE("     ","Supplies                                          ")</f>
        <v xml:space="preserve">     Supplies                                          </v>
      </c>
      <c r="C90" s="13"/>
      <c r="D90" s="1">
        <f>SUM(OSRRefD22_10x_0)</f>
        <v>1052.8599999999999</v>
      </c>
      <c r="E90" s="1"/>
      <c r="F90" s="5">
        <f t="shared" si="45"/>
        <v>1.325325440241526E-2</v>
      </c>
      <c r="G90" s="1"/>
      <c r="H90" s="1">
        <f>SUM(OSRRefH22_10x_0)</f>
        <v>0</v>
      </c>
      <c r="I90" s="1"/>
      <c r="J90" s="5">
        <f t="shared" si="46"/>
        <v>0</v>
      </c>
      <c r="K90" s="1"/>
      <c r="L90" s="1">
        <f t="shared" si="47"/>
        <v>1052.8599999999999</v>
      </c>
      <c r="M90" s="1"/>
      <c r="N90" s="5">
        <f t="shared" si="48"/>
        <v>0</v>
      </c>
      <c r="O90" s="13"/>
      <c r="P90" s="1">
        <f>SUM(OSRRefP22_10x_0)</f>
        <v>2753.5699999999997</v>
      </c>
      <c r="Q90" s="1"/>
      <c r="R90" s="5">
        <f t="shared" si="49"/>
        <v>2.1590793364603938E-3</v>
      </c>
      <c r="S90" s="1"/>
      <c r="T90" s="1">
        <f>SUM(OSRRefT22_10x_0)</f>
        <v>2702.03</v>
      </c>
      <c r="U90" s="1"/>
      <c r="V90" s="5">
        <f t="shared" si="50"/>
        <v>1.7064930696182835E-3</v>
      </c>
      <c r="W90" s="1"/>
      <c r="X90" s="1">
        <f t="shared" si="51"/>
        <v>51.539999999999509</v>
      </c>
      <c r="Y90" s="1"/>
      <c r="Z90" s="5">
        <f t="shared" si="52"/>
        <v>1.9074547654911123E-2</v>
      </c>
    </row>
    <row r="91" spans="1:26" s="24" customFormat="1" hidden="1" outlineLevel="2" x14ac:dyDescent="0.25">
      <c r="A91" s="27"/>
      <c r="B91" s="11" t="str">
        <f>CONCATENATE("          ", "6235", " - ", "COVID-19 EXPENSES")</f>
        <v xml:space="preserve">          6235 - COVID-19 EXPENSES</v>
      </c>
      <c r="C91" s="11"/>
      <c r="D91" s="7"/>
      <c r="E91" s="2"/>
      <c r="F91" s="6">
        <f t="shared" si="45"/>
        <v>0</v>
      </c>
      <c r="G91" s="2"/>
      <c r="H91" s="7"/>
      <c r="I91" s="2"/>
      <c r="J91" s="6">
        <f t="shared" si="46"/>
        <v>0</v>
      </c>
      <c r="K91" s="2"/>
      <c r="L91" s="7">
        <f t="shared" si="47"/>
        <v>0</v>
      </c>
      <c r="M91" s="2"/>
      <c r="N91" s="6">
        <f t="shared" si="48"/>
        <v>0</v>
      </c>
      <c r="O91" s="11"/>
      <c r="P91" s="7">
        <v>668.12</v>
      </c>
      <c r="Q91" s="2"/>
      <c r="R91" s="6">
        <f t="shared" si="49"/>
        <v>5.2387412932154199E-4</v>
      </c>
      <c r="S91" s="2"/>
      <c r="T91" s="7"/>
      <c r="U91" s="2"/>
      <c r="V91" s="6">
        <f t="shared" si="50"/>
        <v>0</v>
      </c>
      <c r="W91" s="2"/>
      <c r="X91" s="7">
        <f t="shared" si="51"/>
        <v>668.12</v>
      </c>
      <c r="Y91" s="2"/>
      <c r="Z91" s="6">
        <f t="shared" si="52"/>
        <v>0</v>
      </c>
    </row>
    <row r="92" spans="1:26" s="24" customFormat="1" hidden="1" outlineLevel="2" x14ac:dyDescent="0.25">
      <c r="A92" s="27"/>
      <c r="B92" s="11" t="str">
        <f>CONCATENATE("          ", "6241", " - ", "OFFICE EXPENSE")</f>
        <v xml:space="preserve">          6241 - OFFICE EXPENSE</v>
      </c>
      <c r="C92" s="11"/>
      <c r="D92" s="7">
        <v>1052.8599999999999</v>
      </c>
      <c r="E92" s="2"/>
      <c r="F92" s="6">
        <f t="shared" si="45"/>
        <v>1.325325440241526E-2</v>
      </c>
      <c r="G92" s="2"/>
      <c r="H92" s="7"/>
      <c r="I92" s="2"/>
      <c r="J92" s="6">
        <f t="shared" si="46"/>
        <v>0</v>
      </c>
      <c r="K92" s="2"/>
      <c r="L92" s="7">
        <f t="shared" si="47"/>
        <v>1052.8599999999999</v>
      </c>
      <c r="M92" s="2"/>
      <c r="N92" s="6">
        <f t="shared" si="48"/>
        <v>0</v>
      </c>
      <c r="O92" s="11"/>
      <c r="P92" s="7">
        <v>2085.4499999999998</v>
      </c>
      <c r="Q92" s="2"/>
      <c r="R92" s="6">
        <f t="shared" si="49"/>
        <v>1.6352052071388517E-3</v>
      </c>
      <c r="S92" s="2"/>
      <c r="T92" s="7">
        <v>692.65</v>
      </c>
      <c r="U92" s="2"/>
      <c r="V92" s="6">
        <f t="shared" si="50"/>
        <v>4.3744977837814679E-4</v>
      </c>
      <c r="W92" s="2"/>
      <c r="X92" s="7">
        <f t="shared" si="51"/>
        <v>1392.7999999999997</v>
      </c>
      <c r="Y92" s="2"/>
      <c r="Z92" s="6">
        <f t="shared" si="52"/>
        <v>2.0108279794990254</v>
      </c>
    </row>
    <row r="93" spans="1:26" s="24" customFormat="1" hidden="1" outlineLevel="2" x14ac:dyDescent="0.25">
      <c r="A93" s="27"/>
      <c r="B93" s="11" t="str">
        <f>CONCATENATE("          ", "6247", " - ", "STORE SUPPLIES")</f>
        <v xml:space="preserve">          6247 - STORE SUPPLIES</v>
      </c>
      <c r="C93" s="11"/>
      <c r="D93" s="7"/>
      <c r="E93" s="2"/>
      <c r="F93" s="6">
        <f t="shared" si="45"/>
        <v>0</v>
      </c>
      <c r="G93" s="2"/>
      <c r="H93" s="7"/>
      <c r="I93" s="2"/>
      <c r="J93" s="6">
        <f t="shared" si="46"/>
        <v>0</v>
      </c>
      <c r="K93" s="2"/>
      <c r="L93" s="7">
        <f t="shared" si="47"/>
        <v>0</v>
      </c>
      <c r="M93" s="2"/>
      <c r="N93" s="6">
        <f t="shared" si="48"/>
        <v>0</v>
      </c>
      <c r="O93" s="11"/>
      <c r="P93" s="7"/>
      <c r="Q93" s="2"/>
      <c r="R93" s="6">
        <f t="shared" si="49"/>
        <v>0</v>
      </c>
      <c r="S93" s="2"/>
      <c r="T93" s="7">
        <v>2009.38</v>
      </c>
      <c r="U93" s="2"/>
      <c r="V93" s="6">
        <f t="shared" si="50"/>
        <v>1.2690432912401367E-3</v>
      </c>
      <c r="W93" s="2"/>
      <c r="X93" s="7">
        <f t="shared" si="51"/>
        <v>-2009.38</v>
      </c>
      <c r="Y93" s="2"/>
      <c r="Z93" s="6">
        <f t="shared" si="52"/>
        <v>-1</v>
      </c>
    </row>
    <row r="94" spans="1:26" s="25" customFormat="1" outlineLevel="1" collapsed="1" x14ac:dyDescent="0.25">
      <c r="A94" s="26"/>
      <c r="B94" s="13" t="str">
        <f>CONCATENATE("     ","Telephone/Data Lines                              ")</f>
        <v xml:space="preserve">     Telephone/Data Lines                              </v>
      </c>
      <c r="C94" s="13"/>
      <c r="D94" s="1">
        <f>SUM(OSRRefD22_11x_0)</f>
        <v>282.95</v>
      </c>
      <c r="E94" s="1"/>
      <c r="F94" s="5">
        <f t="shared" ref="F94:F99" si="53">IF(D$12=0,0,D94/D$12)</f>
        <v>3.5617350200058866E-3</v>
      </c>
      <c r="G94" s="1"/>
      <c r="H94" s="1">
        <f>SUM(OSRRefH22_11x_0)</f>
        <v>257</v>
      </c>
      <c r="I94" s="1"/>
      <c r="J94" s="5">
        <f t="shared" ref="J94:J99" si="54">IF(H$12=0,0,H94/H$12)</f>
        <v>3.041541420054267E-3</v>
      </c>
      <c r="K94" s="1"/>
      <c r="L94" s="1">
        <f t="shared" ref="L94:L99" si="55">+D94-H94</f>
        <v>25.949999999999989</v>
      </c>
      <c r="M94" s="1"/>
      <c r="N94" s="5">
        <f t="shared" ref="N94:N99" si="56">IF(H94=0,0,L94/H94)</f>
        <v>0.10097276264591436</v>
      </c>
      <c r="O94" s="13"/>
      <c r="P94" s="1">
        <f>SUM(OSRRefP22_11x_0)</f>
        <v>1853.3</v>
      </c>
      <c r="Q94" s="1"/>
      <c r="R94" s="5">
        <f t="shared" ref="R94:R99" si="57">IF(P$12=0,0,P94/P$12)</f>
        <v>1.4531759622098033E-3</v>
      </c>
      <c r="S94" s="1"/>
      <c r="T94" s="1">
        <f>SUM(OSRRefT22_11x_0)</f>
        <v>1536.15</v>
      </c>
      <c r="U94" s="1"/>
      <c r="V94" s="5">
        <f t="shared" ref="V94:V99" si="58">IF(T$12=0,0,T94/T$12)</f>
        <v>9.7017032708523814E-4</v>
      </c>
      <c r="W94" s="1"/>
      <c r="X94" s="1">
        <f t="shared" ref="X94:X99" si="59">+P94-T94</f>
        <v>317.14999999999986</v>
      </c>
      <c r="Y94" s="1"/>
      <c r="Z94" s="5">
        <f t="shared" ref="Z94:Z99" si="60">IF(T94=0,0,X94/T94)</f>
        <v>0.2064577026983041</v>
      </c>
    </row>
    <row r="95" spans="1:26" s="24" customFormat="1" hidden="1" outlineLevel="2" x14ac:dyDescent="0.25">
      <c r="A95" s="27"/>
      <c r="B95" s="11" t="str">
        <f>CONCATENATE("          ", "6309", " - ", "TELEPHONE")</f>
        <v xml:space="preserve">          6309 - TELEPHONE</v>
      </c>
      <c r="C95" s="11"/>
      <c r="D95" s="7">
        <v>282.95</v>
      </c>
      <c r="E95" s="2"/>
      <c r="F95" s="6">
        <f t="shared" si="53"/>
        <v>3.5617350200058866E-3</v>
      </c>
      <c r="G95" s="2"/>
      <c r="H95" s="7">
        <v>257</v>
      </c>
      <c r="I95" s="2"/>
      <c r="J95" s="6">
        <f t="shared" si="54"/>
        <v>3.041541420054267E-3</v>
      </c>
      <c r="K95" s="2"/>
      <c r="L95" s="7">
        <f t="shared" si="55"/>
        <v>25.949999999999989</v>
      </c>
      <c r="M95" s="2"/>
      <c r="N95" s="6">
        <f t="shared" si="56"/>
        <v>0.10097276264591436</v>
      </c>
      <c r="O95" s="11"/>
      <c r="P95" s="7">
        <v>1853.3</v>
      </c>
      <c r="Q95" s="2"/>
      <c r="R95" s="6">
        <f t="shared" si="57"/>
        <v>1.4531759622098033E-3</v>
      </c>
      <c r="S95" s="2"/>
      <c r="T95" s="7">
        <v>1536.15</v>
      </c>
      <c r="U95" s="2"/>
      <c r="V95" s="6">
        <f t="shared" si="58"/>
        <v>9.7017032708523814E-4</v>
      </c>
      <c r="W95" s="2"/>
      <c r="X95" s="7">
        <f t="shared" si="59"/>
        <v>317.14999999999986</v>
      </c>
      <c r="Y95" s="2"/>
      <c r="Z95" s="6">
        <f t="shared" si="60"/>
        <v>0.2064577026983041</v>
      </c>
    </row>
    <row r="96" spans="1:26" s="25" customFormat="1" outlineLevel="1" collapsed="1" x14ac:dyDescent="0.25">
      <c r="A96" s="26"/>
      <c r="B96" s="13" t="str">
        <f>CONCATENATE("     ","Training                                          ")</f>
        <v xml:space="preserve">     Training                                          </v>
      </c>
      <c r="C96" s="13"/>
      <c r="D96" s="1">
        <f>SUM(OSRRefD22_12x_0)</f>
        <v>0</v>
      </c>
      <c r="E96" s="1"/>
      <c r="F96" s="5">
        <f t="shared" si="53"/>
        <v>0</v>
      </c>
      <c r="G96" s="1"/>
      <c r="H96" s="1">
        <f>SUM(OSRRefH22_12x_0)</f>
        <v>0</v>
      </c>
      <c r="I96" s="1"/>
      <c r="J96" s="5">
        <f t="shared" si="54"/>
        <v>0</v>
      </c>
      <c r="K96" s="1"/>
      <c r="L96" s="1">
        <f t="shared" si="55"/>
        <v>0</v>
      </c>
      <c r="M96" s="1"/>
      <c r="N96" s="5">
        <f t="shared" si="56"/>
        <v>0</v>
      </c>
      <c r="O96" s="13"/>
      <c r="P96" s="1">
        <f>SUM(OSRRefP22_12x_0)</f>
        <v>100</v>
      </c>
      <c r="Q96" s="1"/>
      <c r="R96" s="5">
        <f t="shared" si="57"/>
        <v>7.8410185194507275E-5</v>
      </c>
      <c r="S96" s="1"/>
      <c r="T96" s="1">
        <f>SUM(OSRRefT22_12x_0)</f>
        <v>1163.6400000000001</v>
      </c>
      <c r="U96" s="1"/>
      <c r="V96" s="5">
        <f t="shared" si="58"/>
        <v>7.3490804895971523E-4</v>
      </c>
      <c r="W96" s="1"/>
      <c r="X96" s="1">
        <f t="shared" si="59"/>
        <v>-1063.6400000000001</v>
      </c>
      <c r="Y96" s="1"/>
      <c r="Z96" s="5">
        <f t="shared" si="60"/>
        <v>-0.91406276855384827</v>
      </c>
    </row>
    <row r="97" spans="1:26" s="24" customFormat="1" hidden="1" outlineLevel="2" x14ac:dyDescent="0.25">
      <c r="A97" s="27"/>
      <c r="B97" s="11" t="str">
        <f>CONCATENATE("          ", "6376", " - ", "TRAINING")</f>
        <v xml:space="preserve">          6376 - TRAINING</v>
      </c>
      <c r="C97" s="11"/>
      <c r="D97" s="7"/>
      <c r="E97" s="2"/>
      <c r="F97" s="6">
        <f t="shared" si="53"/>
        <v>0</v>
      </c>
      <c r="G97" s="2"/>
      <c r="H97" s="7"/>
      <c r="I97" s="2"/>
      <c r="J97" s="6">
        <f t="shared" si="54"/>
        <v>0</v>
      </c>
      <c r="K97" s="2"/>
      <c r="L97" s="7">
        <f t="shared" si="55"/>
        <v>0</v>
      </c>
      <c r="M97" s="2"/>
      <c r="N97" s="6">
        <f t="shared" si="56"/>
        <v>0</v>
      </c>
      <c r="O97" s="11"/>
      <c r="P97" s="7">
        <v>100</v>
      </c>
      <c r="Q97" s="2"/>
      <c r="R97" s="6">
        <f t="shared" si="57"/>
        <v>7.8410185194507275E-5</v>
      </c>
      <c r="S97" s="2"/>
      <c r="T97" s="7">
        <v>1163.6400000000001</v>
      </c>
      <c r="U97" s="2"/>
      <c r="V97" s="6">
        <f t="shared" si="58"/>
        <v>7.3490804895971523E-4</v>
      </c>
      <c r="W97" s="2"/>
      <c r="X97" s="7">
        <f t="shared" si="59"/>
        <v>-1063.6400000000001</v>
      </c>
      <c r="Y97" s="2"/>
      <c r="Z97" s="6">
        <f t="shared" si="60"/>
        <v>-0.91406276855384827</v>
      </c>
    </row>
    <row r="98" spans="1:26" s="25" customFormat="1" outlineLevel="1" collapsed="1" x14ac:dyDescent="0.25">
      <c r="A98" s="26"/>
      <c r="B98" s="13" t="str">
        <f>CONCATENATE("     ","Travel                                            ")</f>
        <v xml:space="preserve">     Travel                                            </v>
      </c>
      <c r="C98" s="13"/>
      <c r="D98" s="1">
        <f>SUM(OSRRefD22_13x_0)</f>
        <v>0</v>
      </c>
      <c r="E98" s="1"/>
      <c r="F98" s="5">
        <f t="shared" si="53"/>
        <v>0</v>
      </c>
      <c r="G98" s="1"/>
      <c r="H98" s="1">
        <f>SUM(OSRRefH22_13x_0)</f>
        <v>0</v>
      </c>
      <c r="I98" s="1"/>
      <c r="J98" s="5">
        <f t="shared" si="54"/>
        <v>0</v>
      </c>
      <c r="K98" s="1"/>
      <c r="L98" s="1">
        <f t="shared" si="55"/>
        <v>0</v>
      </c>
      <c r="M98" s="1"/>
      <c r="N98" s="5">
        <f t="shared" si="56"/>
        <v>0</v>
      </c>
      <c r="O98" s="13"/>
      <c r="P98" s="1">
        <f>SUM(OSRRefP22_13x_0)</f>
        <v>0</v>
      </c>
      <c r="Q98" s="1"/>
      <c r="R98" s="5">
        <f t="shared" si="57"/>
        <v>0</v>
      </c>
      <c r="S98" s="1"/>
      <c r="T98" s="1">
        <f>SUM(OSRRefT22_13x_0)</f>
        <v>-178.06</v>
      </c>
      <c r="U98" s="1"/>
      <c r="V98" s="5">
        <f t="shared" si="58"/>
        <v>-1.1245550788711877E-4</v>
      </c>
      <c r="W98" s="1"/>
      <c r="X98" s="1">
        <f t="shared" si="59"/>
        <v>178.06</v>
      </c>
      <c r="Y98" s="1"/>
      <c r="Z98" s="5">
        <f t="shared" si="60"/>
        <v>-1</v>
      </c>
    </row>
    <row r="99" spans="1:26" s="24" customFormat="1" hidden="1" outlineLevel="2" x14ac:dyDescent="0.25">
      <c r="A99" s="27"/>
      <c r="B99" s="11" t="str">
        <f>CONCATENATE("          ", "6292", " - ", "TRAVEL/CONFERENCE")</f>
        <v xml:space="preserve">          6292 - TRAVEL/CONFERENCE</v>
      </c>
      <c r="C99" s="11"/>
      <c r="D99" s="7"/>
      <c r="E99" s="2"/>
      <c r="F99" s="6">
        <f t="shared" si="53"/>
        <v>0</v>
      </c>
      <c r="G99" s="2"/>
      <c r="H99" s="7"/>
      <c r="I99" s="2"/>
      <c r="J99" s="6">
        <f t="shared" si="54"/>
        <v>0</v>
      </c>
      <c r="K99" s="2"/>
      <c r="L99" s="7">
        <f t="shared" si="55"/>
        <v>0</v>
      </c>
      <c r="M99" s="2"/>
      <c r="N99" s="6">
        <f t="shared" si="56"/>
        <v>0</v>
      </c>
      <c r="O99" s="11"/>
      <c r="P99" s="7"/>
      <c r="Q99" s="2"/>
      <c r="R99" s="6">
        <f t="shared" si="57"/>
        <v>0</v>
      </c>
      <c r="S99" s="2"/>
      <c r="T99" s="7">
        <v>-178.06</v>
      </c>
      <c r="U99" s="2"/>
      <c r="V99" s="6">
        <f t="shared" si="58"/>
        <v>-1.1245550788711877E-4</v>
      </c>
      <c r="W99" s="2"/>
      <c r="X99" s="7">
        <f t="shared" si="59"/>
        <v>178.06</v>
      </c>
      <c r="Y99" s="2"/>
      <c r="Z99" s="6">
        <f t="shared" si="60"/>
        <v>-1</v>
      </c>
    </row>
    <row r="100" spans="1:26" s="55" customFormat="1" x14ac:dyDescent="0.25">
      <c r="A100" s="37"/>
      <c r="B100" s="37"/>
      <c r="C100" s="37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7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25">
      <c r="A101" s="10"/>
      <c r="B101" s="29" t="s">
        <v>0</v>
      </c>
      <c r="C101" s="10"/>
      <c r="D101" s="4">
        <f>SUM(OSRRefD25x_0)</f>
        <v>-412.00999999999993</v>
      </c>
      <c r="E101" s="4"/>
      <c r="F101" s="12">
        <f t="shared" ref="F101:F105" si="61">IF(D$12=0,0,D101/D$12)</f>
        <v>-5.1863242466606303E-3</v>
      </c>
      <c r="G101" s="4"/>
      <c r="H101" s="4">
        <f>SUM(OSRRefH25x_0)</f>
        <v>4.9300000000000068</v>
      </c>
      <c r="I101" s="4"/>
      <c r="J101" s="12">
        <f t="shared" ref="J101:J105" si="62">IF(H$12=0,0,H101/H$12)</f>
        <v>5.8345522182364038E-5</v>
      </c>
      <c r="K101" s="4"/>
      <c r="L101" s="4">
        <f t="shared" ref="L101:L105" si="63">+D101-H101</f>
        <v>-416.93999999999994</v>
      </c>
      <c r="M101" s="4"/>
      <c r="N101" s="12">
        <f t="shared" ref="N101:N105" si="64">IF(H101=0,0,L101/H101)</f>
        <v>-84.57200811359013</v>
      </c>
      <c r="O101" s="10"/>
      <c r="P101" s="4">
        <f>SUM(OSRRefP25x_0)</f>
        <v>343.1</v>
      </c>
      <c r="Q101" s="4"/>
      <c r="R101" s="12">
        <f t="shared" ref="R101:R105" si="65">IF(P$12=0,0,P101/P$12)</f>
        <v>2.6902534540235444E-4</v>
      </c>
      <c r="S101" s="4"/>
      <c r="T101" s="4">
        <f>SUM(OSRRefT25x_0)</f>
        <v>7236.66</v>
      </c>
      <c r="U101" s="4"/>
      <c r="V101" s="12">
        <f t="shared" ref="V101:V105" si="66">IF(T$12=0,0,T101/T$12)</f>
        <v>4.5703823189172012E-3</v>
      </c>
      <c r="W101" s="4"/>
      <c r="X101" s="4">
        <f t="shared" ref="X101:X105" si="67">+P101-T101</f>
        <v>-6893.5599999999995</v>
      </c>
      <c r="Y101" s="4"/>
      <c r="Z101" s="12">
        <f t="shared" ref="Z101:Z105" si="68">IF(T101=0,0,X101/T101)</f>
        <v>-0.9525886251392216</v>
      </c>
    </row>
    <row r="102" spans="1:26" s="24" customFormat="1" hidden="1" outlineLevel="1" x14ac:dyDescent="0.25">
      <c r="A102" s="44"/>
      <c r="B102" s="11" t="str">
        <f>CONCATENATE("          ", "4187", " - ", "NON-TAXABLE SALES-COMPUTER REP")</f>
        <v xml:space="preserve">          4187 - NON-TAXABLE SALES-COMPUTER REP</v>
      </c>
      <c r="C102" s="11"/>
      <c r="D102" s="2">
        <f>--471.29</f>
        <v>471.29</v>
      </c>
      <c r="E102" s="2"/>
      <c r="F102" s="19">
        <f t="shared" si="61"/>
        <v>5.9325325943755947E-3</v>
      </c>
      <c r="G102" s="2"/>
      <c r="H102" s="2">
        <f>--456.99</f>
        <v>456.99</v>
      </c>
      <c r="I102" s="2"/>
      <c r="J102" s="19">
        <f t="shared" si="62"/>
        <v>5.4083813756832669E-3</v>
      </c>
      <c r="K102" s="2"/>
      <c r="L102" s="2">
        <f t="shared" si="63"/>
        <v>14.300000000000011</v>
      </c>
      <c r="M102" s="2"/>
      <c r="N102" s="19">
        <f t="shared" si="64"/>
        <v>3.1291713166590102E-2</v>
      </c>
      <c r="O102" s="11"/>
      <c r="P102" s="2">
        <f>--1034.5</f>
        <v>1034.5</v>
      </c>
      <c r="Q102" s="2"/>
      <c r="R102" s="19">
        <f t="shared" si="65"/>
        <v>8.1115336583717772E-4</v>
      </c>
      <c r="S102" s="2"/>
      <c r="T102" s="2">
        <f>--13188.92</f>
        <v>13188.92</v>
      </c>
      <c r="U102" s="2"/>
      <c r="V102" s="19">
        <f t="shared" si="66"/>
        <v>8.329589447841056E-3</v>
      </c>
      <c r="W102" s="2"/>
      <c r="X102" s="2">
        <f t="shared" si="67"/>
        <v>-12154.42</v>
      </c>
      <c r="Y102" s="2"/>
      <c r="Z102" s="19">
        <f t="shared" si="68"/>
        <v>-0.92156294829296104</v>
      </c>
    </row>
    <row r="103" spans="1:26" s="24" customFormat="1" hidden="1" outlineLevel="1" x14ac:dyDescent="0.25">
      <c r="A103" s="44"/>
      <c r="B103" s="11" t="str">
        <f>CONCATENATE("          ", "4387", " - ", "SALES RETURN NON TAXABLE-COMPU")</f>
        <v xml:space="preserve">          4387 - SALES RETURN NON TAXABLE-COMPU</v>
      </c>
      <c r="C103" s="11"/>
      <c r="D103" s="2">
        <f t="shared" ref="D103:D104" si="69">0</f>
        <v>0</v>
      </c>
      <c r="E103" s="2"/>
      <c r="F103" s="19">
        <f t="shared" si="61"/>
        <v>0</v>
      </c>
      <c r="G103" s="2"/>
      <c r="H103" s="2">
        <f>0</f>
        <v>0</v>
      </c>
      <c r="I103" s="2"/>
      <c r="J103" s="19">
        <f t="shared" si="62"/>
        <v>0</v>
      </c>
      <c r="K103" s="2"/>
      <c r="L103" s="2">
        <f t="shared" si="63"/>
        <v>0</v>
      </c>
      <c r="M103" s="2"/>
      <c r="N103" s="19">
        <f t="shared" si="64"/>
        <v>0</v>
      </c>
      <c r="O103" s="11"/>
      <c r="P103" s="2">
        <f t="shared" ref="P103:P104" si="70">0</f>
        <v>0</v>
      </c>
      <c r="Q103" s="2"/>
      <c r="R103" s="19">
        <f t="shared" si="65"/>
        <v>0</v>
      </c>
      <c r="S103" s="2"/>
      <c r="T103" s="2">
        <f>-7889</f>
        <v>-7889</v>
      </c>
      <c r="U103" s="2"/>
      <c r="V103" s="19">
        <f t="shared" si="66"/>
        <v>-4.9823739285717169E-3</v>
      </c>
      <c r="W103" s="2"/>
      <c r="X103" s="2">
        <f t="shared" si="67"/>
        <v>7889</v>
      </c>
      <c r="Y103" s="2"/>
      <c r="Z103" s="19">
        <f t="shared" si="68"/>
        <v>-1</v>
      </c>
    </row>
    <row r="104" spans="1:26" s="24" customFormat="1" hidden="1" outlineLevel="1" x14ac:dyDescent="0.25">
      <c r="A104" s="44"/>
      <c r="B104" s="11" t="str">
        <f>CONCATENATE("          ", "5087", " - ", "PURCHASES @ COST-COMPUTER REPA")</f>
        <v xml:space="preserve">          5087 - PURCHASES @ COST-COMPUTER REPA</v>
      </c>
      <c r="C104" s="11"/>
      <c r="D104" s="2">
        <f t="shared" si="69"/>
        <v>0</v>
      </c>
      <c r="E104" s="2"/>
      <c r="F104" s="19">
        <f t="shared" si="61"/>
        <v>0</v>
      </c>
      <c r="G104" s="2"/>
      <c r="H104" s="2">
        <f>-56.72</f>
        <v>-56.72</v>
      </c>
      <c r="I104" s="2"/>
      <c r="J104" s="19">
        <f t="shared" si="62"/>
        <v>-6.7126937488512853E-4</v>
      </c>
      <c r="K104" s="2"/>
      <c r="L104" s="2">
        <f t="shared" si="63"/>
        <v>56.72</v>
      </c>
      <c r="M104" s="2"/>
      <c r="N104" s="19">
        <f t="shared" si="64"/>
        <v>-1</v>
      </c>
      <c r="O104" s="11"/>
      <c r="P104" s="2">
        <f t="shared" si="70"/>
        <v>0</v>
      </c>
      <c r="Q104" s="2"/>
      <c r="R104" s="19">
        <f t="shared" si="65"/>
        <v>0</v>
      </c>
      <c r="S104" s="2"/>
      <c r="T104" s="2">
        <f>-56.72</f>
        <v>-56.72</v>
      </c>
      <c r="U104" s="2"/>
      <c r="V104" s="19">
        <f t="shared" si="66"/>
        <v>-3.5822062267535532E-5</v>
      </c>
      <c r="W104" s="2"/>
      <c r="X104" s="2">
        <f t="shared" si="67"/>
        <v>56.72</v>
      </c>
      <c r="Y104" s="2"/>
      <c r="Z104" s="19">
        <f t="shared" si="68"/>
        <v>-1</v>
      </c>
    </row>
    <row r="105" spans="1:26" s="24" customFormat="1" hidden="1" outlineLevel="1" x14ac:dyDescent="0.25">
      <c r="A105" s="44"/>
      <c r="B105" s="11" t="str">
        <f>CONCATENATE("          ", "9150", " - ", "MISC. INCOME")</f>
        <v xml:space="preserve">          9150 - MISC. INCOME</v>
      </c>
      <c r="C105" s="11"/>
      <c r="D105" s="2">
        <f>-883.3</f>
        <v>-883.3</v>
      </c>
      <c r="E105" s="2"/>
      <c r="F105" s="19">
        <f t="shared" si="61"/>
        <v>-1.1118856841036225E-2</v>
      </c>
      <c r="G105" s="2"/>
      <c r="H105" s="2">
        <f>-395.34</f>
        <v>-395.34</v>
      </c>
      <c r="I105" s="2"/>
      <c r="J105" s="19">
        <f t="shared" si="62"/>
        <v>-4.6787664786157738E-3</v>
      </c>
      <c r="K105" s="2"/>
      <c r="L105" s="2">
        <f t="shared" si="63"/>
        <v>-487.96</v>
      </c>
      <c r="M105" s="2"/>
      <c r="N105" s="19">
        <f t="shared" si="64"/>
        <v>1.2342793544796884</v>
      </c>
      <c r="O105" s="11"/>
      <c r="P105" s="2">
        <f>-691.4</f>
        <v>-691.4</v>
      </c>
      <c r="Q105" s="2"/>
      <c r="R105" s="19">
        <f t="shared" si="65"/>
        <v>-5.4212802043482322E-4</v>
      </c>
      <c r="S105" s="2"/>
      <c r="T105" s="2">
        <f>--1993.46</f>
        <v>1993.46</v>
      </c>
      <c r="U105" s="2"/>
      <c r="V105" s="19">
        <f t="shared" si="66"/>
        <v>1.2589888619153982E-3</v>
      </c>
      <c r="W105" s="2"/>
      <c r="X105" s="2">
        <f t="shared" si="67"/>
        <v>-2684.86</v>
      </c>
      <c r="Y105" s="2"/>
      <c r="Z105" s="19">
        <f t="shared" si="68"/>
        <v>-1.3468341476628576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8" t="s">
        <v>3</v>
      </c>
      <c r="C107" s="28"/>
      <c r="D107" s="20">
        <f>+D54-D56+D101</f>
        <v>-9141.1200000000208</v>
      </c>
      <c r="E107" s="14"/>
      <c r="F107" s="21">
        <f>IF(D$12=0,0,D107/D$12)</f>
        <v>-0.11506713986950447</v>
      </c>
      <c r="G107" s="14"/>
      <c r="H107" s="20">
        <f>+H54-H56+H101</f>
        <v>647.42000000000894</v>
      </c>
      <c r="I107" s="14"/>
      <c r="J107" s="21">
        <f>IF(H$12=0,0,H107/H$12)</f>
        <v>7.6620807244029603E-3</v>
      </c>
      <c r="K107" s="15"/>
      <c r="L107" s="20">
        <f>+D107-H107</f>
        <v>-9788.54000000003</v>
      </c>
      <c r="M107" s="15"/>
      <c r="N107" s="21">
        <f>IF(H107=0,0,L107/H107)</f>
        <v>-15.119304315590954</v>
      </c>
      <c r="O107" s="29"/>
      <c r="P107" s="20">
        <f>+P54-P56+P101</f>
        <v>-20505.650000000074</v>
      </c>
      <c r="Q107" s="14"/>
      <c r="R107" s="21">
        <f>IF(P$12=0,0,P107/P$12)</f>
        <v>-1.6078518140337537E-2</v>
      </c>
      <c r="S107" s="14"/>
      <c r="T107" s="20">
        <f>+T54-T56+T101</f>
        <v>55137.630000000179</v>
      </c>
      <c r="U107" s="14"/>
      <c r="V107" s="21">
        <f>IF(T$12=0,0,T107/T$12)</f>
        <v>3.4822701254307857E-2</v>
      </c>
      <c r="W107" s="15"/>
      <c r="X107" s="20">
        <f>+P107-T107</f>
        <v>-75643.280000000261</v>
      </c>
      <c r="Y107" s="15"/>
      <c r="Z107" s="21">
        <f>IF(T107=0,0,X107/T107)</f>
        <v>-1.3718993725337854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1"/>
      <c r="B109" s="10" t="s">
        <v>13</v>
      </c>
      <c r="C109" s="10"/>
      <c r="D109" s="4">
        <v>45936.74</v>
      </c>
      <c r="E109" s="4"/>
      <c r="F109" s="12">
        <f>IF(D$12=0,0,D109/D$12)</f>
        <v>0.5782452573348833</v>
      </c>
      <c r="G109" s="4"/>
      <c r="H109" s="4">
        <v>12295.62</v>
      </c>
      <c r="I109" s="4"/>
      <c r="J109" s="12">
        <f>IF(H$12=0,0,H109/H$12)</f>
        <v>0.14551609928111925</v>
      </c>
      <c r="K109" s="4"/>
      <c r="L109" s="4">
        <f>+D109-H109</f>
        <v>33641.119999999995</v>
      </c>
      <c r="M109" s="4"/>
      <c r="N109" s="12">
        <f>IF(H109=0,0,L109/H109)</f>
        <v>2.7360246982258718</v>
      </c>
      <c r="O109" s="10"/>
      <c r="P109" s="4">
        <v>235965.74</v>
      </c>
      <c r="Q109" s="4"/>
      <c r="R109" s="12">
        <f>IF(P$12=0,0,P109/P$12)</f>
        <v>0.18502117372958951</v>
      </c>
      <c r="S109" s="4"/>
      <c r="T109" s="4">
        <v>171017.42</v>
      </c>
      <c r="U109" s="4"/>
      <c r="V109" s="12">
        <f>IF(T$12=0,0,T109/T$12)</f>
        <v>0.10800769866137652</v>
      </c>
      <c r="W109" s="4"/>
      <c r="X109" s="4">
        <f>+P109-T109</f>
        <v>64948.319999999978</v>
      </c>
      <c r="Y109" s="4"/>
      <c r="Z109" s="12">
        <f>IF(T109=0,0,X109/T109)</f>
        <v>0.37977604854522989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8" t="s">
        <v>4</v>
      </c>
      <c r="C111" s="28"/>
      <c r="D111" s="33">
        <f>+D107-D109</f>
        <v>-55077.860000000015</v>
      </c>
      <c r="E111" s="14"/>
      <c r="F111" s="34">
        <f>IF(D$12=0,0,D111/D$12)</f>
        <v>-0.69331239720438764</v>
      </c>
      <c r="G111" s="14"/>
      <c r="H111" s="33">
        <f>+H107-H109</f>
        <v>-11648.199999999992</v>
      </c>
      <c r="I111" s="14"/>
      <c r="J111" s="34">
        <f>IF(H$12=0,0,H111/H$12)</f>
        <v>-0.13785401855671631</v>
      </c>
      <c r="K111" s="15"/>
      <c r="L111" s="33">
        <f>D111-H111</f>
        <v>-43429.660000000025</v>
      </c>
      <c r="M111" s="15"/>
      <c r="N111" s="34">
        <f>IF(H111=0,0,L111/H111)</f>
        <v>3.7284438797410808</v>
      </c>
      <c r="O111" s="29"/>
      <c r="P111" s="33">
        <f>+P107-P109</f>
        <v>-256471.39000000007</v>
      </c>
      <c r="Q111" s="14"/>
      <c r="R111" s="34">
        <f>IF(P$12=0,0,P111/P$12)</f>
        <v>-0.20109969186992704</v>
      </c>
      <c r="S111" s="14"/>
      <c r="T111" s="33">
        <f>+T107-T109</f>
        <v>-115879.78999999983</v>
      </c>
      <c r="U111" s="14"/>
      <c r="V111" s="34">
        <f>IF(T$12=0,0,T111/T$12)</f>
        <v>-7.3184997407068672E-2</v>
      </c>
      <c r="W111" s="15"/>
      <c r="X111" s="33">
        <f>P111-T111</f>
        <v>-140591.60000000024</v>
      </c>
      <c r="Y111" s="15"/>
      <c r="Z111" s="34">
        <f>IF(T111=0,0,X111/T111)</f>
        <v>1.2132538383095139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8" t="s">
        <v>5</v>
      </c>
      <c r="C114" s="28"/>
      <c r="D114" s="30">
        <f>SUM(D111:D113)</f>
        <v>-55077.860000000015</v>
      </c>
      <c r="E114" s="14"/>
      <c r="F114" s="32">
        <f>IF(D$12=0,0,D114/D$12)</f>
        <v>-0.69331239720438764</v>
      </c>
      <c r="G114" s="14"/>
      <c r="H114" s="30">
        <f>SUM(H111:H113)</f>
        <v>-11648.199999999992</v>
      </c>
      <c r="I114" s="14"/>
      <c r="J114" s="32">
        <f>IF(H$12=0,0,H114/H$12)</f>
        <v>-0.13785401855671631</v>
      </c>
      <c r="K114" s="15"/>
      <c r="L114" s="30">
        <f>+D114-H114</f>
        <v>-43429.660000000025</v>
      </c>
      <c r="M114" s="15"/>
      <c r="N114" s="32">
        <f>IF(H114=0,0,L114/H114)</f>
        <v>3.7284438797410808</v>
      </c>
      <c r="O114" s="29"/>
      <c r="P114" s="30">
        <f>SUM(P111:P113)</f>
        <v>-256471.39000000007</v>
      </c>
      <c r="Q114" s="14"/>
      <c r="R114" s="32">
        <f>IF(P$12=0,0,P114/P$12)</f>
        <v>-0.20109969186992704</v>
      </c>
      <c r="S114" s="14"/>
      <c r="T114" s="30">
        <f>SUM(T111:T113)</f>
        <v>-115879.78999999983</v>
      </c>
      <c r="U114" s="14"/>
      <c r="V114" s="32">
        <f>IF(T$12=0,0,T114/T$12)</f>
        <v>-7.3184997407068672E-2</v>
      </c>
      <c r="W114" s="15"/>
      <c r="X114" s="30">
        <f>+P114-T114</f>
        <v>-140591.60000000024</v>
      </c>
      <c r="Y114" s="15"/>
      <c r="Z114" s="32">
        <f>IF(T114=0,0,X114/T114)</f>
        <v>1.2132538383095139</v>
      </c>
    </row>
    <row r="115" spans="1:26" ht="15.75" thickTop="1" x14ac:dyDescent="0.25">
      <c r="A115" s="9"/>
      <c r="C115" s="9"/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  <row r="116" spans="1:26" x14ac:dyDescent="0.25">
      <c r="A116" s="9"/>
      <c r="B116" s="58">
        <v>44209.521842939816</v>
      </c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  <row r="117" spans="1:26" x14ac:dyDescent="0.25">
      <c r="A117" s="9"/>
      <c r="B117" s="61" t="s">
        <v>313</v>
      </c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A118" s="9"/>
      <c r="B118" s="57"/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305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207967.3</v>
      </c>
      <c r="I12" s="4"/>
      <c r="J12" s="12"/>
      <c r="K12" s="4"/>
      <c r="L12" s="4">
        <f t="shared" ref="L12:L20" si="0">+D12-H12</f>
        <v>-207967.3</v>
      </c>
      <c r="M12" s="4"/>
      <c r="N12" s="12">
        <f t="shared" ref="N12:N20" si="1">IF(H12=0,0,L12/H12)</f>
        <v>-1</v>
      </c>
      <c r="O12" s="10"/>
      <c r="P12" s="4">
        <f>SUM(OSRRefP13x_0)</f>
        <v>2586.4700000000003</v>
      </c>
      <c r="Q12" s="4"/>
      <c r="R12" s="12"/>
      <c r="S12" s="4"/>
      <c r="T12" s="4">
        <f>SUM(OSRRefT13x_0)</f>
        <v>1626792.8199999998</v>
      </c>
      <c r="U12" s="4"/>
      <c r="V12" s="12"/>
      <c r="W12" s="4"/>
      <c r="X12" s="4">
        <f t="shared" ref="X12:X20" si="2">+P12-T12</f>
        <v>-1624206.3499999999</v>
      </c>
      <c r="Y12" s="4"/>
      <c r="Z12" s="12">
        <f t="shared" ref="Z12:Z20" si="3">IF(T12=0,0,X12/T12)</f>
        <v>-0.99841008027070099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20" si="4">0</f>
        <v>0</v>
      </c>
      <c r="E13" s="2"/>
      <c r="F13" s="19"/>
      <c r="G13" s="2"/>
      <c r="H13" s="2">
        <f>--28435.15</f>
        <v>28435.15</v>
      </c>
      <c r="I13" s="2"/>
      <c r="J13" s="19"/>
      <c r="K13" s="2"/>
      <c r="L13" s="2">
        <f t="shared" si="0"/>
        <v>-28435.15</v>
      </c>
      <c r="M13" s="2"/>
      <c r="N13" s="19">
        <f t="shared" si="1"/>
        <v>-1</v>
      </c>
      <c r="O13" s="11"/>
      <c r="P13" s="2">
        <f>--444.59</f>
        <v>444.59</v>
      </c>
      <c r="Q13" s="2"/>
      <c r="R13" s="19"/>
      <c r="S13" s="2"/>
      <c r="T13" s="2">
        <f>--189948.88</f>
        <v>189948.88</v>
      </c>
      <c r="U13" s="2"/>
      <c r="V13" s="19"/>
      <c r="W13" s="2"/>
      <c r="X13" s="2">
        <f t="shared" si="2"/>
        <v>-189504.29</v>
      </c>
      <c r="Y13" s="2"/>
      <c r="Z13" s="19">
        <f t="shared" si="3"/>
        <v>-0.99765942289314891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--282.75</f>
        <v>282.75</v>
      </c>
      <c r="I14" s="2"/>
      <c r="J14" s="19"/>
      <c r="K14" s="2"/>
      <c r="L14" s="2">
        <f t="shared" si="0"/>
        <v>-282.75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--2201.92</f>
        <v>2201.92</v>
      </c>
      <c r="U14" s="2"/>
      <c r="V14" s="19"/>
      <c r="W14" s="2"/>
      <c r="X14" s="2">
        <f t="shared" si="2"/>
        <v>-2201.92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"4051", " - ", "TAXABLE SALES-FOOD")</f>
        <v xml:space="preserve">          4051 - TAXABLE SALES-FOOD</v>
      </c>
      <c r="C15" s="11"/>
      <c r="D15" s="2">
        <f t="shared" si="4"/>
        <v>0</v>
      </c>
      <c r="E15" s="2"/>
      <c r="F15" s="19"/>
      <c r="G15" s="2"/>
      <c r="H15" s="2">
        <f>--16373.97</f>
        <v>16373.97</v>
      </c>
      <c r="I15" s="2"/>
      <c r="J15" s="19"/>
      <c r="K15" s="2"/>
      <c r="L15" s="2">
        <f t="shared" si="0"/>
        <v>-16373.97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--108371.16</f>
        <v>108371.16</v>
      </c>
      <c r="U15" s="2"/>
      <c r="V15" s="19"/>
      <c r="W15" s="2"/>
      <c r="X15" s="2">
        <f t="shared" si="2"/>
        <v>-108371.16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 t="shared" si="4"/>
        <v>0</v>
      </c>
      <c r="E16" s="2"/>
      <c r="F16" s="19"/>
      <c r="G16" s="2"/>
      <c r="H16" s="2">
        <f>--84051.32</f>
        <v>84051.32</v>
      </c>
      <c r="I16" s="2"/>
      <c r="J16" s="19"/>
      <c r="K16" s="2"/>
      <c r="L16" s="2">
        <f t="shared" si="0"/>
        <v>-84051.32</v>
      </c>
      <c r="M16" s="2"/>
      <c r="N16" s="19">
        <f t="shared" si="1"/>
        <v>-1</v>
      </c>
      <c r="O16" s="11"/>
      <c r="P16" s="2">
        <f>--2031.88</f>
        <v>2031.88</v>
      </c>
      <c r="Q16" s="2"/>
      <c r="R16" s="19"/>
      <c r="S16" s="2"/>
      <c r="T16" s="2">
        <f>--739121.72</f>
        <v>739121.72</v>
      </c>
      <c r="U16" s="2"/>
      <c r="V16" s="19"/>
      <c r="W16" s="2"/>
      <c r="X16" s="2">
        <f t="shared" si="2"/>
        <v>-737089.84</v>
      </c>
      <c r="Y16" s="2"/>
      <c r="Z16" s="19">
        <f t="shared" si="3"/>
        <v>-0.99725095346947723</v>
      </c>
    </row>
    <row r="17" spans="1:26" s="24" customFormat="1" hidden="1" outlineLevel="1" x14ac:dyDescent="0.25">
      <c r="A17" s="44"/>
      <c r="B17" s="11" t="str">
        <f>CONCATENATE("          ", "4134", " - ", "NON-TAXABLE SALES-SODA")</f>
        <v xml:space="preserve">          4134 - NON-TAXABLE SALES-SODA</v>
      </c>
      <c r="C17" s="11"/>
      <c r="D17" s="2">
        <f t="shared" si="4"/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ref="P17:P19" si="6">0</f>
        <v>0</v>
      </c>
      <c r="Q17" s="2"/>
      <c r="R17" s="19"/>
      <c r="S17" s="2"/>
      <c r="T17" s="2">
        <f>--0.39</f>
        <v>0.39</v>
      </c>
      <c r="U17" s="2"/>
      <c r="V17" s="19"/>
      <c r="W17" s="2"/>
      <c r="X17" s="2">
        <f t="shared" si="2"/>
        <v>-0.39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"4137", " - ", "NON-TAXABLE SALES-WATER")</f>
        <v xml:space="preserve">          4137 - NON-TAXABLE SALES-WATER</v>
      </c>
      <c r="C18" s="11"/>
      <c r="D18" s="2">
        <f t="shared" si="4"/>
        <v>0</v>
      </c>
      <c r="E18" s="2"/>
      <c r="F18" s="19"/>
      <c r="G18" s="2"/>
      <c r="H18" s="2">
        <f>--125.56</f>
        <v>125.56</v>
      </c>
      <c r="I18" s="2"/>
      <c r="J18" s="19"/>
      <c r="K18" s="2"/>
      <c r="L18" s="2">
        <f t="shared" si="0"/>
        <v>-125.56</v>
      </c>
      <c r="M18" s="2"/>
      <c r="N18" s="19">
        <f t="shared" si="1"/>
        <v>-1</v>
      </c>
      <c r="O18" s="11"/>
      <c r="P18" s="2">
        <f t="shared" si="6"/>
        <v>0</v>
      </c>
      <c r="Q18" s="2"/>
      <c r="R18" s="19"/>
      <c r="S18" s="2"/>
      <c r="T18" s="2">
        <f>--1150.1</f>
        <v>1150.0999999999999</v>
      </c>
      <c r="U18" s="2"/>
      <c r="V18" s="19"/>
      <c r="W18" s="2"/>
      <c r="X18" s="2">
        <f t="shared" si="2"/>
        <v>-1150.0999999999999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 t="shared" si="4"/>
        <v>0</v>
      </c>
      <c r="E19" s="2"/>
      <c r="F19" s="19"/>
      <c r="G19" s="2"/>
      <c r="H19" s="2">
        <f>--75965.55</f>
        <v>75965.55</v>
      </c>
      <c r="I19" s="2"/>
      <c r="J19" s="19"/>
      <c r="K19" s="2"/>
      <c r="L19" s="2">
        <f t="shared" si="0"/>
        <v>-75965.55</v>
      </c>
      <c r="M19" s="2"/>
      <c r="N19" s="19">
        <f t="shared" si="1"/>
        <v>-1</v>
      </c>
      <c r="O19" s="11"/>
      <c r="P19" s="2">
        <f t="shared" si="6"/>
        <v>0</v>
      </c>
      <c r="Q19" s="2"/>
      <c r="R19" s="19"/>
      <c r="S19" s="2"/>
      <c r="T19" s="2">
        <f>--576438.65</f>
        <v>576438.65</v>
      </c>
      <c r="U19" s="2"/>
      <c r="V19" s="19"/>
      <c r="W19" s="2"/>
      <c r="X19" s="2">
        <f t="shared" si="2"/>
        <v>-576438.65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 t="shared" si="4"/>
        <v>0</v>
      </c>
      <c r="E20" s="2"/>
      <c r="F20" s="19"/>
      <c r="G20" s="2"/>
      <c r="H20" s="2">
        <f>--2733</f>
        <v>2733</v>
      </c>
      <c r="I20" s="2"/>
      <c r="J20" s="19"/>
      <c r="K20" s="2"/>
      <c r="L20" s="2">
        <f t="shared" si="0"/>
        <v>-2733</v>
      </c>
      <c r="M20" s="2"/>
      <c r="N20" s="19">
        <f t="shared" si="1"/>
        <v>-1</v>
      </c>
      <c r="O20" s="11"/>
      <c r="P20" s="2">
        <f>--110</f>
        <v>110</v>
      </c>
      <c r="Q20" s="2"/>
      <c r="R20" s="19"/>
      <c r="S20" s="2"/>
      <c r="T20" s="2">
        <f>--9560</f>
        <v>9560</v>
      </c>
      <c r="U20" s="2"/>
      <c r="V20" s="19"/>
      <c r="W20" s="2"/>
      <c r="X20" s="2">
        <f t="shared" si="2"/>
        <v>-9450</v>
      </c>
      <c r="Y20" s="2"/>
      <c r="Z20" s="19">
        <f t="shared" si="3"/>
        <v>-0.9884937238493724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9" t="s">
        <v>8</v>
      </c>
      <c r="C22" s="10"/>
      <c r="D22" s="4">
        <f>SUM(OSRRefD16x_0)</f>
        <v>290.37</v>
      </c>
      <c r="E22" s="4"/>
      <c r="F22" s="12">
        <f t="shared" ref="F22:F24" si="7">IF(D$12=0,0,D22/D$12)</f>
        <v>0</v>
      </c>
      <c r="G22" s="4"/>
      <c r="H22" s="4">
        <f>SUM(OSRRefH16x_0)</f>
        <v>95403.959999999992</v>
      </c>
      <c r="I22" s="4"/>
      <c r="J22" s="12">
        <f t="shared" ref="J22:J24" si="8">IF(H$12=0,0,H22/H$12)</f>
        <v>0.45874500462332296</v>
      </c>
      <c r="K22" s="4"/>
      <c r="L22" s="4">
        <f t="shared" ref="L22:L24" si="9">+D22-H22</f>
        <v>-95113.59</v>
      </c>
      <c r="M22" s="4"/>
      <c r="N22" s="12">
        <f t="shared" ref="N22:N24" si="10">IF(H22=0,0,L22/H22)</f>
        <v>-0.99695641564563986</v>
      </c>
      <c r="O22" s="10"/>
      <c r="P22" s="4">
        <f>SUM(OSRRefP16x_0)</f>
        <v>9132.7099999999991</v>
      </c>
      <c r="Q22" s="4"/>
      <c r="R22" s="12">
        <f t="shared" ref="R22:R24" si="11">IF(P$12=0,0,P22/P$12)</f>
        <v>3.5309553174790342</v>
      </c>
      <c r="S22" s="4"/>
      <c r="T22" s="4">
        <f>SUM(OSRRefT16x_0)</f>
        <v>774258.54</v>
      </c>
      <c r="U22" s="4"/>
      <c r="V22" s="12">
        <f t="shared" ref="V22:V24" si="12">IF(T$12=0,0,T22/T$12)</f>
        <v>0.4759416998164524</v>
      </c>
      <c r="W22" s="4"/>
      <c r="X22" s="4">
        <f t="shared" ref="X22:X24" si="13">+P22-T22</f>
        <v>-765125.83000000007</v>
      </c>
      <c r="Y22" s="4"/>
      <c r="Z22" s="12">
        <f t="shared" ref="Z22:Z24" si="14">IF(T22=0,0,X22/T22)</f>
        <v>-0.98820457311326526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290.37</v>
      </c>
      <c r="E23" s="2"/>
      <c r="F23" s="19">
        <f t="shared" si="7"/>
        <v>0</v>
      </c>
      <c r="G23" s="2"/>
      <c r="H23" s="2">
        <v>70856.59</v>
      </c>
      <c r="I23" s="2"/>
      <c r="J23" s="19">
        <f t="shared" si="8"/>
        <v>0.34071024627429408</v>
      </c>
      <c r="K23" s="2"/>
      <c r="L23" s="2">
        <f t="shared" si="9"/>
        <v>-70566.22</v>
      </c>
      <c r="M23" s="2"/>
      <c r="N23" s="19">
        <f t="shared" si="10"/>
        <v>-0.99590200431604181</v>
      </c>
      <c r="O23" s="11"/>
      <c r="P23" s="2">
        <v>-2565.1999999999998</v>
      </c>
      <c r="Q23" s="2"/>
      <c r="R23" s="19">
        <f t="shared" si="11"/>
        <v>-0.99177643661051529</v>
      </c>
      <c r="S23" s="2"/>
      <c r="T23" s="2">
        <v>783872.38</v>
      </c>
      <c r="U23" s="2"/>
      <c r="V23" s="19">
        <f t="shared" si="12"/>
        <v>0.48185138904166058</v>
      </c>
      <c r="W23" s="2"/>
      <c r="X23" s="2">
        <f t="shared" si="13"/>
        <v>-786437.58</v>
      </c>
      <c r="Y23" s="2"/>
      <c r="Z23" s="19">
        <f t="shared" si="14"/>
        <v>-1.0032724714704198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/>
      <c r="E24" s="2"/>
      <c r="F24" s="19">
        <f t="shared" si="7"/>
        <v>0</v>
      </c>
      <c r="G24" s="2"/>
      <c r="H24" s="2">
        <v>24547.37</v>
      </c>
      <c r="I24" s="2"/>
      <c r="J24" s="19">
        <f t="shared" si="8"/>
        <v>0.11803475834902891</v>
      </c>
      <c r="K24" s="2"/>
      <c r="L24" s="2">
        <f t="shared" si="9"/>
        <v>-24547.37</v>
      </c>
      <c r="M24" s="2"/>
      <c r="N24" s="19">
        <f t="shared" si="10"/>
        <v>-1</v>
      </c>
      <c r="O24" s="11"/>
      <c r="P24" s="2">
        <v>11697.91</v>
      </c>
      <c r="Q24" s="2"/>
      <c r="R24" s="19">
        <f t="shared" si="11"/>
        <v>4.5227317540895502</v>
      </c>
      <c r="S24" s="2"/>
      <c r="T24" s="2">
        <v>-9613.84</v>
      </c>
      <c r="U24" s="2"/>
      <c r="V24" s="19">
        <f t="shared" si="12"/>
        <v>-5.9096892252081621E-3</v>
      </c>
      <c r="W24" s="2"/>
      <c r="X24" s="2">
        <f t="shared" si="13"/>
        <v>21311.75</v>
      </c>
      <c r="Y24" s="2"/>
      <c r="Z24" s="19">
        <f t="shared" si="14"/>
        <v>-2.2167781032345037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8" t="s">
        <v>6</v>
      </c>
      <c r="C26" s="28"/>
      <c r="D26" s="20">
        <f>D12-D22</f>
        <v>-290.37</v>
      </c>
      <c r="E26" s="14"/>
      <c r="F26" s="21">
        <f>IF(D$12=0,0,D26/D$12)</f>
        <v>0</v>
      </c>
      <c r="G26" s="14"/>
      <c r="H26" s="20">
        <f>H12-H22</f>
        <v>112563.34</v>
      </c>
      <c r="I26" s="14"/>
      <c r="J26" s="21">
        <f>IF(H$12=0,0,H26/H$12)</f>
        <v>0.54125499537667698</v>
      </c>
      <c r="K26" s="15"/>
      <c r="L26" s="20">
        <f>+D26-H26</f>
        <v>-112853.70999999999</v>
      </c>
      <c r="M26" s="15"/>
      <c r="N26" s="21">
        <f>IF(H26=0,0,L26/H26)</f>
        <v>-1.0025796142864987</v>
      </c>
      <c r="O26" s="29"/>
      <c r="P26" s="20">
        <f>P12-P22</f>
        <v>-6546.2399999999989</v>
      </c>
      <c r="Q26" s="14"/>
      <c r="R26" s="21">
        <f>IF(P$12=0,0,P26/P$12)</f>
        <v>-2.5309553174790342</v>
      </c>
      <c r="S26" s="14"/>
      <c r="T26" s="20">
        <f>T12-T22</f>
        <v>852534.2799999998</v>
      </c>
      <c r="U26" s="14"/>
      <c r="V26" s="21">
        <f>IF(T$12=0,0,T26/T$12)</f>
        <v>0.5240583001835476</v>
      </c>
      <c r="W26" s="15"/>
      <c r="X26" s="20">
        <f>+P26-T26</f>
        <v>-859080.51999999979</v>
      </c>
      <c r="Y26" s="15"/>
      <c r="Z26" s="21">
        <f>IF(T26=0,0,X26/T26)</f>
        <v>-1.0076785651364071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9</v>
      </c>
      <c r="C28" s="10"/>
      <c r="D28" s="22">
        <f>SUM(OSRRefD22x_0)</f>
        <v>20431.13</v>
      </c>
      <c r="E28" s="22"/>
      <c r="F28" s="36">
        <f t="shared" ref="F28:F37" si="15">IF(D$12=0,0,D28/D$12)</f>
        <v>0</v>
      </c>
      <c r="G28" s="22"/>
      <c r="H28" s="22">
        <f>SUM(OSRRefH22x_0)</f>
        <v>99742.12999999999</v>
      </c>
      <c r="I28" s="22"/>
      <c r="J28" s="36">
        <f t="shared" ref="J28:J37" si="16">IF(H$12=0,0,H28/H$12)</f>
        <v>0.47960487057340262</v>
      </c>
      <c r="K28" s="4"/>
      <c r="L28" s="22">
        <f t="shared" ref="L28:L37" si="17">+D28-H28</f>
        <v>-79310.999999999985</v>
      </c>
      <c r="M28" s="4"/>
      <c r="N28" s="36">
        <f t="shared" ref="N28:N37" si="18">IF(H28=0,0,L28/H28)</f>
        <v>-0.79516048033062847</v>
      </c>
      <c r="O28" s="10"/>
      <c r="P28" s="22">
        <f>SUM(OSRRefP22x_0)</f>
        <v>172010.90000000002</v>
      </c>
      <c r="Q28" s="22"/>
      <c r="R28" s="36">
        <f t="shared" ref="R28:R37" si="19">IF(P$12=0,0,P28/P$12)</f>
        <v>66.504115647968078</v>
      </c>
      <c r="S28" s="22"/>
      <c r="T28" s="22">
        <f>SUM(OSRRefT22x_0)</f>
        <v>638674.50999999989</v>
      </c>
      <c r="U28" s="22"/>
      <c r="V28" s="36">
        <f t="shared" ref="V28:V37" si="20">IF(T$12=0,0,T28/T$12)</f>
        <v>0.39259732533119979</v>
      </c>
      <c r="W28" s="4"/>
      <c r="X28" s="22">
        <f t="shared" ref="X28:X37" si="21">+P28-T28</f>
        <v>-466663.60999999987</v>
      </c>
      <c r="Y28" s="4"/>
      <c r="Z28" s="36">
        <f t="shared" ref="Z28:Z37" si="22">IF(T28=0,0,X28/T28)</f>
        <v>-0.73067517599849097</v>
      </c>
    </row>
    <row r="29" spans="1:26" s="25" customFormat="1" outlineLevel="1" collapsed="1" x14ac:dyDescent="0.25">
      <c r="A29" s="26"/>
      <c r="B29" s="13" t="str">
        <f>CONCATENATE("     ","*Benefits                                         ")</f>
        <v xml:space="preserve">     *Benefits                                         </v>
      </c>
      <c r="C29" s="13"/>
      <c r="D29" s="1">
        <f>SUM(OSRRefD22_0x_0)</f>
        <v>2627.39</v>
      </c>
      <c r="E29" s="1"/>
      <c r="F29" s="5">
        <f t="shared" si="15"/>
        <v>0</v>
      </c>
      <c r="G29" s="1"/>
      <c r="H29" s="1">
        <f>SUM(OSRRefH22_0x_0)</f>
        <v>11181.929999999998</v>
      </c>
      <c r="I29" s="1"/>
      <c r="J29" s="5">
        <f t="shared" si="16"/>
        <v>5.3767731753982473E-2</v>
      </c>
      <c r="K29" s="1"/>
      <c r="L29" s="1">
        <f t="shared" si="17"/>
        <v>-8554.5399999999991</v>
      </c>
      <c r="M29" s="1"/>
      <c r="N29" s="5">
        <f t="shared" si="18"/>
        <v>-0.76503251227650326</v>
      </c>
      <c r="O29" s="13"/>
      <c r="P29" s="1">
        <f>SUM(OSRRefP22_0x_0)</f>
        <v>35025.26</v>
      </c>
      <c r="Q29" s="1"/>
      <c r="R29" s="5">
        <f t="shared" si="19"/>
        <v>13.541722888724786</v>
      </c>
      <c r="S29" s="1"/>
      <c r="T29" s="1">
        <f>SUM(OSRRefT22_0x_0)</f>
        <v>84044.49</v>
      </c>
      <c r="U29" s="1"/>
      <c r="V29" s="5">
        <f t="shared" si="20"/>
        <v>5.1662688061286141E-2</v>
      </c>
      <c r="W29" s="1"/>
      <c r="X29" s="1">
        <f t="shared" si="21"/>
        <v>-49019.23</v>
      </c>
      <c r="Y29" s="1"/>
      <c r="Z29" s="5">
        <f t="shared" si="22"/>
        <v>-0.58325334593618217</v>
      </c>
    </row>
    <row r="30" spans="1:26" s="24" customFormat="1" hidden="1" outlineLevel="2" x14ac:dyDescent="0.25">
      <c r="A30" s="27"/>
      <c r="B30" s="11" t="str">
        <f>CONCATENATE("          ", "6111", " - ", "F.I.C.A.")</f>
        <v xml:space="preserve">          6111 - F.I.C.A.</v>
      </c>
      <c r="C30" s="11"/>
      <c r="D30" s="7"/>
      <c r="E30" s="2"/>
      <c r="F30" s="6">
        <f t="shared" si="15"/>
        <v>0</v>
      </c>
      <c r="G30" s="2"/>
      <c r="H30" s="7">
        <v>1674.44</v>
      </c>
      <c r="I30" s="2"/>
      <c r="J30" s="6">
        <f t="shared" si="16"/>
        <v>8.0514580898054661E-3</v>
      </c>
      <c r="K30" s="2"/>
      <c r="L30" s="7">
        <f t="shared" si="17"/>
        <v>-1674.44</v>
      </c>
      <c r="M30" s="2"/>
      <c r="N30" s="6">
        <f t="shared" si="18"/>
        <v>-1</v>
      </c>
      <c r="O30" s="11"/>
      <c r="P30" s="7">
        <v>3909.68</v>
      </c>
      <c r="Q30" s="2"/>
      <c r="R30" s="6">
        <f t="shared" si="19"/>
        <v>1.5115891543300326</v>
      </c>
      <c r="S30" s="2"/>
      <c r="T30" s="7">
        <v>14367.88</v>
      </c>
      <c r="U30" s="2"/>
      <c r="V30" s="6">
        <f t="shared" si="20"/>
        <v>8.8320281620126659E-3</v>
      </c>
      <c r="W30" s="2"/>
      <c r="X30" s="7">
        <f t="shared" si="21"/>
        <v>-10458.199999999999</v>
      </c>
      <c r="Y30" s="2"/>
      <c r="Z30" s="6">
        <f t="shared" si="22"/>
        <v>-0.72788748235647849</v>
      </c>
    </row>
    <row r="31" spans="1:26" s="24" customFormat="1" hidden="1" outlineLevel="2" x14ac:dyDescent="0.25">
      <c r="A31" s="27"/>
      <c r="B31" s="11" t="str">
        <f>CONCATENATE("          ", "6112", " - ", "COMPENSATION INSURANCE")</f>
        <v xml:space="preserve">          6112 - COMPENSATION INSURANCE</v>
      </c>
      <c r="C31" s="11"/>
      <c r="D31" s="7"/>
      <c r="E31" s="2"/>
      <c r="F31" s="6">
        <f t="shared" si="15"/>
        <v>0</v>
      </c>
      <c r="G31" s="2"/>
      <c r="H31" s="7">
        <v>1343.94</v>
      </c>
      <c r="I31" s="2"/>
      <c r="J31" s="6">
        <f t="shared" si="16"/>
        <v>6.4622659427708111E-3</v>
      </c>
      <c r="K31" s="2"/>
      <c r="L31" s="7">
        <f t="shared" si="17"/>
        <v>-1343.94</v>
      </c>
      <c r="M31" s="2"/>
      <c r="N31" s="6">
        <f t="shared" si="18"/>
        <v>-1</v>
      </c>
      <c r="O31" s="11"/>
      <c r="P31" s="7">
        <v>830.67</v>
      </c>
      <c r="Q31" s="2"/>
      <c r="R31" s="6">
        <f t="shared" si="19"/>
        <v>0.32115972735040416</v>
      </c>
      <c r="S31" s="2"/>
      <c r="T31" s="7">
        <v>5385.78</v>
      </c>
      <c r="U31" s="2"/>
      <c r="V31" s="6">
        <f t="shared" si="20"/>
        <v>3.3106735742784998E-3</v>
      </c>
      <c r="W31" s="2"/>
      <c r="X31" s="7">
        <f t="shared" si="21"/>
        <v>-4555.1099999999997</v>
      </c>
      <c r="Y31" s="2"/>
      <c r="Z31" s="6">
        <f t="shared" si="22"/>
        <v>-0.8457660728808083</v>
      </c>
    </row>
    <row r="32" spans="1:26" s="24" customFormat="1" hidden="1" outlineLevel="2" x14ac:dyDescent="0.25">
      <c r="A32" s="27"/>
      <c r="B32" s="11" t="str">
        <f>CONCATENATE("          ", "6113", " - ", "GROUP INSURANCE")</f>
        <v xml:space="preserve">          6113 - GROUP INSURANCE</v>
      </c>
      <c r="C32" s="11"/>
      <c r="D32" s="7">
        <v>2627.39</v>
      </c>
      <c r="E32" s="2"/>
      <c r="F32" s="6">
        <f t="shared" si="15"/>
        <v>0</v>
      </c>
      <c r="G32" s="2"/>
      <c r="H32" s="7">
        <v>4476.93</v>
      </c>
      <c r="I32" s="2"/>
      <c r="J32" s="6">
        <f t="shared" si="16"/>
        <v>2.1527086229421646E-2</v>
      </c>
      <c r="K32" s="2"/>
      <c r="L32" s="7">
        <f t="shared" si="17"/>
        <v>-1849.5400000000004</v>
      </c>
      <c r="M32" s="2"/>
      <c r="N32" s="6">
        <f t="shared" si="18"/>
        <v>-0.41312685255297721</v>
      </c>
      <c r="O32" s="11"/>
      <c r="P32" s="7">
        <v>18067.72</v>
      </c>
      <c r="Q32" s="2"/>
      <c r="R32" s="6">
        <f t="shared" si="19"/>
        <v>6.9854744110699132</v>
      </c>
      <c r="S32" s="2"/>
      <c r="T32" s="7">
        <v>36835.43</v>
      </c>
      <c r="U32" s="2"/>
      <c r="V32" s="6">
        <f t="shared" si="20"/>
        <v>2.2642975520386181E-2</v>
      </c>
      <c r="W32" s="2"/>
      <c r="X32" s="7">
        <f t="shared" si="21"/>
        <v>-18767.71</v>
      </c>
      <c r="Y32" s="2"/>
      <c r="Z32" s="6">
        <f t="shared" si="22"/>
        <v>-0.50950158583733107</v>
      </c>
    </row>
    <row r="33" spans="1:26" s="24" customFormat="1" hidden="1" outlineLevel="2" x14ac:dyDescent="0.25">
      <c r="A33" s="27"/>
      <c r="B33" s="11" t="str">
        <f>CONCATENATE("          ", "6114", " - ", "STATE UNEMPLOYMENT INSURANCE")</f>
        <v xml:space="preserve">          6114 - STATE UNEMPLOYMENT INSURANCE</v>
      </c>
      <c r="C33" s="11"/>
      <c r="D33" s="7"/>
      <c r="E33" s="2"/>
      <c r="F33" s="6">
        <f t="shared" si="15"/>
        <v>0</v>
      </c>
      <c r="G33" s="2"/>
      <c r="H33" s="7">
        <v>178.7</v>
      </c>
      <c r="I33" s="2"/>
      <c r="J33" s="6">
        <f t="shared" si="16"/>
        <v>8.5926970249649822E-4</v>
      </c>
      <c r="K33" s="2"/>
      <c r="L33" s="7">
        <f t="shared" si="17"/>
        <v>-178.7</v>
      </c>
      <c r="M33" s="2"/>
      <c r="N33" s="6">
        <f t="shared" si="18"/>
        <v>-1</v>
      </c>
      <c r="O33" s="11"/>
      <c r="P33" s="7">
        <v>132.15</v>
      </c>
      <c r="Q33" s="2"/>
      <c r="R33" s="6">
        <f t="shared" si="19"/>
        <v>5.1092802158927031E-2</v>
      </c>
      <c r="S33" s="2"/>
      <c r="T33" s="7">
        <v>870.25</v>
      </c>
      <c r="U33" s="2"/>
      <c r="V33" s="6">
        <f t="shared" si="20"/>
        <v>5.349482671063179E-4</v>
      </c>
      <c r="W33" s="2"/>
      <c r="X33" s="7">
        <f t="shared" si="21"/>
        <v>-738.1</v>
      </c>
      <c r="Y33" s="2"/>
      <c r="Z33" s="6">
        <f t="shared" si="22"/>
        <v>-0.8481470841712152</v>
      </c>
    </row>
    <row r="34" spans="1:26" s="24" customFormat="1" hidden="1" outlineLevel="2" x14ac:dyDescent="0.25">
      <c r="A34" s="27"/>
      <c r="B34" s="11" t="str">
        <f>CONCATENATE("          ", "6115", " - ", "P.E.R.S.")</f>
        <v xml:space="preserve">          6115 - P.E.R.S.</v>
      </c>
      <c r="C34" s="11"/>
      <c r="D34" s="7"/>
      <c r="E34" s="2"/>
      <c r="F34" s="6">
        <f t="shared" si="15"/>
        <v>0</v>
      </c>
      <c r="G34" s="2"/>
      <c r="H34" s="7">
        <v>1363.79</v>
      </c>
      <c r="I34" s="2"/>
      <c r="J34" s="6">
        <f t="shared" si="16"/>
        <v>6.5577136405579146E-3</v>
      </c>
      <c r="K34" s="2"/>
      <c r="L34" s="7">
        <f t="shared" si="17"/>
        <v>-1363.79</v>
      </c>
      <c r="M34" s="2"/>
      <c r="N34" s="6">
        <f t="shared" si="18"/>
        <v>-1</v>
      </c>
      <c r="O34" s="11"/>
      <c r="P34" s="7">
        <v>5525.49</v>
      </c>
      <c r="Q34" s="2"/>
      <c r="R34" s="6">
        <f t="shared" si="19"/>
        <v>2.1363054665238721</v>
      </c>
      <c r="S34" s="2"/>
      <c r="T34" s="7">
        <v>9651.67</v>
      </c>
      <c r="U34" s="2"/>
      <c r="V34" s="6">
        <f t="shared" si="20"/>
        <v>5.9329435692985176E-3</v>
      </c>
      <c r="W34" s="2"/>
      <c r="X34" s="7">
        <f t="shared" si="21"/>
        <v>-4126.18</v>
      </c>
      <c r="Y34" s="2"/>
      <c r="Z34" s="6">
        <f t="shared" si="22"/>
        <v>-0.42750943619083537</v>
      </c>
    </row>
    <row r="35" spans="1:26" s="24" customFormat="1" hidden="1" outlineLevel="2" x14ac:dyDescent="0.25">
      <c r="A35" s="27"/>
      <c r="B35" s="11" t="str">
        <f>CONCATENATE("          ", "6118", " - ", "VACATION")</f>
        <v xml:space="preserve">          6118 - VACATION</v>
      </c>
      <c r="C35" s="11"/>
      <c r="D35" s="7"/>
      <c r="E35" s="2"/>
      <c r="F35" s="6">
        <f t="shared" si="15"/>
        <v>0</v>
      </c>
      <c r="G35" s="2"/>
      <c r="H35" s="7">
        <v>909.14</v>
      </c>
      <c r="I35" s="2"/>
      <c r="J35" s="6">
        <f t="shared" si="16"/>
        <v>4.3715526431318775E-3</v>
      </c>
      <c r="K35" s="2"/>
      <c r="L35" s="7">
        <f t="shared" si="17"/>
        <v>-909.14</v>
      </c>
      <c r="M35" s="2"/>
      <c r="N35" s="6">
        <f t="shared" si="18"/>
        <v>-1</v>
      </c>
      <c r="O35" s="11"/>
      <c r="P35" s="7">
        <v>3386</v>
      </c>
      <c r="Q35" s="2"/>
      <c r="R35" s="6">
        <f t="shared" si="19"/>
        <v>1.3091201521765183</v>
      </c>
      <c r="S35" s="2"/>
      <c r="T35" s="7">
        <v>7797.58</v>
      </c>
      <c r="U35" s="2"/>
      <c r="V35" s="6">
        <f t="shared" si="20"/>
        <v>4.7932225321722288E-3</v>
      </c>
      <c r="W35" s="2"/>
      <c r="X35" s="7">
        <f t="shared" si="21"/>
        <v>-4411.58</v>
      </c>
      <c r="Y35" s="2"/>
      <c r="Z35" s="6">
        <f t="shared" si="22"/>
        <v>-0.56576271099494968</v>
      </c>
    </row>
    <row r="36" spans="1:26" s="24" customFormat="1" hidden="1" outlineLevel="2" x14ac:dyDescent="0.25">
      <c r="A36" s="27"/>
      <c r="B36" s="11" t="str">
        <f>CONCATENATE("          ", "6119", " - ", "SICK LEAVE")</f>
        <v xml:space="preserve">          6119 - SICK LEAVE</v>
      </c>
      <c r="C36" s="11"/>
      <c r="D36" s="7"/>
      <c r="E36" s="2"/>
      <c r="F36" s="6">
        <f t="shared" si="15"/>
        <v>0</v>
      </c>
      <c r="G36" s="2"/>
      <c r="H36" s="7">
        <v>611</v>
      </c>
      <c r="I36" s="2"/>
      <c r="J36" s="6">
        <f t="shared" si="16"/>
        <v>2.9379618815073335E-3</v>
      </c>
      <c r="K36" s="2"/>
      <c r="L36" s="7">
        <f t="shared" si="17"/>
        <v>-611</v>
      </c>
      <c r="M36" s="2"/>
      <c r="N36" s="6">
        <f t="shared" si="18"/>
        <v>-1</v>
      </c>
      <c r="O36" s="11"/>
      <c r="P36" s="7">
        <v>2447.1799999999998</v>
      </c>
      <c r="Q36" s="2"/>
      <c r="R36" s="6">
        <f t="shared" si="19"/>
        <v>0.94614667867788904</v>
      </c>
      <c r="S36" s="2"/>
      <c r="T36" s="7">
        <v>5350.08</v>
      </c>
      <c r="U36" s="2"/>
      <c r="V36" s="6">
        <f t="shared" si="20"/>
        <v>3.2887285548752303E-3</v>
      </c>
      <c r="W36" s="2"/>
      <c r="X36" s="7">
        <f t="shared" si="21"/>
        <v>-2902.9</v>
      </c>
      <c r="Y36" s="2"/>
      <c r="Z36" s="6">
        <f t="shared" si="22"/>
        <v>-0.54259001734553503</v>
      </c>
    </row>
    <row r="37" spans="1:26" s="24" customFormat="1" hidden="1" outlineLevel="2" x14ac:dyDescent="0.25">
      <c r="A37" s="27"/>
      <c r="B37" s="11" t="str">
        <f>CONCATENATE("          ", "6156", " - ", "EMPLOYEE MEALS")</f>
        <v xml:space="preserve">          6156 - EMPLOYEE MEALS</v>
      </c>
      <c r="C37" s="11"/>
      <c r="D37" s="7"/>
      <c r="E37" s="2"/>
      <c r="F37" s="6">
        <f t="shared" si="15"/>
        <v>0</v>
      </c>
      <c r="G37" s="2"/>
      <c r="H37" s="7">
        <v>623.99</v>
      </c>
      <c r="I37" s="2"/>
      <c r="J37" s="6">
        <f t="shared" si="16"/>
        <v>3.0004236242909344E-3</v>
      </c>
      <c r="K37" s="2"/>
      <c r="L37" s="7">
        <f t="shared" si="17"/>
        <v>-623.99</v>
      </c>
      <c r="M37" s="2"/>
      <c r="N37" s="6">
        <f t="shared" si="18"/>
        <v>-1</v>
      </c>
      <c r="O37" s="11"/>
      <c r="P37" s="7">
        <v>726.37</v>
      </c>
      <c r="Q37" s="2"/>
      <c r="R37" s="6">
        <f t="shared" si="19"/>
        <v>0.28083449643722908</v>
      </c>
      <c r="S37" s="2"/>
      <c r="T37" s="7">
        <v>3785.82</v>
      </c>
      <c r="U37" s="2"/>
      <c r="V37" s="6">
        <f t="shared" si="20"/>
        <v>2.3271678811564956E-3</v>
      </c>
      <c r="W37" s="2"/>
      <c r="X37" s="7">
        <f t="shared" si="21"/>
        <v>-3059.4500000000003</v>
      </c>
      <c r="Y37" s="2"/>
      <c r="Z37" s="6">
        <f t="shared" si="22"/>
        <v>-0.80813403701179665</v>
      </c>
    </row>
    <row r="38" spans="1:26" s="25" customFormat="1" outlineLevel="1" collapsed="1" x14ac:dyDescent="0.25">
      <c r="A38" s="26"/>
      <c r="B38" s="13" t="str">
        <f>CONCATENATE("     ","*Payroll                                          ")</f>
        <v xml:space="preserve">     *Payroll                                          </v>
      </c>
      <c r="C38" s="13"/>
      <c r="D38" s="1">
        <f>SUM(OSRRefD22_1x_0)</f>
        <v>0</v>
      </c>
      <c r="E38" s="1"/>
      <c r="F38" s="5">
        <f t="shared" ref="F38:F44" si="23">IF(D$12=0,0,D38/D$12)</f>
        <v>0</v>
      </c>
      <c r="G38" s="1"/>
      <c r="H38" s="1">
        <f>SUM(OSRRefH22_1x_0)</f>
        <v>44075.56</v>
      </c>
      <c r="I38" s="1"/>
      <c r="J38" s="5">
        <f t="shared" ref="J38:J44" si="24">IF(H$12=0,0,H38/H$12)</f>
        <v>0.21193504940440155</v>
      </c>
      <c r="K38" s="1"/>
      <c r="L38" s="1">
        <f t="shared" ref="L38:L44" si="25">+D38-H38</f>
        <v>-44075.56</v>
      </c>
      <c r="M38" s="1"/>
      <c r="N38" s="5">
        <f t="shared" ref="N38:N44" si="26">IF(H38=0,0,L38/H38)</f>
        <v>-1</v>
      </c>
      <c r="O38" s="13"/>
      <c r="P38" s="1">
        <f>SUM(OSRRefP22_1x_0)</f>
        <v>41960.38</v>
      </c>
      <c r="Q38" s="1"/>
      <c r="R38" s="5">
        <f t="shared" ref="R38:R44" si="27">IF(P$12=0,0,P38/P$12)</f>
        <v>16.223029843763893</v>
      </c>
      <c r="S38" s="1"/>
      <c r="T38" s="1">
        <f>SUM(OSRRefT22_1x_0)</f>
        <v>317038.13999999996</v>
      </c>
      <c r="U38" s="1"/>
      <c r="V38" s="5">
        <f t="shared" ref="V38:V44" si="28">IF(T$12=0,0,T38/T$12)</f>
        <v>0.19488538190130442</v>
      </c>
      <c r="W38" s="1"/>
      <c r="X38" s="1">
        <f t="shared" ref="X38:X44" si="29">+P38-T38</f>
        <v>-275077.75999999995</v>
      </c>
      <c r="Y38" s="1"/>
      <c r="Z38" s="5">
        <f t="shared" ref="Z38:Z44" si="30">IF(T38=0,0,X38/T38)</f>
        <v>-0.86764879455828248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7"/>
      <c r="E39" s="2"/>
      <c r="F39" s="6">
        <f t="shared" si="23"/>
        <v>0</v>
      </c>
      <c r="G39" s="2"/>
      <c r="H39" s="7">
        <v>12478.66</v>
      </c>
      <c r="I39" s="2"/>
      <c r="J39" s="6">
        <f t="shared" si="24"/>
        <v>6.0002990854812276E-2</v>
      </c>
      <c r="K39" s="2"/>
      <c r="L39" s="7">
        <f t="shared" si="25"/>
        <v>-12478.66</v>
      </c>
      <c r="M39" s="2"/>
      <c r="N39" s="6">
        <f t="shared" si="26"/>
        <v>-1</v>
      </c>
      <c r="O39" s="11"/>
      <c r="P39" s="7">
        <v>39828.42</v>
      </c>
      <c r="Q39" s="2"/>
      <c r="R39" s="6">
        <f t="shared" si="27"/>
        <v>15.398755833239896</v>
      </c>
      <c r="S39" s="2"/>
      <c r="T39" s="7">
        <v>98646.13</v>
      </c>
      <c r="U39" s="2"/>
      <c r="V39" s="6">
        <f t="shared" si="28"/>
        <v>6.0638409997408285E-2</v>
      </c>
      <c r="W39" s="2"/>
      <c r="X39" s="7">
        <f t="shared" si="29"/>
        <v>-58817.710000000006</v>
      </c>
      <c r="Y39" s="2"/>
      <c r="Z39" s="6">
        <f t="shared" si="30"/>
        <v>-0.59624954369725403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3"/>
        <v>0</v>
      </c>
      <c r="G40" s="2"/>
      <c r="H40" s="7"/>
      <c r="I40" s="2"/>
      <c r="J40" s="6">
        <f t="shared" si="24"/>
        <v>0</v>
      </c>
      <c r="K40" s="2"/>
      <c r="L40" s="7">
        <f t="shared" si="25"/>
        <v>0</v>
      </c>
      <c r="M40" s="2"/>
      <c r="N40" s="6">
        <f t="shared" si="26"/>
        <v>0</v>
      </c>
      <c r="O40" s="11"/>
      <c r="P40" s="7"/>
      <c r="Q40" s="2"/>
      <c r="R40" s="6">
        <f t="shared" si="27"/>
        <v>0</v>
      </c>
      <c r="S40" s="2"/>
      <c r="T40" s="7">
        <v>254.64</v>
      </c>
      <c r="U40" s="2"/>
      <c r="V40" s="6">
        <f t="shared" si="28"/>
        <v>1.5652884428147404E-4</v>
      </c>
      <c r="W40" s="2"/>
      <c r="X40" s="7">
        <f t="shared" si="29"/>
        <v>-254.64</v>
      </c>
      <c r="Y40" s="2"/>
      <c r="Z40" s="6">
        <f t="shared" si="30"/>
        <v>-1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3"/>
        <v>0</v>
      </c>
      <c r="G41" s="2"/>
      <c r="H41" s="7">
        <v>6204.49</v>
      </c>
      <c r="I41" s="2"/>
      <c r="J41" s="6">
        <f t="shared" si="24"/>
        <v>2.9833969090332951E-2</v>
      </c>
      <c r="K41" s="2"/>
      <c r="L41" s="7">
        <f t="shared" si="25"/>
        <v>-6204.49</v>
      </c>
      <c r="M41" s="2"/>
      <c r="N41" s="6">
        <f t="shared" si="26"/>
        <v>-1</v>
      </c>
      <c r="O41" s="11"/>
      <c r="P41" s="7">
        <v>2131.96</v>
      </c>
      <c r="Q41" s="2"/>
      <c r="R41" s="6">
        <f t="shared" si="27"/>
        <v>0.82427401052399596</v>
      </c>
      <c r="S41" s="2"/>
      <c r="T41" s="7">
        <v>39453.279999999999</v>
      </c>
      <c r="U41" s="2"/>
      <c r="V41" s="6">
        <f t="shared" si="28"/>
        <v>2.4252184737328753E-2</v>
      </c>
      <c r="W41" s="2"/>
      <c r="X41" s="7">
        <f t="shared" si="29"/>
        <v>-37321.32</v>
      </c>
      <c r="Y41" s="2"/>
      <c r="Z41" s="6">
        <f t="shared" si="30"/>
        <v>-0.94596241427835659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3"/>
        <v>0</v>
      </c>
      <c r="G42" s="2"/>
      <c r="H42" s="7">
        <v>1552.13</v>
      </c>
      <c r="I42" s="2"/>
      <c r="J42" s="6">
        <f t="shared" si="24"/>
        <v>7.4633367841963625E-3</v>
      </c>
      <c r="K42" s="2"/>
      <c r="L42" s="7">
        <f t="shared" si="25"/>
        <v>-1552.13</v>
      </c>
      <c r="M42" s="2"/>
      <c r="N42" s="6">
        <f t="shared" si="26"/>
        <v>-1</v>
      </c>
      <c r="O42" s="11"/>
      <c r="P42" s="7"/>
      <c r="Q42" s="2"/>
      <c r="R42" s="6">
        <f t="shared" si="27"/>
        <v>0</v>
      </c>
      <c r="S42" s="2"/>
      <c r="T42" s="7">
        <v>10033.43</v>
      </c>
      <c r="U42" s="2"/>
      <c r="V42" s="6">
        <f t="shared" si="28"/>
        <v>6.1676138944355566E-3</v>
      </c>
      <c r="W42" s="2"/>
      <c r="X42" s="7">
        <f t="shared" si="29"/>
        <v>-10033.43</v>
      </c>
      <c r="Y42" s="2"/>
      <c r="Z42" s="6">
        <f t="shared" si="30"/>
        <v>-1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7"/>
      <c r="E43" s="2"/>
      <c r="F43" s="6">
        <f t="shared" si="23"/>
        <v>0</v>
      </c>
      <c r="G43" s="2"/>
      <c r="H43" s="7">
        <v>22793.279999999999</v>
      </c>
      <c r="I43" s="2"/>
      <c r="J43" s="6">
        <f t="shared" si="24"/>
        <v>0.10960030735601221</v>
      </c>
      <c r="K43" s="2"/>
      <c r="L43" s="7">
        <f t="shared" si="25"/>
        <v>-22793.279999999999</v>
      </c>
      <c r="M43" s="2"/>
      <c r="N43" s="6">
        <f t="shared" si="26"/>
        <v>-1</v>
      </c>
      <c r="O43" s="11"/>
      <c r="P43" s="7">
        <v>0</v>
      </c>
      <c r="Q43" s="2"/>
      <c r="R43" s="6">
        <f t="shared" si="27"/>
        <v>0</v>
      </c>
      <c r="S43" s="2"/>
      <c r="T43" s="7">
        <v>159819.87</v>
      </c>
      <c r="U43" s="2"/>
      <c r="V43" s="6">
        <f t="shared" si="28"/>
        <v>9.8242301069413382E-2</v>
      </c>
      <c r="W43" s="2"/>
      <c r="X43" s="7">
        <f t="shared" si="29"/>
        <v>-159819.87</v>
      </c>
      <c r="Y43" s="2"/>
      <c r="Z43" s="6">
        <f t="shared" si="30"/>
        <v>-1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3"/>
        <v>0</v>
      </c>
      <c r="G44" s="2"/>
      <c r="H44" s="7">
        <v>1047</v>
      </c>
      <c r="I44" s="2"/>
      <c r="J44" s="6">
        <f t="shared" si="24"/>
        <v>5.0344453190477546E-3</v>
      </c>
      <c r="K44" s="2"/>
      <c r="L44" s="7">
        <f t="shared" si="25"/>
        <v>-1047</v>
      </c>
      <c r="M44" s="2"/>
      <c r="N44" s="6">
        <f t="shared" si="26"/>
        <v>-1</v>
      </c>
      <c r="O44" s="11"/>
      <c r="P44" s="7"/>
      <c r="Q44" s="2"/>
      <c r="R44" s="6">
        <f t="shared" si="27"/>
        <v>0</v>
      </c>
      <c r="S44" s="2"/>
      <c r="T44" s="7">
        <v>8830.7900000000009</v>
      </c>
      <c r="U44" s="2"/>
      <c r="V44" s="6">
        <f t="shared" si="28"/>
        <v>5.4283433584370027E-3</v>
      </c>
      <c r="W44" s="2"/>
      <c r="X44" s="7">
        <f t="shared" si="29"/>
        <v>-8830.7900000000009</v>
      </c>
      <c r="Y44" s="2"/>
      <c r="Z44" s="6">
        <f t="shared" si="30"/>
        <v>-1</v>
      </c>
    </row>
    <row r="45" spans="1:26" s="25" customFormat="1" outlineLevel="1" collapsed="1" x14ac:dyDescent="0.25">
      <c r="A45" s="26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53" si="31">IF(D$12=0,0,D45/D$12)</f>
        <v>0</v>
      </c>
      <c r="G45" s="1"/>
      <c r="H45" s="1">
        <f>SUM(OSRRefH22_2x_0)</f>
        <v>619.30999999999995</v>
      </c>
      <c r="I45" s="1"/>
      <c r="J45" s="5">
        <f t="shared" ref="J45:J53" si="32">IF(H$12=0,0,H45/H$12)</f>
        <v>2.9779200864751333E-3</v>
      </c>
      <c r="K45" s="1"/>
      <c r="L45" s="1">
        <f t="shared" ref="L45:L53" si="33">+D45-H45</f>
        <v>-619.30999999999995</v>
      </c>
      <c r="M45" s="1"/>
      <c r="N45" s="5">
        <f t="shared" ref="N45:N53" si="34">IF(H45=0,0,L45/H45)</f>
        <v>-1</v>
      </c>
      <c r="O45" s="13"/>
      <c r="P45" s="1">
        <f>SUM(OSRRefP22_2x_0)</f>
        <v>0</v>
      </c>
      <c r="Q45" s="1"/>
      <c r="R45" s="5">
        <f t="shared" ref="R45:R53" si="35">IF(P$12=0,0,P45/P$12)</f>
        <v>0</v>
      </c>
      <c r="S45" s="1"/>
      <c r="T45" s="1">
        <f>SUM(OSRRefT22_2x_0)</f>
        <v>2433.41</v>
      </c>
      <c r="U45" s="1"/>
      <c r="V45" s="5">
        <f t="shared" ref="V45:V53" si="36">IF(T$12=0,0,T45/T$12)</f>
        <v>1.4958327637566043E-3</v>
      </c>
      <c r="W45" s="1"/>
      <c r="X45" s="1">
        <f t="shared" ref="X45:X53" si="37">+P45-T45</f>
        <v>-2433.41</v>
      </c>
      <c r="Y45" s="1"/>
      <c r="Z45" s="5">
        <f t="shared" ref="Z45:Z53" si="38">IF(T45=0,0,X45/T45)</f>
        <v>-1</v>
      </c>
    </row>
    <row r="46" spans="1:26" s="24" customFormat="1" hidden="1" outlineLevel="2" x14ac:dyDescent="0.25">
      <c r="A46" s="27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31"/>
        <v>0</v>
      </c>
      <c r="G46" s="2"/>
      <c r="H46" s="7">
        <v>619.30999999999995</v>
      </c>
      <c r="I46" s="2"/>
      <c r="J46" s="6">
        <f t="shared" si="32"/>
        <v>2.9779200864751333E-3</v>
      </c>
      <c r="K46" s="2"/>
      <c r="L46" s="7">
        <f t="shared" si="33"/>
        <v>-619.30999999999995</v>
      </c>
      <c r="M46" s="2"/>
      <c r="N46" s="6">
        <f t="shared" si="34"/>
        <v>-1</v>
      </c>
      <c r="O46" s="11"/>
      <c r="P46" s="7"/>
      <c r="Q46" s="2"/>
      <c r="R46" s="6">
        <f t="shared" si="35"/>
        <v>0</v>
      </c>
      <c r="S46" s="2"/>
      <c r="T46" s="7">
        <v>2433.41</v>
      </c>
      <c r="U46" s="2"/>
      <c r="V46" s="6">
        <f t="shared" si="36"/>
        <v>1.4958327637566043E-3</v>
      </c>
      <c r="W46" s="2"/>
      <c r="X46" s="7">
        <f t="shared" si="37"/>
        <v>-2433.41</v>
      </c>
      <c r="Y46" s="2"/>
      <c r="Z46" s="6">
        <f t="shared" si="38"/>
        <v>-1</v>
      </c>
    </row>
    <row r="47" spans="1:26" s="25" customFormat="1" outlineLevel="1" collapsed="1" x14ac:dyDescent="0.25">
      <c r="A47" s="26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0</v>
      </c>
      <c r="E47" s="1"/>
      <c r="F47" s="5">
        <f t="shared" si="31"/>
        <v>0</v>
      </c>
      <c r="G47" s="1"/>
      <c r="H47" s="1">
        <f>SUM(OSRRefH22_3x_0)</f>
        <v>-27.79</v>
      </c>
      <c r="I47" s="1"/>
      <c r="J47" s="5">
        <f t="shared" si="32"/>
        <v>-1.3362677690194563E-4</v>
      </c>
      <c r="K47" s="1"/>
      <c r="L47" s="1">
        <f t="shared" si="33"/>
        <v>27.79</v>
      </c>
      <c r="M47" s="1"/>
      <c r="N47" s="5">
        <f t="shared" si="34"/>
        <v>-1</v>
      </c>
      <c r="O47" s="13"/>
      <c r="P47" s="1">
        <f>SUM(OSRRefP22_3x_0)</f>
        <v>3.31</v>
      </c>
      <c r="Q47" s="1"/>
      <c r="R47" s="5">
        <f t="shared" si="35"/>
        <v>1.2797364748092959E-3</v>
      </c>
      <c r="S47" s="1"/>
      <c r="T47" s="1">
        <f>SUM(OSRRefT22_3x_0)</f>
        <v>-282.88</v>
      </c>
      <c r="U47" s="1"/>
      <c r="V47" s="5">
        <f t="shared" si="36"/>
        <v>-1.7388815374781407E-4</v>
      </c>
      <c r="W47" s="1"/>
      <c r="X47" s="1">
        <f t="shared" si="37"/>
        <v>286.19</v>
      </c>
      <c r="Y47" s="1"/>
      <c r="Z47" s="5">
        <f t="shared" si="38"/>
        <v>-1.0117010746606334</v>
      </c>
    </row>
    <row r="48" spans="1:26" s="24" customFormat="1" hidden="1" outlineLevel="2" x14ac:dyDescent="0.25">
      <c r="A48" s="27"/>
      <c r="B48" s="11" t="str">
        <f>CONCATENATE("          ", "6272", " - ", "CASH (OVER/SHORT)")</f>
        <v xml:space="preserve">          6272 - CASH (OVER/SHORT)</v>
      </c>
      <c r="C48" s="11"/>
      <c r="D48" s="7"/>
      <c r="E48" s="2"/>
      <c r="F48" s="6">
        <f t="shared" si="31"/>
        <v>0</v>
      </c>
      <c r="G48" s="2"/>
      <c r="H48" s="7">
        <v>-27.79</v>
      </c>
      <c r="I48" s="2"/>
      <c r="J48" s="6">
        <f t="shared" si="32"/>
        <v>-1.3362677690194563E-4</v>
      </c>
      <c r="K48" s="2"/>
      <c r="L48" s="7">
        <f t="shared" si="33"/>
        <v>27.79</v>
      </c>
      <c r="M48" s="2"/>
      <c r="N48" s="6">
        <f t="shared" si="34"/>
        <v>-1</v>
      </c>
      <c r="O48" s="11"/>
      <c r="P48" s="7">
        <v>3.31</v>
      </c>
      <c r="Q48" s="2"/>
      <c r="R48" s="6">
        <f t="shared" si="35"/>
        <v>1.2797364748092959E-3</v>
      </c>
      <c r="S48" s="2"/>
      <c r="T48" s="7">
        <v>-282.88</v>
      </c>
      <c r="U48" s="2"/>
      <c r="V48" s="6">
        <f t="shared" si="36"/>
        <v>-1.7388815374781407E-4</v>
      </c>
      <c r="W48" s="2"/>
      <c r="X48" s="7">
        <f t="shared" si="37"/>
        <v>286.19</v>
      </c>
      <c r="Y48" s="2"/>
      <c r="Z48" s="6">
        <f t="shared" si="38"/>
        <v>-1.0117010746606334</v>
      </c>
    </row>
    <row r="49" spans="1:26" s="25" customFormat="1" outlineLevel="1" collapsed="1" x14ac:dyDescent="0.25">
      <c r="A49" s="26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274</v>
      </c>
      <c r="E49" s="1"/>
      <c r="F49" s="5">
        <f t="shared" si="31"/>
        <v>0</v>
      </c>
      <c r="G49" s="1"/>
      <c r="H49" s="1">
        <f>SUM(OSRRefH22_4x_0)</f>
        <v>7222.5</v>
      </c>
      <c r="I49" s="1"/>
      <c r="J49" s="5">
        <f t="shared" si="32"/>
        <v>3.4729017494577276E-2</v>
      </c>
      <c r="K49" s="1"/>
      <c r="L49" s="1">
        <f t="shared" si="33"/>
        <v>-6948.5</v>
      </c>
      <c r="M49" s="1"/>
      <c r="N49" s="5">
        <f t="shared" si="34"/>
        <v>-0.9620629975770163</v>
      </c>
      <c r="O49" s="13"/>
      <c r="P49" s="1">
        <f>SUM(OSRRefP22_4x_0)</f>
        <v>913.33</v>
      </c>
      <c r="Q49" s="1"/>
      <c r="R49" s="5">
        <f t="shared" si="35"/>
        <v>0.35311834276059645</v>
      </c>
      <c r="S49" s="1"/>
      <c r="T49" s="1">
        <f>SUM(OSRRefT22_4x_0)</f>
        <v>56715</v>
      </c>
      <c r="U49" s="1"/>
      <c r="V49" s="5">
        <f t="shared" si="36"/>
        <v>3.4863074942757616E-2</v>
      </c>
      <c r="W49" s="1"/>
      <c r="X49" s="1">
        <f t="shared" si="37"/>
        <v>-55801.67</v>
      </c>
      <c r="Y49" s="1"/>
      <c r="Z49" s="5">
        <f t="shared" si="38"/>
        <v>-0.98389614740368503</v>
      </c>
    </row>
    <row r="50" spans="1:26" s="24" customFormat="1" hidden="1" outlineLevel="2" x14ac:dyDescent="0.25">
      <c r="A50" s="27"/>
      <c r="B50" s="11" t="str">
        <f>CONCATENATE("          ", "6381", " - ", "BANK/CREDIT CARD FEES")</f>
        <v xml:space="preserve">          6381 - BANK/CREDIT CARD FEES</v>
      </c>
      <c r="C50" s="11"/>
      <c r="D50" s="7">
        <v>274</v>
      </c>
      <c r="E50" s="2"/>
      <c r="F50" s="6">
        <f t="shared" si="31"/>
        <v>0</v>
      </c>
      <c r="G50" s="2"/>
      <c r="H50" s="7">
        <v>7222.5</v>
      </c>
      <c r="I50" s="2"/>
      <c r="J50" s="6">
        <f t="shared" si="32"/>
        <v>3.4729017494577276E-2</v>
      </c>
      <c r="K50" s="2"/>
      <c r="L50" s="7">
        <f t="shared" si="33"/>
        <v>-6948.5</v>
      </c>
      <c r="M50" s="2"/>
      <c r="N50" s="6">
        <f t="shared" si="34"/>
        <v>-0.9620629975770163</v>
      </c>
      <c r="O50" s="11"/>
      <c r="P50" s="7">
        <v>913.33</v>
      </c>
      <c r="Q50" s="2"/>
      <c r="R50" s="6">
        <f t="shared" si="35"/>
        <v>0.35311834276059645</v>
      </c>
      <c r="S50" s="2"/>
      <c r="T50" s="7">
        <v>56715</v>
      </c>
      <c r="U50" s="2"/>
      <c r="V50" s="6">
        <f t="shared" si="36"/>
        <v>3.4863074942757616E-2</v>
      </c>
      <c r="W50" s="2"/>
      <c r="X50" s="7">
        <f t="shared" si="37"/>
        <v>-55801.67</v>
      </c>
      <c r="Y50" s="2"/>
      <c r="Z50" s="6">
        <f t="shared" si="38"/>
        <v>-0.98389614740368503</v>
      </c>
    </row>
    <row r="51" spans="1:26" s="25" customFormat="1" outlineLevel="1" collapsed="1" x14ac:dyDescent="0.25">
      <c r="A51" s="26"/>
      <c r="B51" s="13" t="str">
        <f>CONCATENATE("     ","Depreciation                                      ")</f>
        <v xml:space="preserve">     Depreciation                                      </v>
      </c>
      <c r="C51" s="13"/>
      <c r="D51" s="1">
        <f>SUM(OSRRefD22_5x_0)</f>
        <v>9152.09</v>
      </c>
      <c r="E51" s="1"/>
      <c r="F51" s="5">
        <f t="shared" si="31"/>
        <v>0</v>
      </c>
      <c r="G51" s="1"/>
      <c r="H51" s="1">
        <f>SUM(OSRRefH22_5x_0)</f>
        <v>8546.9</v>
      </c>
      <c r="I51" s="1"/>
      <c r="J51" s="5">
        <f t="shared" si="32"/>
        <v>4.1097326358518864E-2</v>
      </c>
      <c r="K51" s="1"/>
      <c r="L51" s="1">
        <f t="shared" si="33"/>
        <v>605.19000000000051</v>
      </c>
      <c r="M51" s="1"/>
      <c r="N51" s="5">
        <f t="shared" si="34"/>
        <v>7.0808129263241704E-2</v>
      </c>
      <c r="O51" s="13"/>
      <c r="P51" s="1">
        <f>SUM(OSRRefP22_5x_0)</f>
        <v>55093.819999999992</v>
      </c>
      <c r="Q51" s="1"/>
      <c r="R51" s="5">
        <f t="shared" si="35"/>
        <v>21.300776734313558</v>
      </c>
      <c r="S51" s="1"/>
      <c r="T51" s="1">
        <f>SUM(OSRRefT22_5x_0)</f>
        <v>50564.3</v>
      </c>
      <c r="U51" s="1"/>
      <c r="V51" s="5">
        <f t="shared" si="36"/>
        <v>3.1082200129208835E-2</v>
      </c>
      <c r="W51" s="1"/>
      <c r="X51" s="1">
        <f t="shared" si="37"/>
        <v>4529.5199999999895</v>
      </c>
      <c r="Y51" s="1"/>
      <c r="Z51" s="5">
        <f t="shared" si="38"/>
        <v>8.9579406814689205E-2</v>
      </c>
    </row>
    <row r="52" spans="1:26" s="24" customFormat="1" hidden="1" outlineLevel="2" x14ac:dyDescent="0.25">
      <c r="A52" s="27"/>
      <c r="B52" s="11" t="str">
        <f>CONCATENATE("          ", "6321", " - ", "BUILDING DEPRECIATION")</f>
        <v xml:space="preserve">          6321 - BUILDING DEPRECIATION</v>
      </c>
      <c r="C52" s="11"/>
      <c r="D52" s="7">
        <v>5080.51</v>
      </c>
      <c r="E52" s="2"/>
      <c r="F52" s="6">
        <f t="shared" si="31"/>
        <v>0</v>
      </c>
      <c r="G52" s="2"/>
      <c r="H52" s="7">
        <v>5080.51</v>
      </c>
      <c r="I52" s="2"/>
      <c r="J52" s="6">
        <f t="shared" si="32"/>
        <v>2.4429369424904784E-2</v>
      </c>
      <c r="K52" s="2"/>
      <c r="L52" s="7">
        <f t="shared" si="33"/>
        <v>0</v>
      </c>
      <c r="M52" s="2"/>
      <c r="N52" s="6">
        <f t="shared" si="34"/>
        <v>0</v>
      </c>
      <c r="O52" s="11"/>
      <c r="P52" s="7">
        <v>30483.059999999998</v>
      </c>
      <c r="Q52" s="2"/>
      <c r="R52" s="6">
        <f t="shared" si="35"/>
        <v>11.785584213232704</v>
      </c>
      <c r="S52" s="2"/>
      <c r="T52" s="7">
        <v>30483.059999999998</v>
      </c>
      <c r="U52" s="2"/>
      <c r="V52" s="6">
        <f t="shared" si="36"/>
        <v>1.8738132861933827E-2</v>
      </c>
      <c r="W52" s="2"/>
      <c r="X52" s="7">
        <f t="shared" si="37"/>
        <v>0</v>
      </c>
      <c r="Y52" s="2"/>
      <c r="Z52" s="6">
        <f t="shared" si="38"/>
        <v>0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4071.58</v>
      </c>
      <c r="E53" s="2"/>
      <c r="F53" s="6">
        <f t="shared" si="31"/>
        <v>0</v>
      </c>
      <c r="G53" s="2"/>
      <c r="H53" s="7">
        <v>3466.39</v>
      </c>
      <c r="I53" s="2"/>
      <c r="J53" s="6">
        <f t="shared" si="32"/>
        <v>1.6667956933614083E-2</v>
      </c>
      <c r="K53" s="2"/>
      <c r="L53" s="7">
        <f t="shared" si="33"/>
        <v>605.19000000000005</v>
      </c>
      <c r="M53" s="2"/>
      <c r="N53" s="6">
        <f t="shared" si="34"/>
        <v>0.17458797192468248</v>
      </c>
      <c r="O53" s="11"/>
      <c r="P53" s="7">
        <v>24610.76</v>
      </c>
      <c r="Q53" s="2"/>
      <c r="R53" s="6">
        <f t="shared" si="35"/>
        <v>9.5151925210808539</v>
      </c>
      <c r="S53" s="2"/>
      <c r="T53" s="7">
        <v>20081.240000000002</v>
      </c>
      <c r="U53" s="2"/>
      <c r="V53" s="6">
        <f t="shared" si="36"/>
        <v>1.2344067267275008E-2</v>
      </c>
      <c r="W53" s="2"/>
      <c r="X53" s="7">
        <f t="shared" si="37"/>
        <v>4529.5199999999968</v>
      </c>
      <c r="Y53" s="2"/>
      <c r="Z53" s="6">
        <f t="shared" si="38"/>
        <v>0.22555977618911963</v>
      </c>
    </row>
    <row r="54" spans="1:26" s="25" customFormat="1" outlineLevel="1" collapsed="1" x14ac:dyDescent="0.25">
      <c r="A54" s="26"/>
      <c r="B54" s="13" t="str">
        <f>CONCATENATE("     ","Discounts and Markdowns                           ")</f>
        <v xml:space="preserve">     Discounts and Markdowns                           </v>
      </c>
      <c r="C54" s="13"/>
      <c r="D54" s="1">
        <f>SUM(OSRRefD22_6x_0)</f>
        <v>0</v>
      </c>
      <c r="E54" s="1"/>
      <c r="F54" s="5">
        <f t="shared" ref="F54:F73" si="39">IF(D$12=0,0,D54/D$12)</f>
        <v>0</v>
      </c>
      <c r="G54" s="1"/>
      <c r="H54" s="1">
        <f>SUM(OSRRefH22_6x_0)</f>
        <v>16.62</v>
      </c>
      <c r="I54" s="1"/>
      <c r="J54" s="5">
        <f t="shared" ref="J54:J73" si="40">IF(H$12=0,0,H54/H$12)</f>
        <v>7.9916409935600465E-5</v>
      </c>
      <c r="K54" s="1"/>
      <c r="L54" s="1">
        <f t="shared" ref="L54:L73" si="41">+D54-H54</f>
        <v>-16.62</v>
      </c>
      <c r="M54" s="1"/>
      <c r="N54" s="5">
        <f t="shared" ref="N54:N73" si="42">IF(H54=0,0,L54/H54)</f>
        <v>-1</v>
      </c>
      <c r="O54" s="13"/>
      <c r="P54" s="1">
        <f>SUM(OSRRefP22_6x_0)</f>
        <v>0</v>
      </c>
      <c r="Q54" s="1"/>
      <c r="R54" s="5">
        <f t="shared" ref="R54:R73" si="43">IF(P$12=0,0,P54/P$12)</f>
        <v>0</v>
      </c>
      <c r="S54" s="1"/>
      <c r="T54" s="1">
        <f>SUM(OSRRefT22_6x_0)</f>
        <v>76.37</v>
      </c>
      <c r="U54" s="1"/>
      <c r="V54" s="5">
        <f t="shared" ref="V54:V73" si="44">IF(T$12=0,0,T54/T$12)</f>
        <v>4.6945129743073251E-5</v>
      </c>
      <c r="W54" s="1"/>
      <c r="X54" s="1">
        <f t="shared" ref="X54:X73" si="45">+P54-T54</f>
        <v>-76.37</v>
      </c>
      <c r="Y54" s="1"/>
      <c r="Z54" s="5">
        <f t="shared" ref="Z54:Z73" si="46">IF(T54=0,0,X54/T54)</f>
        <v>-1</v>
      </c>
    </row>
    <row r="55" spans="1:26" s="24" customFormat="1" hidden="1" outlineLevel="2" x14ac:dyDescent="0.25">
      <c r="A55" s="27"/>
      <c r="B55" s="11" t="str">
        <f>CONCATENATE("          ", "6382", " - ", "DISCOUNTS/MARK DOWNS")</f>
        <v xml:space="preserve">          6382 - DISCOUNTS/MARK DOWNS</v>
      </c>
      <c r="C55" s="11"/>
      <c r="D55" s="7"/>
      <c r="E55" s="2"/>
      <c r="F55" s="6">
        <f t="shared" si="39"/>
        <v>0</v>
      </c>
      <c r="G55" s="2"/>
      <c r="H55" s="7">
        <v>16.62</v>
      </c>
      <c r="I55" s="2"/>
      <c r="J55" s="6">
        <f t="shared" si="40"/>
        <v>7.9916409935600465E-5</v>
      </c>
      <c r="K55" s="2"/>
      <c r="L55" s="7">
        <f t="shared" si="41"/>
        <v>-16.62</v>
      </c>
      <c r="M55" s="2"/>
      <c r="N55" s="6">
        <f t="shared" si="42"/>
        <v>-1</v>
      </c>
      <c r="O55" s="11"/>
      <c r="P55" s="7"/>
      <c r="Q55" s="2"/>
      <c r="R55" s="6">
        <f t="shared" si="43"/>
        <v>0</v>
      </c>
      <c r="S55" s="2"/>
      <c r="T55" s="7">
        <v>76.37</v>
      </c>
      <c r="U55" s="2"/>
      <c r="V55" s="6">
        <f t="shared" si="44"/>
        <v>4.6945129743073251E-5</v>
      </c>
      <c r="W55" s="2"/>
      <c r="X55" s="7">
        <f t="shared" si="45"/>
        <v>-76.37</v>
      </c>
      <c r="Y55" s="2"/>
      <c r="Z55" s="6">
        <f t="shared" si="46"/>
        <v>-1</v>
      </c>
    </row>
    <row r="56" spans="1:26" s="25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SUM(OSRRefD22_7x_0)</f>
        <v>0</v>
      </c>
      <c r="E56" s="1"/>
      <c r="F56" s="5">
        <f t="shared" si="39"/>
        <v>0</v>
      </c>
      <c r="G56" s="1"/>
      <c r="H56" s="1">
        <f>SUM(OSRRefH22_7x_0)</f>
        <v>34.979999999999997</v>
      </c>
      <c r="I56" s="1"/>
      <c r="J56" s="5">
        <f t="shared" si="40"/>
        <v>1.6819951982835761E-4</v>
      </c>
      <c r="K56" s="1"/>
      <c r="L56" s="1">
        <f t="shared" si="41"/>
        <v>-34.979999999999997</v>
      </c>
      <c r="M56" s="1"/>
      <c r="N56" s="5">
        <f t="shared" si="42"/>
        <v>-1</v>
      </c>
      <c r="O56" s="13"/>
      <c r="P56" s="1">
        <f>SUM(OSRRefP22_7x_0)</f>
        <v>0</v>
      </c>
      <c r="Q56" s="1"/>
      <c r="R56" s="5">
        <f t="shared" si="43"/>
        <v>0</v>
      </c>
      <c r="S56" s="1"/>
      <c r="T56" s="1">
        <f>SUM(OSRRefT22_7x_0)</f>
        <v>96.92</v>
      </c>
      <c r="U56" s="1"/>
      <c r="V56" s="5">
        <f t="shared" si="44"/>
        <v>5.9577346794535284E-5</v>
      </c>
      <c r="W56" s="1"/>
      <c r="X56" s="1">
        <f t="shared" si="45"/>
        <v>-96.92</v>
      </c>
      <c r="Y56" s="1"/>
      <c r="Z56" s="5">
        <f t="shared" si="46"/>
        <v>-1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9"/>
        <v>0</v>
      </c>
      <c r="G57" s="2"/>
      <c r="H57" s="7">
        <v>34.979999999999997</v>
      </c>
      <c r="I57" s="2"/>
      <c r="J57" s="6">
        <f t="shared" si="40"/>
        <v>1.6819951982835761E-4</v>
      </c>
      <c r="K57" s="2"/>
      <c r="L57" s="7">
        <f t="shared" si="41"/>
        <v>-34.979999999999997</v>
      </c>
      <c r="M57" s="2"/>
      <c r="N57" s="6">
        <f t="shared" si="42"/>
        <v>-1</v>
      </c>
      <c r="O57" s="11"/>
      <c r="P57" s="7"/>
      <c r="Q57" s="2"/>
      <c r="R57" s="6">
        <f t="shared" si="43"/>
        <v>0</v>
      </c>
      <c r="S57" s="2"/>
      <c r="T57" s="7">
        <v>96.92</v>
      </c>
      <c r="U57" s="2"/>
      <c r="V57" s="6">
        <f t="shared" si="44"/>
        <v>5.9577346794535284E-5</v>
      </c>
      <c r="W57" s="2"/>
      <c r="X57" s="7">
        <f t="shared" si="45"/>
        <v>-96.92</v>
      </c>
      <c r="Y57" s="2"/>
      <c r="Z57" s="6">
        <f t="shared" si="46"/>
        <v>-1</v>
      </c>
    </row>
    <row r="58" spans="1:26" s="25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SUM(OSRRefD22_8x_0)</f>
        <v>88.15</v>
      </c>
      <c r="E58" s="1"/>
      <c r="F58" s="5">
        <f t="shared" si="39"/>
        <v>0</v>
      </c>
      <c r="G58" s="1"/>
      <c r="H58" s="1">
        <f>SUM(OSRRefH22_8x_0)</f>
        <v>107.04</v>
      </c>
      <c r="I58" s="1"/>
      <c r="J58" s="5">
        <f t="shared" si="40"/>
        <v>5.1469630081267591E-4</v>
      </c>
      <c r="K58" s="1"/>
      <c r="L58" s="1">
        <f t="shared" si="41"/>
        <v>-18.89</v>
      </c>
      <c r="M58" s="1"/>
      <c r="N58" s="5">
        <f t="shared" si="42"/>
        <v>-0.17647608370702542</v>
      </c>
      <c r="O58" s="13"/>
      <c r="P58" s="1">
        <f>SUM(OSRRefP22_8x_0)</f>
        <v>88.15</v>
      </c>
      <c r="Q58" s="1"/>
      <c r="R58" s="5">
        <f t="shared" si="43"/>
        <v>3.4081199472640315E-2</v>
      </c>
      <c r="S58" s="1"/>
      <c r="T58" s="1">
        <f>SUM(OSRRefT22_8x_0)</f>
        <v>680.97</v>
      </c>
      <c r="U58" s="1"/>
      <c r="V58" s="5">
        <f t="shared" si="44"/>
        <v>4.1859663481917761E-4</v>
      </c>
      <c r="W58" s="1"/>
      <c r="X58" s="1">
        <f t="shared" si="45"/>
        <v>-592.82000000000005</v>
      </c>
      <c r="Y58" s="1"/>
      <c r="Z58" s="5">
        <f t="shared" si="46"/>
        <v>-0.87055230039502474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7">
        <v>88.15</v>
      </c>
      <c r="E59" s="2"/>
      <c r="F59" s="6">
        <f t="shared" si="39"/>
        <v>0</v>
      </c>
      <c r="G59" s="2"/>
      <c r="H59" s="7">
        <v>107.04</v>
      </c>
      <c r="I59" s="2"/>
      <c r="J59" s="6">
        <f t="shared" si="40"/>
        <v>5.1469630081267591E-4</v>
      </c>
      <c r="K59" s="2"/>
      <c r="L59" s="7">
        <f t="shared" si="41"/>
        <v>-18.89</v>
      </c>
      <c r="M59" s="2"/>
      <c r="N59" s="6">
        <f t="shared" si="42"/>
        <v>-0.17647608370702542</v>
      </c>
      <c r="O59" s="11"/>
      <c r="P59" s="7">
        <v>88.15</v>
      </c>
      <c r="Q59" s="2"/>
      <c r="R59" s="6">
        <f t="shared" si="43"/>
        <v>3.4081199472640315E-2</v>
      </c>
      <c r="S59" s="2"/>
      <c r="T59" s="7">
        <v>680.97</v>
      </c>
      <c r="U59" s="2"/>
      <c r="V59" s="6">
        <f t="shared" si="44"/>
        <v>4.1859663481917761E-4</v>
      </c>
      <c r="W59" s="2"/>
      <c r="X59" s="7">
        <f t="shared" si="45"/>
        <v>-592.82000000000005</v>
      </c>
      <c r="Y59" s="2"/>
      <c r="Z59" s="6">
        <f t="shared" si="46"/>
        <v>-0.87055230039502474</v>
      </c>
    </row>
    <row r="60" spans="1:26" s="25" customFormat="1" outlineLevel="1" collapsed="1" x14ac:dyDescent="0.25">
      <c r="A60" s="26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SUM(OSRRefD22_9x_0)</f>
        <v>3.93</v>
      </c>
      <c r="E60" s="1"/>
      <c r="F60" s="5">
        <f t="shared" si="39"/>
        <v>0</v>
      </c>
      <c r="G60" s="1"/>
      <c r="H60" s="1">
        <f>SUM(OSRRefH22_9x_0)</f>
        <v>37.380000000000003</v>
      </c>
      <c r="I60" s="1"/>
      <c r="J60" s="5">
        <f t="shared" si="40"/>
        <v>1.7973979563133246E-4</v>
      </c>
      <c r="K60" s="1"/>
      <c r="L60" s="1">
        <f t="shared" si="41"/>
        <v>-33.450000000000003</v>
      </c>
      <c r="M60" s="1"/>
      <c r="N60" s="5">
        <f t="shared" si="42"/>
        <v>-0.89486356340288931</v>
      </c>
      <c r="O60" s="13"/>
      <c r="P60" s="1">
        <f>SUM(OSRRefP22_9x_0)</f>
        <v>109.26</v>
      </c>
      <c r="Q60" s="1"/>
      <c r="R60" s="5">
        <f t="shared" si="43"/>
        <v>4.2242902488720147E-2</v>
      </c>
      <c r="S60" s="1"/>
      <c r="T60" s="1">
        <f>SUM(OSRRefT22_9x_0)</f>
        <v>225.99</v>
      </c>
      <c r="U60" s="1"/>
      <c r="V60" s="5">
        <f t="shared" si="44"/>
        <v>1.3891750518053064E-4</v>
      </c>
      <c r="W60" s="1"/>
      <c r="X60" s="1">
        <f t="shared" si="45"/>
        <v>-116.73</v>
      </c>
      <c r="Y60" s="1"/>
      <c r="Z60" s="5">
        <f t="shared" si="46"/>
        <v>-0.51652727996814018</v>
      </c>
    </row>
    <row r="61" spans="1:26" s="24" customFormat="1" hidden="1" outlineLevel="2" x14ac:dyDescent="0.25">
      <c r="A61" s="27"/>
      <c r="B61" s="11" t="str">
        <f>CONCATENATE("          ", "6305", " - ", "FREIGHT OUT")</f>
        <v xml:space="preserve">          6305 - FREIGHT OUT</v>
      </c>
      <c r="C61" s="11"/>
      <c r="D61" s="7">
        <v>3.93</v>
      </c>
      <c r="E61" s="2"/>
      <c r="F61" s="6">
        <f t="shared" si="39"/>
        <v>0</v>
      </c>
      <c r="G61" s="2"/>
      <c r="H61" s="7">
        <v>37.380000000000003</v>
      </c>
      <c r="I61" s="2"/>
      <c r="J61" s="6">
        <f t="shared" si="40"/>
        <v>1.7973979563133246E-4</v>
      </c>
      <c r="K61" s="2"/>
      <c r="L61" s="7">
        <f t="shared" si="41"/>
        <v>-33.450000000000003</v>
      </c>
      <c r="M61" s="2"/>
      <c r="N61" s="6">
        <f t="shared" si="42"/>
        <v>-0.89486356340288931</v>
      </c>
      <c r="O61" s="11"/>
      <c r="P61" s="7">
        <v>109.26</v>
      </c>
      <c r="Q61" s="2"/>
      <c r="R61" s="6">
        <f t="shared" si="43"/>
        <v>4.2242902488720147E-2</v>
      </c>
      <c r="S61" s="2"/>
      <c r="T61" s="7">
        <v>225.99</v>
      </c>
      <c r="U61" s="2"/>
      <c r="V61" s="6">
        <f t="shared" si="44"/>
        <v>1.3891750518053064E-4</v>
      </c>
      <c r="W61" s="2"/>
      <c r="X61" s="7">
        <f t="shared" si="45"/>
        <v>-116.73</v>
      </c>
      <c r="Y61" s="2"/>
      <c r="Z61" s="6">
        <f t="shared" si="46"/>
        <v>-0.51652727996814018</v>
      </c>
    </row>
    <row r="62" spans="1:26" s="25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SUM(OSRRefD22_10x_0)</f>
        <v>1286.3800000000001</v>
      </c>
      <c r="E62" s="1"/>
      <c r="F62" s="5">
        <f t="shared" si="39"/>
        <v>0</v>
      </c>
      <c r="G62" s="1"/>
      <c r="H62" s="1">
        <f>SUM(OSRRefH22_10x_0)</f>
        <v>865.95</v>
      </c>
      <c r="I62" s="1"/>
      <c r="J62" s="5">
        <f t="shared" si="40"/>
        <v>4.1638757631608436E-3</v>
      </c>
      <c r="K62" s="1"/>
      <c r="L62" s="1">
        <f t="shared" si="41"/>
        <v>420.43000000000006</v>
      </c>
      <c r="M62" s="1"/>
      <c r="N62" s="5">
        <f t="shared" si="42"/>
        <v>0.4855130203822392</v>
      </c>
      <c r="O62" s="13"/>
      <c r="P62" s="1">
        <f>SUM(OSRRefP22_10x_0)</f>
        <v>3210.48</v>
      </c>
      <c r="Q62" s="1"/>
      <c r="R62" s="5">
        <f t="shared" si="43"/>
        <v>1.2412593225515856</v>
      </c>
      <c r="S62" s="1"/>
      <c r="T62" s="1">
        <f>SUM(OSRRefT22_10x_0)</f>
        <v>6829.14</v>
      </c>
      <c r="U62" s="1"/>
      <c r="V62" s="5">
        <f t="shared" si="44"/>
        <v>4.1979162411105312E-3</v>
      </c>
      <c r="W62" s="1"/>
      <c r="X62" s="1">
        <f t="shared" si="45"/>
        <v>-3618.6600000000003</v>
      </c>
      <c r="Y62" s="1"/>
      <c r="Z62" s="5">
        <f t="shared" si="46"/>
        <v>-0.52988516855709511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7">
        <v>1286.3800000000001</v>
      </c>
      <c r="E63" s="2"/>
      <c r="F63" s="6">
        <f t="shared" si="39"/>
        <v>0</v>
      </c>
      <c r="G63" s="2"/>
      <c r="H63" s="7">
        <v>865.95</v>
      </c>
      <c r="I63" s="2"/>
      <c r="J63" s="6">
        <f t="shared" si="40"/>
        <v>4.1638757631608436E-3</v>
      </c>
      <c r="K63" s="2"/>
      <c r="L63" s="7">
        <f t="shared" si="41"/>
        <v>420.43000000000006</v>
      </c>
      <c r="M63" s="2"/>
      <c r="N63" s="6">
        <f t="shared" si="42"/>
        <v>0.4855130203822392</v>
      </c>
      <c r="O63" s="11"/>
      <c r="P63" s="7">
        <v>3210.48</v>
      </c>
      <c r="Q63" s="2"/>
      <c r="R63" s="6">
        <f t="shared" si="43"/>
        <v>1.2412593225515856</v>
      </c>
      <c r="S63" s="2"/>
      <c r="T63" s="7">
        <v>6829.14</v>
      </c>
      <c r="U63" s="2"/>
      <c r="V63" s="6">
        <f t="shared" si="44"/>
        <v>4.1979162411105312E-3</v>
      </c>
      <c r="W63" s="2"/>
      <c r="X63" s="7">
        <f t="shared" si="45"/>
        <v>-3618.6600000000003</v>
      </c>
      <c r="Y63" s="2"/>
      <c r="Z63" s="6">
        <f t="shared" si="46"/>
        <v>-0.52988516855709511</v>
      </c>
    </row>
    <row r="64" spans="1:26" s="25" customFormat="1" outlineLevel="1" collapsed="1" x14ac:dyDescent="0.25">
      <c r="A64" s="26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SUM(OSRRefD22_11x_0)</f>
        <v>243.54</v>
      </c>
      <c r="E64" s="1"/>
      <c r="F64" s="5">
        <f t="shared" si="39"/>
        <v>0</v>
      </c>
      <c r="G64" s="1"/>
      <c r="H64" s="1">
        <f>SUM(OSRRefH22_11x_0)</f>
        <v>243.54</v>
      </c>
      <c r="I64" s="1"/>
      <c r="J64" s="5">
        <f t="shared" si="40"/>
        <v>1.1710494871068674E-3</v>
      </c>
      <c r="K64" s="1"/>
      <c r="L64" s="1">
        <f t="shared" si="41"/>
        <v>0</v>
      </c>
      <c r="M64" s="1"/>
      <c r="N64" s="5">
        <f t="shared" si="42"/>
        <v>0</v>
      </c>
      <c r="O64" s="13"/>
      <c r="P64" s="1">
        <f>SUM(OSRRefP22_11x_0)</f>
        <v>1461.24</v>
      </c>
      <c r="Q64" s="1"/>
      <c r="R64" s="5">
        <f t="shared" si="43"/>
        <v>0.56495532521158176</v>
      </c>
      <c r="S64" s="1"/>
      <c r="T64" s="1">
        <f>SUM(OSRRefT22_11x_0)</f>
        <v>1461.24</v>
      </c>
      <c r="U64" s="1"/>
      <c r="V64" s="5">
        <f t="shared" si="44"/>
        <v>8.9823361772644174E-4</v>
      </c>
      <c r="W64" s="1"/>
      <c r="X64" s="1">
        <f t="shared" si="45"/>
        <v>0</v>
      </c>
      <c r="Y64" s="1"/>
      <c r="Z64" s="5">
        <f t="shared" si="46"/>
        <v>0</v>
      </c>
    </row>
    <row r="65" spans="1:26" s="24" customFormat="1" hidden="1" outlineLevel="2" x14ac:dyDescent="0.25">
      <c r="A65" s="27"/>
      <c r="B65" s="11" t="str">
        <f>CONCATENATE("          ", "6314", " - ", "LIABILITY INSURANCE")</f>
        <v xml:space="preserve">          6314 - LIABILITY INSURANCE</v>
      </c>
      <c r="C65" s="11"/>
      <c r="D65" s="7">
        <v>243.54</v>
      </c>
      <c r="E65" s="2"/>
      <c r="F65" s="6">
        <f t="shared" si="39"/>
        <v>0</v>
      </c>
      <c r="G65" s="2"/>
      <c r="H65" s="7">
        <v>243.54</v>
      </c>
      <c r="I65" s="2"/>
      <c r="J65" s="6">
        <f t="shared" si="40"/>
        <v>1.1710494871068674E-3</v>
      </c>
      <c r="K65" s="2"/>
      <c r="L65" s="7">
        <f t="shared" si="41"/>
        <v>0</v>
      </c>
      <c r="M65" s="2"/>
      <c r="N65" s="6">
        <f t="shared" si="42"/>
        <v>0</v>
      </c>
      <c r="O65" s="11"/>
      <c r="P65" s="7">
        <v>1461.24</v>
      </c>
      <c r="Q65" s="2"/>
      <c r="R65" s="6">
        <f t="shared" si="43"/>
        <v>0.56495532521158176</v>
      </c>
      <c r="S65" s="2"/>
      <c r="T65" s="7">
        <v>1461.24</v>
      </c>
      <c r="U65" s="2"/>
      <c r="V65" s="6">
        <f t="shared" si="44"/>
        <v>8.9823361772644174E-4</v>
      </c>
      <c r="W65" s="2"/>
      <c r="X65" s="7">
        <f t="shared" si="45"/>
        <v>0</v>
      </c>
      <c r="Y65" s="2"/>
      <c r="Z65" s="6">
        <f t="shared" si="46"/>
        <v>0</v>
      </c>
    </row>
    <row r="66" spans="1:26" s="25" customFormat="1" outlineLevel="1" collapsed="1" x14ac:dyDescent="0.25">
      <c r="A66" s="26"/>
      <c r="B66" s="13" t="str">
        <f>CONCATENATE("     ","Interest                                          ")</f>
        <v xml:space="preserve">     Interest                                          </v>
      </c>
      <c r="C66" s="13"/>
      <c r="D66" s="1">
        <f>SUM(OSRRefD22_12x_0)</f>
        <v>4044</v>
      </c>
      <c r="E66" s="1"/>
      <c r="F66" s="5">
        <f t="shared" si="39"/>
        <v>0</v>
      </c>
      <c r="G66" s="1"/>
      <c r="H66" s="1">
        <f>SUM(OSRRefH22_12x_0)</f>
        <v>4175</v>
      </c>
      <c r="I66" s="1"/>
      <c r="J66" s="5">
        <f t="shared" si="40"/>
        <v>2.0075271448924903E-2</v>
      </c>
      <c r="K66" s="1"/>
      <c r="L66" s="1">
        <f t="shared" si="41"/>
        <v>-131</v>
      </c>
      <c r="M66" s="1"/>
      <c r="N66" s="5">
        <f t="shared" si="42"/>
        <v>-3.1377245508982035E-2</v>
      </c>
      <c r="O66" s="13"/>
      <c r="P66" s="1">
        <f>SUM(OSRRefP22_12x_0)</f>
        <v>24001.85</v>
      </c>
      <c r="Q66" s="1"/>
      <c r="R66" s="5">
        <f t="shared" si="43"/>
        <v>9.2797712712693343</v>
      </c>
      <c r="S66" s="1"/>
      <c r="T66" s="1">
        <f>SUM(OSRRefT22_12x_0)</f>
        <v>24843.95</v>
      </c>
      <c r="U66" s="1"/>
      <c r="V66" s="5">
        <f t="shared" si="44"/>
        <v>1.5271735708791733E-2</v>
      </c>
      <c r="W66" s="1"/>
      <c r="X66" s="1">
        <f t="shared" si="45"/>
        <v>-842.10000000000218</v>
      </c>
      <c r="Y66" s="1"/>
      <c r="Z66" s="5">
        <f t="shared" si="46"/>
        <v>-3.3895576186556572E-2</v>
      </c>
    </row>
    <row r="67" spans="1:26" s="24" customFormat="1" hidden="1" outlineLevel="2" x14ac:dyDescent="0.25">
      <c r="A67" s="27"/>
      <c r="B67" s="11" t="str">
        <f>CONCATENATE("          ", "6401", " - ", "INTEREST EXPENSE")</f>
        <v xml:space="preserve">          6401 - INTEREST EXPENSE</v>
      </c>
      <c r="C67" s="11"/>
      <c r="D67" s="7">
        <v>4044</v>
      </c>
      <c r="E67" s="2"/>
      <c r="F67" s="6">
        <f t="shared" si="39"/>
        <v>0</v>
      </c>
      <c r="G67" s="2"/>
      <c r="H67" s="7">
        <v>4175</v>
      </c>
      <c r="I67" s="2"/>
      <c r="J67" s="6">
        <f t="shared" si="40"/>
        <v>2.0075271448924903E-2</v>
      </c>
      <c r="K67" s="2"/>
      <c r="L67" s="7">
        <f t="shared" si="41"/>
        <v>-131</v>
      </c>
      <c r="M67" s="2"/>
      <c r="N67" s="6">
        <f t="shared" si="42"/>
        <v>-3.1377245508982035E-2</v>
      </c>
      <c r="O67" s="11"/>
      <c r="P67" s="7">
        <v>24001.85</v>
      </c>
      <c r="Q67" s="2"/>
      <c r="R67" s="6">
        <f t="shared" si="43"/>
        <v>9.2797712712693343</v>
      </c>
      <c r="S67" s="2"/>
      <c r="T67" s="7">
        <v>24843.95</v>
      </c>
      <c r="U67" s="2"/>
      <c r="V67" s="6">
        <f t="shared" si="44"/>
        <v>1.5271735708791733E-2</v>
      </c>
      <c r="W67" s="2"/>
      <c r="X67" s="7">
        <f t="shared" si="45"/>
        <v>-842.10000000000218</v>
      </c>
      <c r="Y67" s="2"/>
      <c r="Z67" s="6">
        <f t="shared" si="46"/>
        <v>-3.3895576186556572E-2</v>
      </c>
    </row>
    <row r="68" spans="1:26" s="25" customFormat="1" outlineLevel="1" collapsed="1" x14ac:dyDescent="0.25">
      <c r="A68" s="26"/>
      <c r="B68" s="13" t="str">
        <f>CONCATENATE("     ","Rent                                              ")</f>
        <v xml:space="preserve">     Rent                                              </v>
      </c>
      <c r="C68" s="13"/>
      <c r="D68" s="1">
        <f>SUM(OSRRefD22_13x_0)</f>
        <v>0</v>
      </c>
      <c r="E68" s="1"/>
      <c r="F68" s="5">
        <f t="shared" si="39"/>
        <v>0</v>
      </c>
      <c r="G68" s="1"/>
      <c r="H68" s="1">
        <f>SUM(OSRRefH22_13x_0)</f>
        <v>1150</v>
      </c>
      <c r="I68" s="1"/>
      <c r="J68" s="5">
        <f t="shared" si="40"/>
        <v>5.5297154889254229E-3</v>
      </c>
      <c r="K68" s="1"/>
      <c r="L68" s="1">
        <f t="shared" si="41"/>
        <v>-1150</v>
      </c>
      <c r="M68" s="1"/>
      <c r="N68" s="5">
        <f t="shared" si="42"/>
        <v>-1</v>
      </c>
      <c r="O68" s="13"/>
      <c r="P68" s="1">
        <f>SUM(OSRRefP22_13x_0)</f>
        <v>0</v>
      </c>
      <c r="Q68" s="1"/>
      <c r="R68" s="5">
        <f t="shared" si="43"/>
        <v>0</v>
      </c>
      <c r="S68" s="1"/>
      <c r="T68" s="1">
        <f>SUM(OSRRefT22_13x_0)</f>
        <v>6900</v>
      </c>
      <c r="U68" s="1"/>
      <c r="V68" s="5">
        <f t="shared" si="44"/>
        <v>4.2414743384471048E-3</v>
      </c>
      <c r="W68" s="1"/>
      <c r="X68" s="1">
        <f t="shared" si="45"/>
        <v>-6900</v>
      </c>
      <c r="Y68" s="1"/>
      <c r="Z68" s="5">
        <f t="shared" si="46"/>
        <v>-1</v>
      </c>
    </row>
    <row r="69" spans="1:26" s="24" customFormat="1" hidden="1" outlineLevel="2" x14ac:dyDescent="0.25">
      <c r="A69" s="27"/>
      <c r="B69" s="11" t="str">
        <f>CONCATENATE("          ", "6273", " - ", "RENT")</f>
        <v xml:space="preserve">          6273 - RENT</v>
      </c>
      <c r="C69" s="11"/>
      <c r="D69" s="7"/>
      <c r="E69" s="2"/>
      <c r="F69" s="6">
        <f t="shared" si="39"/>
        <v>0</v>
      </c>
      <c r="G69" s="2"/>
      <c r="H69" s="7">
        <v>1150</v>
      </c>
      <c r="I69" s="2"/>
      <c r="J69" s="6">
        <f t="shared" si="40"/>
        <v>5.5297154889254229E-3</v>
      </c>
      <c r="K69" s="2"/>
      <c r="L69" s="7">
        <f t="shared" si="41"/>
        <v>-1150</v>
      </c>
      <c r="M69" s="2"/>
      <c r="N69" s="6">
        <f t="shared" si="42"/>
        <v>-1</v>
      </c>
      <c r="O69" s="11"/>
      <c r="P69" s="7"/>
      <c r="Q69" s="2"/>
      <c r="R69" s="6">
        <f t="shared" si="43"/>
        <v>0</v>
      </c>
      <c r="S69" s="2"/>
      <c r="T69" s="7">
        <v>6900</v>
      </c>
      <c r="U69" s="2"/>
      <c r="V69" s="6">
        <f t="shared" si="44"/>
        <v>4.2414743384471048E-3</v>
      </c>
      <c r="W69" s="2"/>
      <c r="X69" s="7">
        <f t="shared" si="45"/>
        <v>-6900</v>
      </c>
      <c r="Y69" s="2"/>
      <c r="Z69" s="6">
        <f t="shared" si="46"/>
        <v>-1</v>
      </c>
    </row>
    <row r="70" spans="1:26" s="25" customFormat="1" outlineLevel="1" collapsed="1" x14ac:dyDescent="0.25">
      <c r="A70" s="26"/>
      <c r="B70" s="13" t="str">
        <f>CONCATENATE("     ","Repair and Maintenance                            ")</f>
        <v xml:space="preserve">     Repair and Maintenance                            </v>
      </c>
      <c r="C70" s="13"/>
      <c r="D70" s="1">
        <f>SUM(OSRRefD22_14x_0)</f>
        <v>301.45</v>
      </c>
      <c r="E70" s="1"/>
      <c r="F70" s="5">
        <f t="shared" si="39"/>
        <v>0</v>
      </c>
      <c r="G70" s="1"/>
      <c r="H70" s="1">
        <f>SUM(OSRRefH22_14x_0)</f>
        <v>3217.07</v>
      </c>
      <c r="I70" s="1"/>
      <c r="J70" s="5">
        <f t="shared" si="40"/>
        <v>1.5469114615615053E-2</v>
      </c>
      <c r="K70" s="1"/>
      <c r="L70" s="1">
        <f t="shared" si="41"/>
        <v>-2915.6200000000003</v>
      </c>
      <c r="M70" s="1"/>
      <c r="N70" s="5">
        <f t="shared" si="42"/>
        <v>-0.90629672341602774</v>
      </c>
      <c r="O70" s="13"/>
      <c r="P70" s="1">
        <f>SUM(OSRRefP22_14x_0)</f>
        <v>2291.85</v>
      </c>
      <c r="Q70" s="1"/>
      <c r="R70" s="5">
        <f t="shared" si="43"/>
        <v>0.88609185492195919</v>
      </c>
      <c r="S70" s="1"/>
      <c r="T70" s="1">
        <f>SUM(OSRRefT22_14x_0)</f>
        <v>14386.27</v>
      </c>
      <c r="U70" s="1"/>
      <c r="V70" s="5">
        <f t="shared" si="44"/>
        <v>8.8433326131842661E-3</v>
      </c>
      <c r="W70" s="1"/>
      <c r="X70" s="1">
        <f t="shared" si="45"/>
        <v>-12094.42</v>
      </c>
      <c r="Y70" s="1"/>
      <c r="Z70" s="5">
        <f t="shared" si="46"/>
        <v>-0.84069185410811831</v>
      </c>
    </row>
    <row r="71" spans="1:26" s="24" customFormat="1" hidden="1" outlineLevel="2" x14ac:dyDescent="0.25">
      <c r="A71" s="27"/>
      <c r="B71" s="11" t="str">
        <f>CONCATENATE("          ", "6371", " - ", "COMPUTER SOFTWARE MAINTENANCE")</f>
        <v xml:space="preserve">          6371 - COMPUTER SOFTWARE MAINTENANCE</v>
      </c>
      <c r="C71" s="11"/>
      <c r="D71" s="7"/>
      <c r="E71" s="2"/>
      <c r="F71" s="6">
        <f t="shared" si="39"/>
        <v>0</v>
      </c>
      <c r="G71" s="2"/>
      <c r="H71" s="7"/>
      <c r="I71" s="2"/>
      <c r="J71" s="6">
        <f t="shared" si="40"/>
        <v>0</v>
      </c>
      <c r="K71" s="2"/>
      <c r="L71" s="7">
        <f t="shared" si="41"/>
        <v>0</v>
      </c>
      <c r="M71" s="2"/>
      <c r="N71" s="6">
        <f t="shared" si="42"/>
        <v>0</v>
      </c>
      <c r="O71" s="11"/>
      <c r="P71" s="7"/>
      <c r="Q71" s="2"/>
      <c r="R71" s="6">
        <f t="shared" si="43"/>
        <v>0</v>
      </c>
      <c r="S71" s="2"/>
      <c r="T71" s="7">
        <v>1311.93</v>
      </c>
      <c r="U71" s="2"/>
      <c r="V71" s="6">
        <f t="shared" si="44"/>
        <v>8.0645180128100164E-4</v>
      </c>
      <c r="W71" s="2"/>
      <c r="X71" s="7">
        <f t="shared" si="45"/>
        <v>-1311.93</v>
      </c>
      <c r="Y71" s="2"/>
      <c r="Z71" s="6">
        <f t="shared" si="46"/>
        <v>-1</v>
      </c>
    </row>
    <row r="72" spans="1:26" s="24" customFormat="1" hidden="1" outlineLevel="2" x14ac:dyDescent="0.25">
      <c r="A72" s="27"/>
      <c r="B72" s="11" t="str">
        <f>CONCATENATE("          ", "6373", " - ", "MAINTENANCE CONTRACTS")</f>
        <v xml:space="preserve">          6373 - MAINTENANCE CONTRACTS</v>
      </c>
      <c r="C72" s="11"/>
      <c r="D72" s="7">
        <v>301.45</v>
      </c>
      <c r="E72" s="2"/>
      <c r="F72" s="6">
        <f t="shared" si="39"/>
        <v>0</v>
      </c>
      <c r="G72" s="2"/>
      <c r="H72" s="7">
        <v>297.3</v>
      </c>
      <c r="I72" s="2"/>
      <c r="J72" s="6">
        <f t="shared" si="40"/>
        <v>1.4295516650935029E-3</v>
      </c>
      <c r="K72" s="2"/>
      <c r="L72" s="7">
        <f t="shared" si="41"/>
        <v>4.1499999999999773</v>
      </c>
      <c r="M72" s="2"/>
      <c r="N72" s="6">
        <f t="shared" si="42"/>
        <v>1.3958964009418019E-2</v>
      </c>
      <c r="O72" s="11"/>
      <c r="P72" s="7">
        <v>956.6</v>
      </c>
      <c r="Q72" s="2"/>
      <c r="R72" s="6">
        <f t="shared" si="43"/>
        <v>0.36984770749322432</v>
      </c>
      <c r="S72" s="2"/>
      <c r="T72" s="7">
        <v>582.62</v>
      </c>
      <c r="U72" s="2"/>
      <c r="V72" s="6">
        <f t="shared" si="44"/>
        <v>3.5814025783565979E-4</v>
      </c>
      <c r="W72" s="2"/>
      <c r="X72" s="7">
        <f t="shared" si="45"/>
        <v>373.98</v>
      </c>
      <c r="Y72" s="2"/>
      <c r="Z72" s="6">
        <f t="shared" si="46"/>
        <v>0.64189351549895302</v>
      </c>
    </row>
    <row r="73" spans="1:26" s="24" customFormat="1" hidden="1" outlineLevel="2" x14ac:dyDescent="0.25">
      <c r="A73" s="27"/>
      <c r="B73" s="11" t="str">
        <f>CONCATENATE("          ", "6375", " - ", "OUTSIDE REPAIRS &amp; MAINTENANCE")</f>
        <v xml:space="preserve">          6375 - OUTSIDE REPAIRS &amp; MAINTENANCE</v>
      </c>
      <c r="C73" s="11"/>
      <c r="D73" s="7"/>
      <c r="E73" s="2"/>
      <c r="F73" s="6">
        <f t="shared" si="39"/>
        <v>0</v>
      </c>
      <c r="G73" s="2"/>
      <c r="H73" s="7">
        <v>2919.77</v>
      </c>
      <c r="I73" s="2"/>
      <c r="J73" s="6">
        <f t="shared" si="40"/>
        <v>1.4039562950521549E-2</v>
      </c>
      <c r="K73" s="2"/>
      <c r="L73" s="7">
        <f t="shared" si="41"/>
        <v>-2919.77</v>
      </c>
      <c r="M73" s="2"/>
      <c r="N73" s="6">
        <f t="shared" si="42"/>
        <v>-1</v>
      </c>
      <c r="O73" s="11"/>
      <c r="P73" s="7">
        <v>1335.25</v>
      </c>
      <c r="Q73" s="2"/>
      <c r="R73" s="6">
        <f t="shared" si="43"/>
        <v>0.51624414742873481</v>
      </c>
      <c r="S73" s="2"/>
      <c r="T73" s="7">
        <v>12491.72</v>
      </c>
      <c r="U73" s="2"/>
      <c r="V73" s="6">
        <f t="shared" si="44"/>
        <v>7.6787405540676042E-3</v>
      </c>
      <c r="W73" s="2"/>
      <c r="X73" s="7">
        <f t="shared" si="45"/>
        <v>-11156.47</v>
      </c>
      <c r="Y73" s="2"/>
      <c r="Z73" s="6">
        <f t="shared" si="46"/>
        <v>-0.89310919553111978</v>
      </c>
    </row>
    <row r="74" spans="1:26" s="25" customFormat="1" outlineLevel="1" collapsed="1" x14ac:dyDescent="0.25">
      <c r="A74" s="26"/>
      <c r="B74" s="13" t="str">
        <f>CONCATENATE("     ","Royalty &amp; Commissions                             ")</f>
        <v xml:space="preserve">     Royalty &amp; Commissions                             </v>
      </c>
      <c r="C74" s="13"/>
      <c r="D74" s="1">
        <f>SUM(OSRRefD22_15x_0)</f>
        <v>0</v>
      </c>
      <c r="E74" s="1"/>
      <c r="F74" s="5">
        <f t="shared" ref="F74:F80" si="47">IF(D$12=0,0,D74/D$12)</f>
        <v>0</v>
      </c>
      <c r="G74" s="1"/>
      <c r="H74" s="1">
        <f>SUM(OSRRefH22_15x_0)</f>
        <v>9661.34</v>
      </c>
      <c r="I74" s="1"/>
      <c r="J74" s="5">
        <f t="shared" ref="J74:J80" si="48">IF(H$12=0,0,H74/H$12)</f>
        <v>4.6456053427630213E-2</v>
      </c>
      <c r="K74" s="1"/>
      <c r="L74" s="1">
        <f t="shared" ref="L74:L80" si="49">+D74-H74</f>
        <v>-9661.34</v>
      </c>
      <c r="M74" s="1"/>
      <c r="N74" s="5">
        <f t="shared" ref="N74:N80" si="50">IF(H74=0,0,L74/H74)</f>
        <v>-1</v>
      </c>
      <c r="O74" s="13"/>
      <c r="P74" s="1">
        <f>SUM(OSRRefP22_15x_0)</f>
        <v>185.7</v>
      </c>
      <c r="Q74" s="1"/>
      <c r="R74" s="5">
        <f t="shared" ref="R74:R80" si="51">IF(P$12=0,0,P74/P$12)</f>
        <v>7.1796695882805517E-2</v>
      </c>
      <c r="S74" s="1"/>
      <c r="T74" s="1">
        <f>SUM(OSRRefT22_15x_0)</f>
        <v>15334.79</v>
      </c>
      <c r="U74" s="1"/>
      <c r="V74" s="5">
        <f t="shared" ref="V74:V80" si="52">IF(T$12=0,0,T74/T$12)</f>
        <v>9.426393952242795E-3</v>
      </c>
      <c r="W74" s="1"/>
      <c r="X74" s="1">
        <f t="shared" ref="X74:X80" si="53">+P74-T74</f>
        <v>-15149.09</v>
      </c>
      <c r="Y74" s="1"/>
      <c r="Z74" s="5">
        <f t="shared" ref="Z74:Z80" si="54">IF(T74=0,0,X74/T74)</f>
        <v>-0.98789028085810104</v>
      </c>
    </row>
    <row r="75" spans="1:26" s="24" customFormat="1" hidden="1" outlineLevel="2" x14ac:dyDescent="0.25">
      <c r="A75" s="27"/>
      <c r="B75" s="11" t="str">
        <f>CONCATENATE("          ", "6254", " - ", "ROYALTY &amp; COMMISSIONS")</f>
        <v xml:space="preserve">          6254 - ROYALTY &amp; COMMISSIONS</v>
      </c>
      <c r="C75" s="11"/>
      <c r="D75" s="7"/>
      <c r="E75" s="2"/>
      <c r="F75" s="6">
        <f t="shared" si="47"/>
        <v>0</v>
      </c>
      <c r="G75" s="2"/>
      <c r="H75" s="7">
        <v>9661.34</v>
      </c>
      <c r="I75" s="2"/>
      <c r="J75" s="6">
        <f t="shared" si="48"/>
        <v>4.6456053427630213E-2</v>
      </c>
      <c r="K75" s="2"/>
      <c r="L75" s="7">
        <f t="shared" si="49"/>
        <v>-9661.34</v>
      </c>
      <c r="M75" s="2"/>
      <c r="N75" s="6">
        <f t="shared" si="50"/>
        <v>-1</v>
      </c>
      <c r="O75" s="11"/>
      <c r="P75" s="7">
        <v>185.7</v>
      </c>
      <c r="Q75" s="2"/>
      <c r="R75" s="6">
        <f t="shared" si="51"/>
        <v>7.1796695882805517E-2</v>
      </c>
      <c r="S75" s="2"/>
      <c r="T75" s="7">
        <v>15334.79</v>
      </c>
      <c r="U75" s="2"/>
      <c r="V75" s="6">
        <f t="shared" si="52"/>
        <v>9.426393952242795E-3</v>
      </c>
      <c r="W75" s="2"/>
      <c r="X75" s="7">
        <f t="shared" si="53"/>
        <v>-15149.09</v>
      </c>
      <c r="Y75" s="2"/>
      <c r="Z75" s="6">
        <f t="shared" si="54"/>
        <v>-0.98789028085810104</v>
      </c>
    </row>
    <row r="76" spans="1:26" s="25" customFormat="1" outlineLevel="1" collapsed="1" x14ac:dyDescent="0.25">
      <c r="A76" s="26"/>
      <c r="B76" s="13" t="str">
        <f>CONCATENATE("     ","Services                                          ")</f>
        <v xml:space="preserve">     Services                                          </v>
      </c>
      <c r="C76" s="13"/>
      <c r="D76" s="1">
        <f>SUM(OSRRefD22_16x_0)</f>
        <v>998.65</v>
      </c>
      <c r="E76" s="1"/>
      <c r="F76" s="5">
        <f t="shared" si="47"/>
        <v>0</v>
      </c>
      <c r="G76" s="1"/>
      <c r="H76" s="1">
        <f>SUM(OSRRefH22_16x_0)</f>
        <v>2711.3599999999997</v>
      </c>
      <c r="I76" s="1"/>
      <c r="J76" s="5">
        <f t="shared" si="48"/>
        <v>1.3037434250480723E-2</v>
      </c>
      <c r="K76" s="1"/>
      <c r="L76" s="1">
        <f t="shared" si="49"/>
        <v>-1712.7099999999996</v>
      </c>
      <c r="M76" s="1"/>
      <c r="N76" s="5">
        <f t="shared" si="50"/>
        <v>-0.63167930485070212</v>
      </c>
      <c r="O76" s="13"/>
      <c r="P76" s="1">
        <f>SUM(OSRRefP22_16x_0)</f>
        <v>353.89</v>
      </c>
      <c r="Q76" s="1"/>
      <c r="R76" s="5">
        <f t="shared" si="51"/>
        <v>0.13682354715113648</v>
      </c>
      <c r="S76" s="1"/>
      <c r="T76" s="1">
        <f>SUM(OSRRefT22_16x_0)</f>
        <v>10796.35</v>
      </c>
      <c r="U76" s="1"/>
      <c r="V76" s="5">
        <f t="shared" si="52"/>
        <v>6.6365857208541164E-3</v>
      </c>
      <c r="W76" s="1"/>
      <c r="X76" s="1">
        <f t="shared" si="53"/>
        <v>-10442.460000000001</v>
      </c>
      <c r="Y76" s="1"/>
      <c r="Z76" s="5">
        <f t="shared" si="54"/>
        <v>-0.96722132943077987</v>
      </c>
    </row>
    <row r="77" spans="1:26" s="24" customFormat="1" hidden="1" outlineLevel="2" x14ac:dyDescent="0.25">
      <c r="A77" s="27"/>
      <c r="B77" s="11" t="str">
        <f>CONCATENATE("          ", "6282", " - ", "JANITORIAL/EXTERMINATOR EXPENS")</f>
        <v xml:space="preserve">          6282 - JANITORIAL/EXTERMINATOR EXPENS</v>
      </c>
      <c r="C77" s="11"/>
      <c r="D77" s="7">
        <v>709.65</v>
      </c>
      <c r="E77" s="2"/>
      <c r="F77" s="6">
        <f t="shared" si="47"/>
        <v>0</v>
      </c>
      <c r="G77" s="2"/>
      <c r="H77" s="7">
        <v>1272.49</v>
      </c>
      <c r="I77" s="2"/>
      <c r="J77" s="6">
        <f t="shared" si="48"/>
        <v>6.1187023152197489E-3</v>
      </c>
      <c r="K77" s="2"/>
      <c r="L77" s="7">
        <f t="shared" si="49"/>
        <v>-562.84</v>
      </c>
      <c r="M77" s="2"/>
      <c r="N77" s="6">
        <f t="shared" si="50"/>
        <v>-0.44231388851778797</v>
      </c>
      <c r="O77" s="11"/>
      <c r="P77" s="7">
        <v>580.49</v>
      </c>
      <c r="Q77" s="2"/>
      <c r="R77" s="6">
        <f t="shared" si="51"/>
        <v>0.22443330098551306</v>
      </c>
      <c r="S77" s="2"/>
      <c r="T77" s="7">
        <v>4151.63</v>
      </c>
      <c r="U77" s="2"/>
      <c r="V77" s="6">
        <f t="shared" si="52"/>
        <v>2.5520336388010372E-3</v>
      </c>
      <c r="W77" s="2"/>
      <c r="X77" s="7">
        <f t="shared" si="53"/>
        <v>-3571.1400000000003</v>
      </c>
      <c r="Y77" s="2"/>
      <c r="Z77" s="6">
        <f t="shared" si="54"/>
        <v>-0.86017780967957169</v>
      </c>
    </row>
    <row r="78" spans="1:26" s="24" customFormat="1" hidden="1" outlineLevel="2" x14ac:dyDescent="0.25">
      <c r="A78" s="27"/>
      <c r="B78" s="11" t="str">
        <f>CONCATENATE("          ", "6284", " - ", "TRASH REMOVAL EXPENSE")</f>
        <v xml:space="preserve">          6284 - TRASH REMOVAL EXPENSE</v>
      </c>
      <c r="C78" s="11"/>
      <c r="D78" s="7">
        <v>289</v>
      </c>
      <c r="E78" s="2"/>
      <c r="F78" s="6">
        <f t="shared" si="47"/>
        <v>0</v>
      </c>
      <c r="G78" s="2"/>
      <c r="H78" s="7">
        <v>785</v>
      </c>
      <c r="I78" s="2"/>
      <c r="J78" s="6">
        <f t="shared" si="48"/>
        <v>3.7746318772230061E-3</v>
      </c>
      <c r="K78" s="2"/>
      <c r="L78" s="7">
        <f t="shared" si="49"/>
        <v>-496</v>
      </c>
      <c r="M78" s="2"/>
      <c r="N78" s="6">
        <f t="shared" si="50"/>
        <v>-0.63184713375796175</v>
      </c>
      <c r="O78" s="11"/>
      <c r="P78" s="7">
        <v>578</v>
      </c>
      <c r="Q78" s="2"/>
      <c r="R78" s="6">
        <f t="shared" si="51"/>
        <v>0.22347059892440274</v>
      </c>
      <c r="S78" s="2"/>
      <c r="T78" s="7">
        <v>1733</v>
      </c>
      <c r="U78" s="2"/>
      <c r="V78" s="6">
        <f t="shared" si="52"/>
        <v>1.0652862360186715E-3</v>
      </c>
      <c r="W78" s="2"/>
      <c r="X78" s="7">
        <f t="shared" si="53"/>
        <v>-1155</v>
      </c>
      <c r="Y78" s="2"/>
      <c r="Z78" s="6">
        <f t="shared" si="54"/>
        <v>-0.66647432198499712</v>
      </c>
    </row>
    <row r="79" spans="1:26" s="24" customFormat="1" hidden="1" outlineLevel="2" x14ac:dyDescent="0.25">
      <c r="A79" s="27"/>
      <c r="B79" s="11" t="str">
        <f>CONCATENATE("          ", "6285", " - ", "JANITORIAL SERVICES")</f>
        <v xml:space="preserve">          6285 - JANITORIAL SERVICES</v>
      </c>
      <c r="C79" s="11"/>
      <c r="D79" s="7"/>
      <c r="E79" s="2"/>
      <c r="F79" s="6">
        <f t="shared" si="47"/>
        <v>0</v>
      </c>
      <c r="G79" s="2"/>
      <c r="H79" s="7">
        <v>125.23</v>
      </c>
      <c r="I79" s="2"/>
      <c r="J79" s="6">
        <f t="shared" si="48"/>
        <v>6.0216197450272237E-4</v>
      </c>
      <c r="K79" s="2"/>
      <c r="L79" s="7">
        <f t="shared" si="49"/>
        <v>-125.23</v>
      </c>
      <c r="M79" s="2"/>
      <c r="N79" s="6">
        <f t="shared" si="50"/>
        <v>-1</v>
      </c>
      <c r="O79" s="11"/>
      <c r="P79" s="7">
        <v>-804.6</v>
      </c>
      <c r="Q79" s="2"/>
      <c r="R79" s="6">
        <f t="shared" si="51"/>
        <v>-0.31108035275877932</v>
      </c>
      <c r="S79" s="2"/>
      <c r="T79" s="7">
        <v>651.38</v>
      </c>
      <c r="U79" s="2"/>
      <c r="V79" s="6">
        <f t="shared" si="52"/>
        <v>4.0040747167792396E-4</v>
      </c>
      <c r="W79" s="2"/>
      <c r="X79" s="7">
        <f t="shared" si="53"/>
        <v>-1455.98</v>
      </c>
      <c r="Y79" s="2"/>
      <c r="Z79" s="6">
        <f t="shared" si="54"/>
        <v>-2.2352236789585187</v>
      </c>
    </row>
    <row r="80" spans="1:26" s="24" customFormat="1" hidden="1" outlineLevel="2" x14ac:dyDescent="0.25">
      <c r="A80" s="27"/>
      <c r="B80" s="11" t="str">
        <f>CONCATENATE("          ", "6286", " - ", "LAUNDRY EXPENSE")</f>
        <v xml:space="preserve">          6286 - LAUNDRY EXPENSE</v>
      </c>
      <c r="C80" s="11"/>
      <c r="D80" s="7"/>
      <c r="E80" s="2"/>
      <c r="F80" s="6">
        <f t="shared" si="47"/>
        <v>0</v>
      </c>
      <c r="G80" s="2"/>
      <c r="H80" s="7">
        <v>528.64</v>
      </c>
      <c r="I80" s="2"/>
      <c r="J80" s="6">
        <f t="shared" si="48"/>
        <v>2.5419380835352483E-3</v>
      </c>
      <c r="K80" s="2"/>
      <c r="L80" s="7">
        <f t="shared" si="49"/>
        <v>-528.64</v>
      </c>
      <c r="M80" s="2"/>
      <c r="N80" s="6">
        <f t="shared" si="50"/>
        <v>-1</v>
      </c>
      <c r="O80" s="11"/>
      <c r="P80" s="7"/>
      <c r="Q80" s="2"/>
      <c r="R80" s="6">
        <f t="shared" si="51"/>
        <v>0</v>
      </c>
      <c r="S80" s="2"/>
      <c r="T80" s="7">
        <v>4260.34</v>
      </c>
      <c r="U80" s="2"/>
      <c r="V80" s="6">
        <f t="shared" si="52"/>
        <v>2.6188583743564841E-3</v>
      </c>
      <c r="W80" s="2"/>
      <c r="X80" s="7">
        <f t="shared" si="53"/>
        <v>-4260.34</v>
      </c>
      <c r="Y80" s="2"/>
      <c r="Z80" s="6">
        <f t="shared" si="54"/>
        <v>-1</v>
      </c>
    </row>
    <row r="81" spans="1:26" s="25" customFormat="1" outlineLevel="1" collapsed="1" x14ac:dyDescent="0.25">
      <c r="A81" s="26"/>
      <c r="B81" s="13" t="str">
        <f>CONCATENATE("     ","Subscriptions &amp; Dues                              ")</f>
        <v xml:space="preserve">     Subscriptions &amp; Dues                              </v>
      </c>
      <c r="C81" s="13"/>
      <c r="D81" s="1">
        <f>SUM(OSRRefD22_17x_0)</f>
        <v>0</v>
      </c>
      <c r="E81" s="1"/>
      <c r="F81" s="5">
        <f t="shared" ref="F81:F90" si="55">IF(D$12=0,0,D81/D$12)</f>
        <v>0</v>
      </c>
      <c r="G81" s="1"/>
      <c r="H81" s="1">
        <f>SUM(OSRRefH22_17x_0)</f>
        <v>352.8</v>
      </c>
      <c r="I81" s="1"/>
      <c r="J81" s="5">
        <f t="shared" ref="J81:J90" si="56">IF(H$12=0,0,H81/H$12)</f>
        <v>1.696420543037295E-3</v>
      </c>
      <c r="K81" s="1"/>
      <c r="L81" s="1">
        <f t="shared" ref="L81:L90" si="57">+D81-H81</f>
        <v>-352.8</v>
      </c>
      <c r="M81" s="1"/>
      <c r="N81" s="5">
        <f t="shared" ref="N81:N90" si="58">IF(H81=0,0,L81/H81)</f>
        <v>-1</v>
      </c>
      <c r="O81" s="13"/>
      <c r="P81" s="1">
        <f>SUM(OSRRefP22_17x_0)</f>
        <v>0</v>
      </c>
      <c r="Q81" s="1"/>
      <c r="R81" s="5">
        <f t="shared" ref="R81:R90" si="59">IF(P$12=0,0,P81/P$12)</f>
        <v>0</v>
      </c>
      <c r="S81" s="1"/>
      <c r="T81" s="1">
        <f>SUM(OSRRefT22_17x_0)</f>
        <v>1058.4000000000001</v>
      </c>
      <c r="U81" s="1"/>
      <c r="V81" s="5">
        <f t="shared" ref="V81:V90" si="60">IF(T$12=0,0,T81/T$12)</f>
        <v>6.5060528113223431E-4</v>
      </c>
      <c r="W81" s="1"/>
      <c r="X81" s="1">
        <f t="shared" ref="X81:X90" si="61">+P81-T81</f>
        <v>-1058.4000000000001</v>
      </c>
      <c r="Y81" s="1"/>
      <c r="Z81" s="5">
        <f t="shared" ref="Z81:Z90" si="62">IF(T81=0,0,X81/T81)</f>
        <v>-1</v>
      </c>
    </row>
    <row r="82" spans="1:26" s="24" customFormat="1" hidden="1" outlineLevel="2" x14ac:dyDescent="0.25">
      <c r="A82" s="27"/>
      <c r="B82" s="11" t="str">
        <f>CONCATENATE("          ", "6275", " - ", "SUBSCRIPTIONS")</f>
        <v xml:space="preserve">          6275 - SUBSCRIPTIONS</v>
      </c>
      <c r="C82" s="11"/>
      <c r="D82" s="7"/>
      <c r="E82" s="2"/>
      <c r="F82" s="6">
        <f t="shared" si="55"/>
        <v>0</v>
      </c>
      <c r="G82" s="2"/>
      <c r="H82" s="7">
        <v>352.8</v>
      </c>
      <c r="I82" s="2"/>
      <c r="J82" s="6">
        <f t="shared" si="56"/>
        <v>1.696420543037295E-3</v>
      </c>
      <c r="K82" s="2"/>
      <c r="L82" s="7">
        <f t="shared" si="57"/>
        <v>-352.8</v>
      </c>
      <c r="M82" s="2"/>
      <c r="N82" s="6">
        <f t="shared" si="58"/>
        <v>-1</v>
      </c>
      <c r="O82" s="11"/>
      <c r="P82" s="7"/>
      <c r="Q82" s="2"/>
      <c r="R82" s="6">
        <f t="shared" si="59"/>
        <v>0</v>
      </c>
      <c r="S82" s="2"/>
      <c r="T82" s="7">
        <v>1058.4000000000001</v>
      </c>
      <c r="U82" s="2"/>
      <c r="V82" s="6">
        <f t="shared" si="60"/>
        <v>6.5060528113223431E-4</v>
      </c>
      <c r="W82" s="2"/>
      <c r="X82" s="7">
        <f t="shared" si="61"/>
        <v>-1058.4000000000001</v>
      </c>
      <c r="Y82" s="2"/>
      <c r="Z82" s="6">
        <f t="shared" si="62"/>
        <v>-1</v>
      </c>
    </row>
    <row r="83" spans="1:26" s="25" customFormat="1" outlineLevel="1" collapsed="1" x14ac:dyDescent="0.25">
      <c r="A83" s="26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SUM(OSRRefD22_18x_0)</f>
        <v>0</v>
      </c>
      <c r="E83" s="1"/>
      <c r="F83" s="5">
        <f t="shared" si="55"/>
        <v>0</v>
      </c>
      <c r="G83" s="1"/>
      <c r="H83" s="1">
        <f>SUM(OSRRefH22_18x_0)</f>
        <v>2789.7799999999997</v>
      </c>
      <c r="I83" s="1"/>
      <c r="J83" s="5">
        <f t="shared" si="56"/>
        <v>1.3414512762342925E-2</v>
      </c>
      <c r="K83" s="1"/>
      <c r="L83" s="1">
        <f t="shared" si="57"/>
        <v>-2789.7799999999997</v>
      </c>
      <c r="M83" s="1"/>
      <c r="N83" s="5">
        <f t="shared" si="58"/>
        <v>-1</v>
      </c>
      <c r="O83" s="13"/>
      <c r="P83" s="1">
        <f>SUM(OSRRefP22_18x_0)</f>
        <v>1094.0899999999999</v>
      </c>
      <c r="Q83" s="1"/>
      <c r="R83" s="5">
        <f t="shared" si="59"/>
        <v>0.42300509961453248</v>
      </c>
      <c r="S83" s="1"/>
      <c r="T83" s="1">
        <f>SUM(OSRRefT22_18x_0)</f>
        <v>37879.279999999999</v>
      </c>
      <c r="U83" s="1"/>
      <c r="V83" s="5">
        <f t="shared" si="60"/>
        <v>2.3284636823022124E-2</v>
      </c>
      <c r="W83" s="1"/>
      <c r="X83" s="1">
        <f t="shared" si="61"/>
        <v>-36785.19</v>
      </c>
      <c r="Y83" s="1"/>
      <c r="Z83" s="5">
        <f t="shared" si="62"/>
        <v>-0.971116399255741</v>
      </c>
    </row>
    <row r="84" spans="1:26" s="24" customFormat="1" hidden="1" outlineLevel="2" x14ac:dyDescent="0.25">
      <c r="A84" s="27"/>
      <c r="B84" s="11" t="str">
        <f>CONCATENATE("          ", "6234", " - ", "EXPENDABLE SUPPLIES &amp; EQUIPMEN")</f>
        <v xml:space="preserve">          6234 - EXPENDABLE SUPPLIES &amp; EQUIPMEN</v>
      </c>
      <c r="C84" s="11"/>
      <c r="D84" s="7"/>
      <c r="E84" s="2"/>
      <c r="F84" s="6">
        <f t="shared" si="55"/>
        <v>0</v>
      </c>
      <c r="G84" s="2"/>
      <c r="H84" s="7"/>
      <c r="I84" s="2"/>
      <c r="J84" s="6">
        <f t="shared" si="56"/>
        <v>0</v>
      </c>
      <c r="K84" s="2"/>
      <c r="L84" s="7">
        <f t="shared" si="57"/>
        <v>0</v>
      </c>
      <c r="M84" s="2"/>
      <c r="N84" s="6">
        <f t="shared" si="58"/>
        <v>0</v>
      </c>
      <c r="O84" s="11"/>
      <c r="P84" s="7">
        <v>316.67</v>
      </c>
      <c r="Q84" s="2"/>
      <c r="R84" s="6">
        <f t="shared" si="59"/>
        <v>0.12243327778787304</v>
      </c>
      <c r="S84" s="2"/>
      <c r="T84" s="7">
        <v>1092.46</v>
      </c>
      <c r="U84" s="2"/>
      <c r="V84" s="6">
        <f t="shared" si="60"/>
        <v>6.7154218199709059E-4</v>
      </c>
      <c r="W84" s="2"/>
      <c r="X84" s="7">
        <f t="shared" si="61"/>
        <v>-775.79</v>
      </c>
      <c r="Y84" s="2"/>
      <c r="Z84" s="6">
        <f t="shared" si="62"/>
        <v>-0.71013126338721777</v>
      </c>
    </row>
    <row r="85" spans="1:26" s="24" customFormat="1" hidden="1" outlineLevel="2" x14ac:dyDescent="0.25">
      <c r="A85" s="27"/>
      <c r="B85" s="11" t="str">
        <f>CONCATENATE("          ", "6235", " - ", "COVID-19 EXPENSES")</f>
        <v xml:space="preserve">          6235 - COVID-19 EXPENSES</v>
      </c>
      <c r="C85" s="11"/>
      <c r="D85" s="7"/>
      <c r="E85" s="2"/>
      <c r="F85" s="6">
        <f t="shared" si="55"/>
        <v>0</v>
      </c>
      <c r="G85" s="2"/>
      <c r="H85" s="7"/>
      <c r="I85" s="2"/>
      <c r="J85" s="6">
        <f t="shared" si="56"/>
        <v>0</v>
      </c>
      <c r="K85" s="2"/>
      <c r="L85" s="7">
        <f t="shared" si="57"/>
        <v>0</v>
      </c>
      <c r="M85" s="2"/>
      <c r="N85" s="6">
        <f t="shared" si="58"/>
        <v>0</v>
      </c>
      <c r="O85" s="11"/>
      <c r="P85" s="7">
        <v>207.27</v>
      </c>
      <c r="Q85" s="2"/>
      <c r="R85" s="6">
        <f t="shared" si="59"/>
        <v>8.0136247472423802E-2</v>
      </c>
      <c r="S85" s="2"/>
      <c r="T85" s="7"/>
      <c r="U85" s="2"/>
      <c r="V85" s="6">
        <f t="shared" si="60"/>
        <v>0</v>
      </c>
      <c r="W85" s="2"/>
      <c r="X85" s="7">
        <f t="shared" si="61"/>
        <v>207.27</v>
      </c>
      <c r="Y85" s="2"/>
      <c r="Z85" s="6">
        <f t="shared" si="62"/>
        <v>0</v>
      </c>
    </row>
    <row r="86" spans="1:26" s="24" customFormat="1" hidden="1" outlineLevel="2" x14ac:dyDescent="0.25">
      <c r="A86" s="27"/>
      <c r="B86" s="11" t="str">
        <f>CONCATENATE("          ", "6237", " - ", "JANITORIAL SUPPLIES")</f>
        <v xml:space="preserve">          6237 - JANITORIAL SUPPLIES</v>
      </c>
      <c r="C86" s="11"/>
      <c r="D86" s="7"/>
      <c r="E86" s="2"/>
      <c r="F86" s="6">
        <f t="shared" si="55"/>
        <v>0</v>
      </c>
      <c r="G86" s="2"/>
      <c r="H86" s="7">
        <v>180.57</v>
      </c>
      <c r="I86" s="2"/>
      <c r="J86" s="6">
        <f t="shared" si="56"/>
        <v>8.6826150072631615E-4</v>
      </c>
      <c r="K86" s="2"/>
      <c r="L86" s="7">
        <f t="shared" si="57"/>
        <v>-180.57</v>
      </c>
      <c r="M86" s="2"/>
      <c r="N86" s="6">
        <f t="shared" si="58"/>
        <v>-1</v>
      </c>
      <c r="O86" s="11"/>
      <c r="P86" s="7">
        <v>317.57</v>
      </c>
      <c r="Q86" s="2"/>
      <c r="R86" s="6">
        <f t="shared" si="59"/>
        <v>0.12278124238827436</v>
      </c>
      <c r="S86" s="2"/>
      <c r="T86" s="7">
        <v>3004.43</v>
      </c>
      <c r="U86" s="2"/>
      <c r="V86" s="6">
        <f t="shared" si="60"/>
        <v>1.846842427052266E-3</v>
      </c>
      <c r="W86" s="2"/>
      <c r="X86" s="7">
        <f t="shared" si="61"/>
        <v>-2686.8599999999997</v>
      </c>
      <c r="Y86" s="2"/>
      <c r="Z86" s="6">
        <f t="shared" si="62"/>
        <v>-0.89429941785962719</v>
      </c>
    </row>
    <row r="87" spans="1:26" s="24" customFormat="1" hidden="1" outlineLevel="2" x14ac:dyDescent="0.25">
      <c r="A87" s="27"/>
      <c r="B87" s="11" t="str">
        <f>CONCATENATE("          ", "6241", " - ", "OFFICE EXPENSE")</f>
        <v xml:space="preserve">          6241 - OFFICE EXPENSE</v>
      </c>
      <c r="C87" s="11"/>
      <c r="D87" s="7"/>
      <c r="E87" s="2"/>
      <c r="F87" s="6">
        <f t="shared" si="55"/>
        <v>0</v>
      </c>
      <c r="G87" s="2"/>
      <c r="H87" s="7">
        <v>212.94</v>
      </c>
      <c r="I87" s="2"/>
      <c r="J87" s="6">
        <f t="shared" si="56"/>
        <v>1.0239109706189388E-3</v>
      </c>
      <c r="K87" s="2"/>
      <c r="L87" s="7">
        <f t="shared" si="57"/>
        <v>-212.94</v>
      </c>
      <c r="M87" s="2"/>
      <c r="N87" s="6">
        <f t="shared" si="58"/>
        <v>-1</v>
      </c>
      <c r="O87" s="11"/>
      <c r="P87" s="7">
        <v>131.30000000000001</v>
      </c>
      <c r="Q87" s="2"/>
      <c r="R87" s="6">
        <f t="shared" si="59"/>
        <v>5.0764168925214674E-2</v>
      </c>
      <c r="S87" s="2"/>
      <c r="T87" s="7">
        <v>1876.88</v>
      </c>
      <c r="U87" s="2"/>
      <c r="V87" s="6">
        <f t="shared" si="60"/>
        <v>1.1537301965716816E-3</v>
      </c>
      <c r="W87" s="2"/>
      <c r="X87" s="7">
        <f t="shared" si="61"/>
        <v>-1745.5800000000002</v>
      </c>
      <c r="Y87" s="2"/>
      <c r="Z87" s="6">
        <f t="shared" si="62"/>
        <v>-0.93004347640765528</v>
      </c>
    </row>
    <row r="88" spans="1:26" s="24" customFormat="1" hidden="1" outlineLevel="2" x14ac:dyDescent="0.25">
      <c r="A88" s="27"/>
      <c r="B88" s="11" t="str">
        <f>CONCATENATE("          ", "6243", " - ", "PAPER SUPPLIES")</f>
        <v xml:space="preserve">          6243 - PAPER SUPPLIES</v>
      </c>
      <c r="C88" s="11"/>
      <c r="D88" s="7"/>
      <c r="E88" s="2"/>
      <c r="F88" s="6">
        <f t="shared" si="55"/>
        <v>0</v>
      </c>
      <c r="G88" s="2"/>
      <c r="H88" s="7">
        <v>334.75</v>
      </c>
      <c r="I88" s="2"/>
      <c r="J88" s="6">
        <f t="shared" si="56"/>
        <v>1.6096280521024219E-3</v>
      </c>
      <c r="K88" s="2"/>
      <c r="L88" s="7">
        <f t="shared" si="57"/>
        <v>-334.75</v>
      </c>
      <c r="M88" s="2"/>
      <c r="N88" s="6">
        <f t="shared" si="58"/>
        <v>-1</v>
      </c>
      <c r="O88" s="11"/>
      <c r="P88" s="7"/>
      <c r="Q88" s="2"/>
      <c r="R88" s="6">
        <f t="shared" si="59"/>
        <v>0</v>
      </c>
      <c r="S88" s="2"/>
      <c r="T88" s="7">
        <v>3352.6</v>
      </c>
      <c r="U88" s="2"/>
      <c r="V88" s="6">
        <f t="shared" si="60"/>
        <v>2.0608647633446036E-3</v>
      </c>
      <c r="W88" s="2"/>
      <c r="X88" s="7">
        <f t="shared" si="61"/>
        <v>-3352.6</v>
      </c>
      <c r="Y88" s="2"/>
      <c r="Z88" s="6">
        <f t="shared" si="62"/>
        <v>-1</v>
      </c>
    </row>
    <row r="89" spans="1:26" s="24" customFormat="1" hidden="1" outlineLevel="2" x14ac:dyDescent="0.25">
      <c r="A89" s="27"/>
      <c r="B89" s="11" t="str">
        <f>CONCATENATE("          ", "6245", " - ", "PRINTING")</f>
        <v xml:space="preserve">          6245 - PRINTING</v>
      </c>
      <c r="C89" s="11"/>
      <c r="D89" s="7"/>
      <c r="E89" s="2"/>
      <c r="F89" s="6">
        <f t="shared" si="55"/>
        <v>0</v>
      </c>
      <c r="G89" s="2"/>
      <c r="H89" s="7"/>
      <c r="I89" s="2"/>
      <c r="J89" s="6">
        <f t="shared" si="56"/>
        <v>0</v>
      </c>
      <c r="K89" s="2"/>
      <c r="L89" s="7">
        <f t="shared" si="57"/>
        <v>0</v>
      </c>
      <c r="M89" s="2"/>
      <c r="N89" s="6">
        <f t="shared" si="58"/>
        <v>0</v>
      </c>
      <c r="O89" s="11"/>
      <c r="P89" s="7"/>
      <c r="Q89" s="2"/>
      <c r="R89" s="6">
        <f t="shared" si="59"/>
        <v>0</v>
      </c>
      <c r="S89" s="2"/>
      <c r="T89" s="7">
        <v>81.739999999999995</v>
      </c>
      <c r="U89" s="2"/>
      <c r="V89" s="6">
        <f t="shared" si="60"/>
        <v>5.0246103249951645E-5</v>
      </c>
      <c r="W89" s="2"/>
      <c r="X89" s="7">
        <f t="shared" si="61"/>
        <v>-81.739999999999995</v>
      </c>
      <c r="Y89" s="2"/>
      <c r="Z89" s="6">
        <f t="shared" si="62"/>
        <v>-1</v>
      </c>
    </row>
    <row r="90" spans="1:26" s="24" customFormat="1" hidden="1" outlineLevel="2" x14ac:dyDescent="0.25">
      <c r="A90" s="27"/>
      <c r="B90" s="11" t="str">
        <f>CONCATENATE("          ", "6247", " - ", "STORE SUPPLIES")</f>
        <v xml:space="preserve">          6247 - STORE SUPPLIES</v>
      </c>
      <c r="C90" s="11"/>
      <c r="D90" s="7"/>
      <c r="E90" s="2"/>
      <c r="F90" s="6">
        <f t="shared" si="55"/>
        <v>0</v>
      </c>
      <c r="G90" s="2"/>
      <c r="H90" s="7">
        <v>2061.52</v>
      </c>
      <c r="I90" s="2"/>
      <c r="J90" s="6">
        <f t="shared" si="56"/>
        <v>9.9127122388952497E-3</v>
      </c>
      <c r="K90" s="2"/>
      <c r="L90" s="7">
        <f t="shared" si="57"/>
        <v>-2061.52</v>
      </c>
      <c r="M90" s="2"/>
      <c r="N90" s="6">
        <f t="shared" si="58"/>
        <v>-1</v>
      </c>
      <c r="O90" s="11"/>
      <c r="P90" s="7">
        <v>121.28</v>
      </c>
      <c r="Q90" s="2"/>
      <c r="R90" s="6">
        <f t="shared" si="59"/>
        <v>4.6890163040746648E-2</v>
      </c>
      <c r="S90" s="2"/>
      <c r="T90" s="7">
        <v>28471.17</v>
      </c>
      <c r="U90" s="2"/>
      <c r="V90" s="6">
        <f t="shared" si="60"/>
        <v>1.7501411150806532E-2</v>
      </c>
      <c r="W90" s="2"/>
      <c r="X90" s="7">
        <f t="shared" si="61"/>
        <v>-28349.89</v>
      </c>
      <c r="Y90" s="2"/>
      <c r="Z90" s="6">
        <f t="shared" si="62"/>
        <v>-0.99574025233244723</v>
      </c>
    </row>
    <row r="91" spans="1:26" s="25" customFormat="1" outlineLevel="1" collapsed="1" x14ac:dyDescent="0.25">
      <c r="A91" s="26"/>
      <c r="B91" s="13" t="str">
        <f>CONCATENATE("     ","Telephone/Data Lines                              ")</f>
        <v xml:space="preserve">     Telephone/Data Lines                              </v>
      </c>
      <c r="C91" s="13"/>
      <c r="D91" s="1">
        <f>SUM(OSRRefD22_19x_0)</f>
        <v>275.55</v>
      </c>
      <c r="E91" s="1"/>
      <c r="F91" s="5">
        <f t="shared" ref="F91:F96" si="63">IF(D$12=0,0,D91/D$12)</f>
        <v>0</v>
      </c>
      <c r="G91" s="1"/>
      <c r="H91" s="1">
        <f>SUM(OSRRefH22_19x_0)</f>
        <v>348.86</v>
      </c>
      <c r="I91" s="1"/>
      <c r="J91" s="5">
        <f t="shared" ref="J91:J96" si="64">IF(H$12=0,0,H91/H$12)</f>
        <v>1.6774752569274113E-3</v>
      </c>
      <c r="K91" s="1"/>
      <c r="L91" s="1">
        <f t="shared" ref="L91:L96" si="65">+D91-H91</f>
        <v>-73.31</v>
      </c>
      <c r="M91" s="1"/>
      <c r="N91" s="5">
        <f t="shared" ref="N91:N96" si="66">IF(H91=0,0,L91/H91)</f>
        <v>-0.21014160408186666</v>
      </c>
      <c r="O91" s="13"/>
      <c r="P91" s="1">
        <f>SUM(OSRRefP22_19x_0)</f>
        <v>2660.29</v>
      </c>
      <c r="Q91" s="1"/>
      <c r="R91" s="5">
        <f t="shared" ref="R91:R96" si="67">IF(P$12=0,0,P91/P$12)</f>
        <v>1.0285408297795837</v>
      </c>
      <c r="S91" s="1"/>
      <c r="T91" s="1">
        <f>SUM(OSRRefT22_19x_0)</f>
        <v>2046.26</v>
      </c>
      <c r="U91" s="1"/>
      <c r="V91" s="5">
        <f t="shared" ref="V91:V96" si="68">IF(T$12=0,0,T91/T$12)</f>
        <v>1.2578491709841701E-3</v>
      </c>
      <c r="W91" s="1"/>
      <c r="X91" s="1">
        <f t="shared" ref="X91:X96" si="69">+P91-T91</f>
        <v>614.03</v>
      </c>
      <c r="Y91" s="1"/>
      <c r="Z91" s="5">
        <f t="shared" ref="Z91:Z96" si="70">IF(T91=0,0,X91/T91)</f>
        <v>0.30007428186056512</v>
      </c>
    </row>
    <row r="92" spans="1:26" s="24" customFormat="1" hidden="1" outlineLevel="2" x14ac:dyDescent="0.25">
      <c r="A92" s="27"/>
      <c r="B92" s="11" t="str">
        <f>CONCATENATE("          ", "6309", " - ", "TELEPHONE")</f>
        <v xml:space="preserve">          6309 - TELEPHONE</v>
      </c>
      <c r="C92" s="11"/>
      <c r="D92" s="7">
        <v>275.55</v>
      </c>
      <c r="E92" s="2"/>
      <c r="F92" s="6">
        <f t="shared" si="63"/>
        <v>0</v>
      </c>
      <c r="G92" s="2"/>
      <c r="H92" s="7">
        <v>348.86</v>
      </c>
      <c r="I92" s="2"/>
      <c r="J92" s="6">
        <f t="shared" si="64"/>
        <v>1.6774752569274113E-3</v>
      </c>
      <c r="K92" s="2"/>
      <c r="L92" s="7">
        <f t="shared" si="65"/>
        <v>-73.31</v>
      </c>
      <c r="M92" s="2"/>
      <c r="N92" s="6">
        <f t="shared" si="66"/>
        <v>-0.21014160408186666</v>
      </c>
      <c r="O92" s="11"/>
      <c r="P92" s="7">
        <v>2660.29</v>
      </c>
      <c r="Q92" s="2"/>
      <c r="R92" s="6">
        <f t="shared" si="67"/>
        <v>1.0285408297795837</v>
      </c>
      <c r="S92" s="2"/>
      <c r="T92" s="7">
        <v>2046.26</v>
      </c>
      <c r="U92" s="2"/>
      <c r="V92" s="6">
        <f t="shared" si="68"/>
        <v>1.2578491709841701E-3</v>
      </c>
      <c r="W92" s="2"/>
      <c r="X92" s="7">
        <f t="shared" si="69"/>
        <v>614.03</v>
      </c>
      <c r="Y92" s="2"/>
      <c r="Z92" s="6">
        <f t="shared" si="70"/>
        <v>0.30007428186056512</v>
      </c>
    </row>
    <row r="93" spans="1:26" s="25" customFormat="1" outlineLevel="1" collapsed="1" x14ac:dyDescent="0.25">
      <c r="A93" s="26"/>
      <c r="B93" s="13" t="str">
        <f>CONCATENATE("     ","Training                                          ")</f>
        <v xml:space="preserve">     Training                                          </v>
      </c>
      <c r="C93" s="13"/>
      <c r="D93" s="1">
        <f>SUM(OSRRefD22_20x_0)</f>
        <v>0</v>
      </c>
      <c r="E93" s="1"/>
      <c r="F93" s="5">
        <f t="shared" si="63"/>
        <v>0</v>
      </c>
      <c r="G93" s="1"/>
      <c r="H93" s="1">
        <f>SUM(OSRRefH22_20x_0)</f>
        <v>0</v>
      </c>
      <c r="I93" s="1"/>
      <c r="J93" s="5">
        <f t="shared" si="64"/>
        <v>0</v>
      </c>
      <c r="K93" s="1"/>
      <c r="L93" s="1">
        <f t="shared" si="65"/>
        <v>0</v>
      </c>
      <c r="M93" s="1"/>
      <c r="N93" s="5">
        <f t="shared" si="66"/>
        <v>0</v>
      </c>
      <c r="O93" s="13"/>
      <c r="P93" s="1">
        <f>SUM(OSRRefP22_20x_0)</f>
        <v>0</v>
      </c>
      <c r="Q93" s="1"/>
      <c r="R93" s="5">
        <f t="shared" si="67"/>
        <v>0</v>
      </c>
      <c r="S93" s="1"/>
      <c r="T93" s="1">
        <f>SUM(OSRRefT22_20x_0)</f>
        <v>96</v>
      </c>
      <c r="U93" s="1"/>
      <c r="V93" s="5">
        <f t="shared" si="68"/>
        <v>5.9011816882742332E-5</v>
      </c>
      <c r="W93" s="1"/>
      <c r="X93" s="1">
        <f t="shared" si="69"/>
        <v>-96</v>
      </c>
      <c r="Y93" s="1"/>
      <c r="Z93" s="5">
        <f t="shared" si="70"/>
        <v>-1</v>
      </c>
    </row>
    <row r="94" spans="1:26" s="24" customFormat="1" hidden="1" outlineLevel="2" x14ac:dyDescent="0.25">
      <c r="A94" s="27"/>
      <c r="B94" s="11" t="str">
        <f>CONCATENATE("          ", "6376", " - ", "TRAINING")</f>
        <v xml:space="preserve">          6376 - TRAINING</v>
      </c>
      <c r="C94" s="11"/>
      <c r="D94" s="7"/>
      <c r="E94" s="2"/>
      <c r="F94" s="6">
        <f t="shared" si="63"/>
        <v>0</v>
      </c>
      <c r="G94" s="2"/>
      <c r="H94" s="7"/>
      <c r="I94" s="2"/>
      <c r="J94" s="6">
        <f t="shared" si="64"/>
        <v>0</v>
      </c>
      <c r="K94" s="2"/>
      <c r="L94" s="7">
        <f t="shared" si="65"/>
        <v>0</v>
      </c>
      <c r="M94" s="2"/>
      <c r="N94" s="6">
        <f t="shared" si="66"/>
        <v>0</v>
      </c>
      <c r="O94" s="11"/>
      <c r="P94" s="7"/>
      <c r="Q94" s="2"/>
      <c r="R94" s="6">
        <f t="shared" si="67"/>
        <v>0</v>
      </c>
      <c r="S94" s="2"/>
      <c r="T94" s="7">
        <v>96</v>
      </c>
      <c r="U94" s="2"/>
      <c r="V94" s="6">
        <f t="shared" si="68"/>
        <v>5.9011816882742332E-5</v>
      </c>
      <c r="W94" s="2"/>
      <c r="X94" s="7">
        <f t="shared" si="69"/>
        <v>-96</v>
      </c>
      <c r="Y94" s="2"/>
      <c r="Z94" s="6">
        <f t="shared" si="70"/>
        <v>-1</v>
      </c>
    </row>
    <row r="95" spans="1:26" s="25" customFormat="1" outlineLevel="1" collapsed="1" x14ac:dyDescent="0.25">
      <c r="A95" s="26"/>
      <c r="B95" s="13" t="str">
        <f>CONCATENATE("     ","Utilities                                         ")</f>
        <v xml:space="preserve">     Utilities                                         </v>
      </c>
      <c r="C95" s="13"/>
      <c r="D95" s="1">
        <f>SUM(OSRRefD22_21x_0)</f>
        <v>1136</v>
      </c>
      <c r="E95" s="1"/>
      <c r="F95" s="5">
        <f t="shared" si="63"/>
        <v>0</v>
      </c>
      <c r="G95" s="1"/>
      <c r="H95" s="1">
        <f>SUM(OSRRefH22_21x_0)</f>
        <v>2412</v>
      </c>
      <c r="I95" s="1"/>
      <c r="J95" s="5">
        <f t="shared" si="64"/>
        <v>1.1597977181989669E-2</v>
      </c>
      <c r="K95" s="1"/>
      <c r="L95" s="1">
        <f t="shared" si="65"/>
        <v>-1276</v>
      </c>
      <c r="M95" s="1"/>
      <c r="N95" s="5">
        <f t="shared" si="66"/>
        <v>-0.52902155887230518</v>
      </c>
      <c r="O95" s="13"/>
      <c r="P95" s="1">
        <f>SUM(OSRRefP22_21x_0)</f>
        <v>3558</v>
      </c>
      <c r="Q95" s="1"/>
      <c r="R95" s="5">
        <f t="shared" si="67"/>
        <v>1.3756200535865484</v>
      </c>
      <c r="S95" s="1"/>
      <c r="T95" s="1">
        <f>SUM(OSRRefT22_21x_0)</f>
        <v>5450.12</v>
      </c>
      <c r="U95" s="1"/>
      <c r="V95" s="5">
        <f t="shared" si="68"/>
        <v>3.3502237857184545E-3</v>
      </c>
      <c r="W95" s="1"/>
      <c r="X95" s="1">
        <f t="shared" si="69"/>
        <v>-1892.12</v>
      </c>
      <c r="Y95" s="1"/>
      <c r="Z95" s="5">
        <f t="shared" si="70"/>
        <v>-0.34717033753385246</v>
      </c>
    </row>
    <row r="96" spans="1:26" s="24" customFormat="1" hidden="1" outlineLevel="2" x14ac:dyDescent="0.25">
      <c r="A96" s="27"/>
      <c r="B96" s="11" t="str">
        <f>CONCATENATE("          ", "6274", " - ", "UTILITIES")</f>
        <v xml:space="preserve">          6274 - UTILITIES</v>
      </c>
      <c r="C96" s="11"/>
      <c r="D96" s="7">
        <v>1136</v>
      </c>
      <c r="E96" s="2"/>
      <c r="F96" s="6">
        <f t="shared" si="63"/>
        <v>0</v>
      </c>
      <c r="G96" s="2"/>
      <c r="H96" s="7">
        <v>2412</v>
      </c>
      <c r="I96" s="2"/>
      <c r="J96" s="6">
        <f t="shared" si="64"/>
        <v>1.1597977181989669E-2</v>
      </c>
      <c r="K96" s="2"/>
      <c r="L96" s="7">
        <f t="shared" si="65"/>
        <v>-1276</v>
      </c>
      <c r="M96" s="2"/>
      <c r="N96" s="6">
        <f t="shared" si="66"/>
        <v>-0.52902155887230518</v>
      </c>
      <c r="O96" s="11"/>
      <c r="P96" s="7">
        <v>3558</v>
      </c>
      <c r="Q96" s="2"/>
      <c r="R96" s="6">
        <f t="shared" si="67"/>
        <v>1.3756200535865484</v>
      </c>
      <c r="S96" s="2"/>
      <c r="T96" s="7">
        <v>5450.12</v>
      </c>
      <c r="U96" s="2"/>
      <c r="V96" s="6">
        <f t="shared" si="68"/>
        <v>3.3502237857184545E-3</v>
      </c>
      <c r="W96" s="2"/>
      <c r="X96" s="7">
        <f t="shared" si="69"/>
        <v>-1892.12</v>
      </c>
      <c r="Y96" s="2"/>
      <c r="Z96" s="6">
        <f t="shared" si="70"/>
        <v>-0.34717033753385246</v>
      </c>
    </row>
    <row r="97" spans="1:26" s="55" customFormat="1" x14ac:dyDescent="0.25">
      <c r="A97" s="37"/>
      <c r="B97" s="37"/>
      <c r="C97" s="37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7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x14ac:dyDescent="0.25">
      <c r="A98" s="10"/>
      <c r="B98" s="29" t="s">
        <v>0</v>
      </c>
      <c r="C98" s="10"/>
      <c r="D98" s="4">
        <f>SUM(0)</f>
        <v>0</v>
      </c>
      <c r="E98" s="4"/>
      <c r="F98" s="12">
        <f>IF(D$12=0,0,D98/D$12)</f>
        <v>0</v>
      </c>
      <c r="G98" s="4"/>
      <c r="H98" s="4">
        <f>SUM(0)</f>
        <v>0</v>
      </c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>
        <f>SUM(0)</f>
        <v>0</v>
      </c>
      <c r="Q98" s="4"/>
      <c r="R98" s="12">
        <f>IF(P$12=0,0,P98/P$12)</f>
        <v>0</v>
      </c>
      <c r="S98" s="4"/>
      <c r="T98" s="4">
        <f>SUM(0)</f>
        <v>0</v>
      </c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8" t="s">
        <v>3</v>
      </c>
      <c r="C100" s="28"/>
      <c r="D100" s="20">
        <f>+D26-D28+D98</f>
        <v>-20721.5</v>
      </c>
      <c r="E100" s="14"/>
      <c r="F100" s="21">
        <f>IF(D$12=0,0,D100/D$12)</f>
        <v>0</v>
      </c>
      <c r="G100" s="14"/>
      <c r="H100" s="20">
        <f>+H26-H28+H98</f>
        <v>12821.210000000006</v>
      </c>
      <c r="I100" s="14"/>
      <c r="J100" s="21">
        <f>IF(H$12=0,0,H100/H$12)</f>
        <v>6.1650124803274392E-2</v>
      </c>
      <c r="K100" s="15"/>
      <c r="L100" s="20">
        <f>+D100-H100</f>
        <v>-33542.710000000006</v>
      </c>
      <c r="M100" s="15"/>
      <c r="N100" s="21">
        <f>IF(H100=0,0,L100/H100)</f>
        <v>-2.6161891116361082</v>
      </c>
      <c r="O100" s="29"/>
      <c r="P100" s="20">
        <f>+P26-P28+P98</f>
        <v>-178557.14</v>
      </c>
      <c r="Q100" s="14"/>
      <c r="R100" s="21">
        <f>IF(P$12=0,0,P100/P$12)</f>
        <v>-69.035070965447119</v>
      </c>
      <c r="S100" s="14"/>
      <c r="T100" s="20">
        <f>+T26-T28+T98</f>
        <v>213859.7699999999</v>
      </c>
      <c r="U100" s="14"/>
      <c r="V100" s="21">
        <f>IF(T$12=0,0,T100/T$12)</f>
        <v>0.13146097485234778</v>
      </c>
      <c r="W100" s="15"/>
      <c r="X100" s="20">
        <f>+P100-T100</f>
        <v>-392416.90999999992</v>
      </c>
      <c r="Y100" s="15"/>
      <c r="Z100" s="21">
        <f>IF(T100=0,0,X100/T100)</f>
        <v>-1.8349262696766209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1"/>
      <c r="B102" s="10" t="s">
        <v>13</v>
      </c>
      <c r="C102" s="10"/>
      <c r="D102" s="4">
        <v>61.21</v>
      </c>
      <c r="E102" s="4"/>
      <c r="F102" s="12">
        <f>IF(D$12=0,0,D102/D$12)</f>
        <v>0</v>
      </c>
      <c r="G102" s="4"/>
      <c r="H102" s="4">
        <v>25462.12</v>
      </c>
      <c r="I102" s="4"/>
      <c r="J102" s="12">
        <f>IF(H$12=0,0,H102/H$12)</f>
        <v>0.12243328638685025</v>
      </c>
      <c r="K102" s="4"/>
      <c r="L102" s="4">
        <f>+D102-H102</f>
        <v>-25400.91</v>
      </c>
      <c r="M102" s="4"/>
      <c r="N102" s="12">
        <f>IF(H102=0,0,L102/H102)</f>
        <v>-0.99759603677934128</v>
      </c>
      <c r="O102" s="10"/>
      <c r="P102" s="4">
        <v>478.55</v>
      </c>
      <c r="Q102" s="4"/>
      <c r="R102" s="12">
        <f>IF(P$12=0,0,P102/P$12)</f>
        <v>0.18502051058005697</v>
      </c>
      <c r="S102" s="4"/>
      <c r="T102" s="4">
        <v>175706.16</v>
      </c>
      <c r="U102" s="4"/>
      <c r="V102" s="12">
        <f>IF(T$12=0,0,T102/T$12)</f>
        <v>0.10800770561551902</v>
      </c>
      <c r="W102" s="4"/>
      <c r="X102" s="4">
        <f>+P102-T102</f>
        <v>-175227.61000000002</v>
      </c>
      <c r="Y102" s="4"/>
      <c r="Z102" s="12">
        <f>IF(T102=0,0,X102/T102)</f>
        <v>-0.99727641876642237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8" t="s">
        <v>4</v>
      </c>
      <c r="C104" s="28"/>
      <c r="D104" s="33">
        <f>+D100-D102</f>
        <v>-20782.71</v>
      </c>
      <c r="E104" s="14"/>
      <c r="F104" s="34">
        <f>IF(D$12=0,0,D104/D$12)</f>
        <v>0</v>
      </c>
      <c r="G104" s="14"/>
      <c r="H104" s="33">
        <f>+H100-H102</f>
        <v>-12640.909999999993</v>
      </c>
      <c r="I104" s="14"/>
      <c r="J104" s="34">
        <f>IF(H$12=0,0,H104/H$12)</f>
        <v>-6.078316158357585E-2</v>
      </c>
      <c r="K104" s="15"/>
      <c r="L104" s="33">
        <f>D104-H104</f>
        <v>-8141.8000000000065</v>
      </c>
      <c r="M104" s="15"/>
      <c r="N104" s="34">
        <f>IF(H104=0,0,L104/H104)</f>
        <v>0.64408337690878359</v>
      </c>
      <c r="O104" s="29"/>
      <c r="P104" s="33">
        <f>+P100-P102</f>
        <v>-179035.69</v>
      </c>
      <c r="Q104" s="14"/>
      <c r="R104" s="34">
        <f>IF(P$12=0,0,P104/P$12)</f>
        <v>-69.220091476027164</v>
      </c>
      <c r="S104" s="14"/>
      <c r="T104" s="33">
        <f>+T100-T102</f>
        <v>38153.609999999899</v>
      </c>
      <c r="U104" s="14"/>
      <c r="V104" s="34">
        <f>IF(T$12=0,0,T104/T$12)</f>
        <v>2.3453269236828757E-2</v>
      </c>
      <c r="W104" s="15"/>
      <c r="X104" s="33">
        <f>P104-T104</f>
        <v>-217189.2999999999</v>
      </c>
      <c r="Y104" s="15"/>
      <c r="Z104" s="34">
        <f>IF(T104=0,0,X104/T104)</f>
        <v>-5.6924967257357943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8" t="s">
        <v>5</v>
      </c>
      <c r="C107" s="28"/>
      <c r="D107" s="30">
        <f>SUM(D104:D106)</f>
        <v>-20782.71</v>
      </c>
      <c r="E107" s="14"/>
      <c r="F107" s="32">
        <f>IF(D$12=0,0,D107/D$12)</f>
        <v>0</v>
      </c>
      <c r="G107" s="14"/>
      <c r="H107" s="30">
        <f>SUM(H104:H106)</f>
        <v>-12640.909999999993</v>
      </c>
      <c r="I107" s="14"/>
      <c r="J107" s="32">
        <f>IF(H$12=0,0,H107/H$12)</f>
        <v>-6.078316158357585E-2</v>
      </c>
      <c r="K107" s="15"/>
      <c r="L107" s="30">
        <f>+D107-H107</f>
        <v>-8141.8000000000065</v>
      </c>
      <c r="M107" s="15"/>
      <c r="N107" s="32">
        <f>IF(H107=0,0,L107/H107)</f>
        <v>0.64408337690878359</v>
      </c>
      <c r="O107" s="29"/>
      <c r="P107" s="30">
        <f>SUM(P104:P106)</f>
        <v>-179035.69</v>
      </c>
      <c r="Q107" s="14"/>
      <c r="R107" s="32">
        <f>IF(P$12=0,0,P107/P$12)</f>
        <v>-69.220091476027164</v>
      </c>
      <c r="S107" s="14"/>
      <c r="T107" s="30">
        <f>SUM(T104:T106)</f>
        <v>38153.609999999899</v>
      </c>
      <c r="U107" s="14"/>
      <c r="V107" s="32">
        <f>IF(T$12=0,0,T107/T$12)</f>
        <v>2.3453269236828757E-2</v>
      </c>
      <c r="W107" s="15"/>
      <c r="X107" s="30">
        <f>+P107-T107</f>
        <v>-217189.2999999999</v>
      </c>
      <c r="Y107" s="15"/>
      <c r="Z107" s="32">
        <f>IF(T107=0,0,X107/T107)</f>
        <v>-5.6924967257357943</v>
      </c>
    </row>
    <row r="108" spans="1:26" ht="15.75" thickTop="1" x14ac:dyDescent="0.25">
      <c r="A108" s="9"/>
      <c r="C108" s="9"/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58">
        <v>44209.52136697917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61" t="s">
        <v>313</v>
      </c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57"/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","309", " - ", "Carts")</f>
        <v>Department 309 - Carts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21786.370000000003</v>
      </c>
      <c r="I12" s="4"/>
      <c r="J12" s="12"/>
      <c r="K12" s="4"/>
      <c r="L12" s="4">
        <f t="shared" ref="L12:L14" si="0">+D12-H12</f>
        <v>-21786.370000000003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199194.84</v>
      </c>
      <c r="U12" s="4"/>
      <c r="V12" s="12"/>
      <c r="W12" s="4"/>
      <c r="X12" s="4">
        <f t="shared" ref="X12:X14" si="2">+P12-T12</f>
        <v>-199194.84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--6300.58</f>
        <v>6300.58</v>
      </c>
      <c r="I13" s="2"/>
      <c r="J13" s="19"/>
      <c r="K13" s="2"/>
      <c r="L13" s="2">
        <f t="shared" si="0"/>
        <v>-6300.58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--45239.69</f>
        <v>45239.69</v>
      </c>
      <c r="U13" s="2"/>
      <c r="V13" s="19"/>
      <c r="W13" s="2"/>
      <c r="X13" s="2">
        <f t="shared" si="2"/>
        <v>-45239.69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--15485.79</f>
        <v>15485.79</v>
      </c>
      <c r="I14" s="2"/>
      <c r="J14" s="19"/>
      <c r="K14" s="2"/>
      <c r="L14" s="2">
        <f t="shared" si="0"/>
        <v>-15485.79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--153955.15</f>
        <v>153955.15</v>
      </c>
      <c r="U14" s="2"/>
      <c r="V14" s="19"/>
      <c r="W14" s="2"/>
      <c r="X14" s="2">
        <f t="shared" si="2"/>
        <v>-153955.15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9653.27</v>
      </c>
      <c r="I16" s="4"/>
      <c r="J16" s="12">
        <f t="shared" ref="J16:J18" si="7">IF(H$12=0,0,H16/H$12)</f>
        <v>0.44308758182294705</v>
      </c>
      <c r="K16" s="4"/>
      <c r="L16" s="4">
        <f t="shared" ref="L16:L18" si="8">+D16-H16</f>
        <v>-9653.27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91487.049999999988</v>
      </c>
      <c r="U16" s="4"/>
      <c r="V16" s="12">
        <f t="shared" ref="V16:V18" si="11">IF(T$12=0,0,T16/T$12)</f>
        <v>0.45928423647921801</v>
      </c>
      <c r="W16" s="4"/>
      <c r="X16" s="4">
        <f t="shared" ref="X16:X18" si="12">+P16-T16</f>
        <v>-91487.049999999988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6780.27</v>
      </c>
      <c r="I17" s="2"/>
      <c r="J17" s="19">
        <f t="shared" si="7"/>
        <v>0.31121614110106455</v>
      </c>
      <c r="K17" s="2"/>
      <c r="L17" s="2">
        <f t="shared" si="8"/>
        <v>-6780.27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94356.739999999991</v>
      </c>
      <c r="U17" s="2"/>
      <c r="V17" s="19">
        <f t="shared" si="11"/>
        <v>0.47369068395546787</v>
      </c>
      <c r="W17" s="2"/>
      <c r="X17" s="2">
        <f t="shared" si="12"/>
        <v>-94356.739999999991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2873</v>
      </c>
      <c r="I18" s="2"/>
      <c r="J18" s="19">
        <f t="shared" si="7"/>
        <v>0.13187144072188253</v>
      </c>
      <c r="K18" s="2"/>
      <c r="L18" s="2">
        <f t="shared" si="8"/>
        <v>-2873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-2869.69</v>
      </c>
      <c r="U18" s="2"/>
      <c r="V18" s="19">
        <f t="shared" si="11"/>
        <v>-1.4406447476249888E-2</v>
      </c>
      <c r="W18" s="2"/>
      <c r="X18" s="2">
        <f t="shared" si="12"/>
        <v>2869.69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12133.100000000002</v>
      </c>
      <c r="I20" s="14"/>
      <c r="J20" s="21">
        <f>IF(H$12=0,0,H20/H$12)</f>
        <v>0.55691241817705295</v>
      </c>
      <c r="K20" s="15"/>
      <c r="L20" s="20">
        <f>+D20-H20</f>
        <v>-12133.100000000002</v>
      </c>
      <c r="M20" s="15"/>
      <c r="N20" s="21">
        <f>IF(H20=0,0,L20/H20)</f>
        <v>-1</v>
      </c>
      <c r="O20" s="29"/>
      <c r="P20" s="20">
        <f>P12-P16</f>
        <v>0</v>
      </c>
      <c r="Q20" s="14"/>
      <c r="R20" s="21">
        <f>IF(P$12=0,0,P20/P$12)</f>
        <v>0</v>
      </c>
      <c r="S20" s="14"/>
      <c r="T20" s="20">
        <f>T12-T16</f>
        <v>107707.79000000001</v>
      </c>
      <c r="U20" s="14"/>
      <c r="V20" s="21">
        <f>IF(T$12=0,0,T20/T$12)</f>
        <v>0.54071576352078199</v>
      </c>
      <c r="W20" s="15"/>
      <c r="X20" s="20">
        <f>+P20-T20</f>
        <v>-107707.79000000001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1548.05</v>
      </c>
      <c r="E22" s="22"/>
      <c r="F22" s="36">
        <f t="shared" ref="F22:F31" si="14">IF(D$12=0,0,D22/D$12)</f>
        <v>0</v>
      </c>
      <c r="G22" s="22"/>
      <c r="H22" s="22">
        <f>SUM(OSRRefH22x_0)</f>
        <v>9850.85</v>
      </c>
      <c r="I22" s="22"/>
      <c r="J22" s="36">
        <f t="shared" ref="J22:J31" si="15">IF(H$12=0,0,H22/H$12)</f>
        <v>0.45215655476336808</v>
      </c>
      <c r="K22" s="4"/>
      <c r="L22" s="22">
        <f t="shared" ref="L22:L31" si="16">+D22-H22</f>
        <v>-8302.8000000000011</v>
      </c>
      <c r="M22" s="4"/>
      <c r="N22" s="36">
        <f t="shared" ref="N22:N31" si="17">IF(H22=0,0,L22/H22)</f>
        <v>-0.84285112452224942</v>
      </c>
      <c r="O22" s="10"/>
      <c r="P22" s="22">
        <f>SUM(OSRRefP22x_0)</f>
        <v>6250.9000000000005</v>
      </c>
      <c r="Q22" s="22"/>
      <c r="R22" s="36">
        <f t="shared" ref="R22:R31" si="18">IF(P$12=0,0,P22/P$12)</f>
        <v>0</v>
      </c>
      <c r="S22" s="22"/>
      <c r="T22" s="22">
        <f>SUM(OSRRefT22x_0)</f>
        <v>89360.33</v>
      </c>
      <c r="U22" s="22"/>
      <c r="V22" s="36">
        <f t="shared" ref="V22:V31" si="19">IF(T$12=0,0,T22/T$12)</f>
        <v>0.44860765469627628</v>
      </c>
      <c r="W22" s="4"/>
      <c r="X22" s="22">
        <f t="shared" ref="X22:X31" si="20">+P22-T22</f>
        <v>-83109.430000000008</v>
      </c>
      <c r="Y22" s="4"/>
      <c r="Z22" s="36">
        <f t="shared" ref="Z22:Z31" si="21">IF(T22=0,0,X22/T22)</f>
        <v>-0.93004837829045628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654.78</v>
      </c>
      <c r="I23" s="1"/>
      <c r="J23" s="5">
        <f t="shared" si="15"/>
        <v>3.0054570816524271E-2</v>
      </c>
      <c r="K23" s="1"/>
      <c r="L23" s="1">
        <f t="shared" si="16"/>
        <v>-654.78</v>
      </c>
      <c r="M23" s="1"/>
      <c r="N23" s="5">
        <f t="shared" si="17"/>
        <v>-1</v>
      </c>
      <c r="O23" s="13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11123.479999999998</v>
      </c>
      <c r="U23" s="1"/>
      <c r="V23" s="5">
        <f t="shared" si="19"/>
        <v>5.5842209567275931E-2</v>
      </c>
      <c r="W23" s="1"/>
      <c r="X23" s="1">
        <f t="shared" si="20"/>
        <v>-11123.479999999998</v>
      </c>
      <c r="Y23" s="1"/>
      <c r="Z23" s="5">
        <f t="shared" si="21"/>
        <v>-1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197.98</v>
      </c>
      <c r="I24" s="2"/>
      <c r="J24" s="6">
        <f t="shared" si="15"/>
        <v>9.0873330435497033E-3</v>
      </c>
      <c r="K24" s="2"/>
      <c r="L24" s="7">
        <f t="shared" si="16"/>
        <v>-197.98</v>
      </c>
      <c r="M24" s="2"/>
      <c r="N24" s="6">
        <f t="shared" si="17"/>
        <v>-1</v>
      </c>
      <c r="O24" s="11"/>
      <c r="P24" s="7"/>
      <c r="Q24" s="2"/>
      <c r="R24" s="6">
        <f t="shared" si="18"/>
        <v>0</v>
      </c>
      <c r="S24" s="2"/>
      <c r="T24" s="7">
        <v>2378.39</v>
      </c>
      <c r="U24" s="2"/>
      <c r="V24" s="6">
        <f t="shared" si="19"/>
        <v>1.1940018124967493E-2</v>
      </c>
      <c r="W24" s="2"/>
      <c r="X24" s="7">
        <f t="shared" si="20"/>
        <v>-2378.39</v>
      </c>
      <c r="Y24" s="2"/>
      <c r="Z24" s="6">
        <f t="shared" si="21"/>
        <v>-1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198.17</v>
      </c>
      <c r="I25" s="2"/>
      <c r="J25" s="6">
        <f t="shared" si="15"/>
        <v>9.0960540925358359E-3</v>
      </c>
      <c r="K25" s="2"/>
      <c r="L25" s="7">
        <f t="shared" si="16"/>
        <v>-198.17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897.63</v>
      </c>
      <c r="U25" s="2"/>
      <c r="V25" s="6">
        <f t="shared" si="19"/>
        <v>4.5062914280309674E-3</v>
      </c>
      <c r="W25" s="2"/>
      <c r="X25" s="7">
        <f t="shared" si="20"/>
        <v>-897.63</v>
      </c>
      <c r="Y25" s="2"/>
      <c r="Z25" s="6">
        <f t="shared" si="21"/>
        <v>-1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/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4829.7</v>
      </c>
      <c r="U26" s="2"/>
      <c r="V26" s="6">
        <f t="shared" si="19"/>
        <v>2.4246109989596115E-2</v>
      </c>
      <c r="W26" s="2"/>
      <c r="X26" s="7">
        <f t="shared" si="20"/>
        <v>-4829.7</v>
      </c>
      <c r="Y26" s="2"/>
      <c r="Z26" s="6">
        <f t="shared" si="21"/>
        <v>-1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24.52</v>
      </c>
      <c r="I27" s="2"/>
      <c r="J27" s="6">
        <f t="shared" si="15"/>
        <v>1.1254743217892654E-3</v>
      </c>
      <c r="K27" s="2"/>
      <c r="L27" s="7">
        <f t="shared" si="16"/>
        <v>-24.52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135.88999999999999</v>
      </c>
      <c r="U27" s="2"/>
      <c r="V27" s="6">
        <f t="shared" si="19"/>
        <v>6.8219638621161069E-4</v>
      </c>
      <c r="W27" s="2"/>
      <c r="X27" s="7">
        <f t="shared" si="20"/>
        <v>-135.88999999999999</v>
      </c>
      <c r="Y27" s="2"/>
      <c r="Z27" s="6">
        <f t="shared" si="21"/>
        <v>-1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134.11000000000001</v>
      </c>
      <c r="I28" s="2"/>
      <c r="J28" s="6">
        <f t="shared" si="15"/>
        <v>6.1556835764746487E-3</v>
      </c>
      <c r="K28" s="2"/>
      <c r="L28" s="7">
        <f t="shared" si="16"/>
        <v>-134.11000000000001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938.77</v>
      </c>
      <c r="U28" s="2"/>
      <c r="V28" s="6">
        <f t="shared" si="19"/>
        <v>4.7128228823598043E-3</v>
      </c>
      <c r="W28" s="2"/>
      <c r="X28" s="7">
        <f t="shared" si="20"/>
        <v>-938.77</v>
      </c>
      <c r="Y28" s="2"/>
      <c r="Z28" s="6">
        <f t="shared" si="21"/>
        <v>-1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/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480.48</v>
      </c>
      <c r="U29" s="2"/>
      <c r="V29" s="6">
        <f t="shared" si="19"/>
        <v>2.4121106751560433E-3</v>
      </c>
      <c r="W29" s="2"/>
      <c r="X29" s="7">
        <f t="shared" si="20"/>
        <v>-480.48</v>
      </c>
      <c r="Y29" s="2"/>
      <c r="Z29" s="6">
        <f t="shared" si="21"/>
        <v>-1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/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575.64</v>
      </c>
      <c r="U30" s="2"/>
      <c r="V30" s="6">
        <f t="shared" si="19"/>
        <v>2.8898338932875972E-3</v>
      </c>
      <c r="W30" s="2"/>
      <c r="X30" s="7">
        <f t="shared" si="20"/>
        <v>-575.64</v>
      </c>
      <c r="Y30" s="2"/>
      <c r="Z30" s="6">
        <f t="shared" si="21"/>
        <v>-1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100</v>
      </c>
      <c r="I31" s="2"/>
      <c r="J31" s="6">
        <f t="shared" si="15"/>
        <v>4.5900257821748182E-3</v>
      </c>
      <c r="K31" s="2"/>
      <c r="L31" s="7">
        <f t="shared" si="16"/>
        <v>-100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886.98</v>
      </c>
      <c r="U31" s="2"/>
      <c r="V31" s="6">
        <f t="shared" si="19"/>
        <v>4.452826187666307E-3</v>
      </c>
      <c r="W31" s="2"/>
      <c r="X31" s="7">
        <f t="shared" si="20"/>
        <v>-886.98</v>
      </c>
      <c r="Y31" s="2"/>
      <c r="Z31" s="6">
        <f t="shared" si="21"/>
        <v>-1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6269.02</v>
      </c>
      <c r="I32" s="1"/>
      <c r="J32" s="5">
        <f t="shared" ref="J32:J37" si="23">IF(H$12=0,0,H32/H$12)</f>
        <v>0.2877496342896958</v>
      </c>
      <c r="K32" s="1"/>
      <c r="L32" s="1">
        <f t="shared" ref="L32:L37" si="24">+D32-H32</f>
        <v>-6269.02</v>
      </c>
      <c r="M32" s="1"/>
      <c r="N32" s="5">
        <f t="shared" ref="N32:N37" si="25">IF(H32=0,0,L32/H32)</f>
        <v>-1</v>
      </c>
      <c r="O32" s="13"/>
      <c r="P32" s="1">
        <f>SUM(OSRRefP22_1x_0)</f>
        <v>0</v>
      </c>
      <c r="Q32" s="1"/>
      <c r="R32" s="5">
        <f t="shared" ref="R32:R37" si="26">IF(P$12=0,0,P32/P$12)</f>
        <v>0</v>
      </c>
      <c r="S32" s="1"/>
      <c r="T32" s="1">
        <f>SUM(OSRRefT22_1x_0)</f>
        <v>51637.380000000005</v>
      </c>
      <c r="U32" s="1"/>
      <c r="V32" s="5">
        <f t="shared" ref="V32:V37" si="27">IF(T$12=0,0,T32/T$12)</f>
        <v>0.25923051018791454</v>
      </c>
      <c r="W32" s="1"/>
      <c r="X32" s="1">
        <f t="shared" ref="X32:X37" si="28">+P32-T32</f>
        <v>-51637.380000000005</v>
      </c>
      <c r="Y32" s="1"/>
      <c r="Z32" s="5">
        <f t="shared" ref="Z32:Z37" si="29">IF(T32=0,0,X32/T32)</f>
        <v>-1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/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9840</v>
      </c>
      <c r="U33" s="2"/>
      <c r="V33" s="6">
        <f t="shared" si="27"/>
        <v>4.9398869970728156E-2</v>
      </c>
      <c r="W33" s="2"/>
      <c r="X33" s="7">
        <f t="shared" si="28"/>
        <v>-9840</v>
      </c>
      <c r="Y33" s="2"/>
      <c r="Z33" s="6">
        <f t="shared" si="29"/>
        <v>-1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2476.2800000000002</v>
      </c>
      <c r="I34" s="2"/>
      <c r="J34" s="6">
        <f t="shared" si="23"/>
        <v>0.11366189043883859</v>
      </c>
      <c r="K34" s="2"/>
      <c r="L34" s="7">
        <f t="shared" si="24"/>
        <v>-2476.2800000000002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14988.76</v>
      </c>
      <c r="U34" s="2"/>
      <c r="V34" s="6">
        <f t="shared" si="27"/>
        <v>7.5246728278704406E-2</v>
      </c>
      <c r="W34" s="2"/>
      <c r="X34" s="7">
        <f t="shared" si="28"/>
        <v>-14988.76</v>
      </c>
      <c r="Y34" s="2"/>
      <c r="Z34" s="6">
        <f t="shared" si="29"/>
        <v>-1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2"/>
        <v>0</v>
      </c>
      <c r="G35" s="2"/>
      <c r="H35" s="7">
        <v>111.56</v>
      </c>
      <c r="I35" s="2"/>
      <c r="J35" s="6">
        <f t="shared" si="23"/>
        <v>5.1206327625942273E-3</v>
      </c>
      <c r="K35" s="2"/>
      <c r="L35" s="7">
        <f t="shared" si="24"/>
        <v>-111.56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285.19</v>
      </c>
      <c r="U35" s="2"/>
      <c r="V35" s="6">
        <f t="shared" si="27"/>
        <v>1.4317137933894271E-3</v>
      </c>
      <c r="W35" s="2"/>
      <c r="X35" s="7">
        <f t="shared" si="28"/>
        <v>-285.19</v>
      </c>
      <c r="Y35" s="2"/>
      <c r="Z35" s="6">
        <f t="shared" si="29"/>
        <v>-1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2"/>
        <v>0</v>
      </c>
      <c r="G36" s="2"/>
      <c r="H36" s="7">
        <v>3681.18</v>
      </c>
      <c r="I36" s="2"/>
      <c r="J36" s="6">
        <f t="shared" si="23"/>
        <v>0.16896711108826296</v>
      </c>
      <c r="K36" s="2"/>
      <c r="L36" s="7">
        <f t="shared" si="24"/>
        <v>-3681.18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26466.43</v>
      </c>
      <c r="U36" s="2"/>
      <c r="V36" s="6">
        <f t="shared" si="27"/>
        <v>0.13286704615440842</v>
      </c>
      <c r="W36" s="2"/>
      <c r="X36" s="7">
        <f t="shared" si="28"/>
        <v>-26466.43</v>
      </c>
      <c r="Y36" s="2"/>
      <c r="Z36" s="6">
        <f t="shared" si="29"/>
        <v>-1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2"/>
        <v>0</v>
      </c>
      <c r="G37" s="2"/>
      <c r="H37" s="7"/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57</v>
      </c>
      <c r="U37" s="2"/>
      <c r="V37" s="6">
        <f t="shared" si="27"/>
        <v>2.8615199068409602E-4</v>
      </c>
      <c r="W37" s="2"/>
      <c r="X37" s="7">
        <f t="shared" si="28"/>
        <v>-57</v>
      </c>
      <c r="Y37" s="2"/>
      <c r="Z37" s="6">
        <f t="shared" si="29"/>
        <v>-1</v>
      </c>
    </row>
    <row r="38" spans="1:26" s="25" customFormat="1" outlineLevel="1" collapsed="1" x14ac:dyDescent="0.25">
      <c r="A38" s="26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4" si="30">IF(D$12=0,0,D38/D$12)</f>
        <v>0</v>
      </c>
      <c r="G38" s="1"/>
      <c r="H38" s="1">
        <f>SUM(OSRRefH22_2x_0)</f>
        <v>452.25</v>
      </c>
      <c r="I38" s="1"/>
      <c r="J38" s="5">
        <f t="shared" ref="J38:J54" si="31">IF(H$12=0,0,H38/H$12)</f>
        <v>2.0758391599885614E-2</v>
      </c>
      <c r="K38" s="1"/>
      <c r="L38" s="1">
        <f t="shared" ref="L38:L54" si="32">+D38-H38</f>
        <v>-452.25</v>
      </c>
      <c r="M38" s="1"/>
      <c r="N38" s="5">
        <f t="shared" ref="N38:N54" si="33">IF(H38=0,0,L38/H38)</f>
        <v>-1</v>
      </c>
      <c r="O38" s="13"/>
      <c r="P38" s="1">
        <f>SUM(OSRRefP22_2x_0)</f>
        <v>0</v>
      </c>
      <c r="Q38" s="1"/>
      <c r="R38" s="5">
        <f t="shared" ref="R38:R54" si="34">IF(P$12=0,0,P38/P$12)</f>
        <v>0</v>
      </c>
      <c r="S38" s="1"/>
      <c r="T38" s="1">
        <f>SUM(OSRRefT22_2x_0)</f>
        <v>856.19</v>
      </c>
      <c r="U38" s="1"/>
      <c r="V38" s="5">
        <f t="shared" ref="V38:V54" si="35">IF(T$12=0,0,T38/T$12)</f>
        <v>4.2982539105932667E-3</v>
      </c>
      <c r="W38" s="1"/>
      <c r="X38" s="1">
        <f t="shared" ref="X38:X54" si="36">+P38-T38</f>
        <v>-856.19</v>
      </c>
      <c r="Y38" s="1"/>
      <c r="Z38" s="5">
        <f t="shared" ref="Z38:Z54" si="37">IF(T38=0,0,X38/T38)</f>
        <v>-1</v>
      </c>
    </row>
    <row r="39" spans="1:26" s="24" customFormat="1" hidden="1" outlineLevel="2" x14ac:dyDescent="0.25">
      <c r="A39" s="27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30"/>
        <v>0</v>
      </c>
      <c r="G39" s="2"/>
      <c r="H39" s="7">
        <v>452.25</v>
      </c>
      <c r="I39" s="2"/>
      <c r="J39" s="6">
        <f t="shared" si="31"/>
        <v>2.0758391599885614E-2</v>
      </c>
      <c r="K39" s="2"/>
      <c r="L39" s="7">
        <f t="shared" si="32"/>
        <v>-452.25</v>
      </c>
      <c r="M39" s="2"/>
      <c r="N39" s="6">
        <f t="shared" si="33"/>
        <v>-1</v>
      </c>
      <c r="O39" s="11"/>
      <c r="P39" s="7"/>
      <c r="Q39" s="2"/>
      <c r="R39" s="6">
        <f t="shared" si="34"/>
        <v>0</v>
      </c>
      <c r="S39" s="2"/>
      <c r="T39" s="7">
        <v>856.19</v>
      </c>
      <c r="U39" s="2"/>
      <c r="V39" s="6">
        <f t="shared" si="35"/>
        <v>4.2982539105932667E-3</v>
      </c>
      <c r="W39" s="2"/>
      <c r="X39" s="7">
        <f t="shared" si="36"/>
        <v>-856.19</v>
      </c>
      <c r="Y39" s="2"/>
      <c r="Z39" s="6">
        <f t="shared" si="37"/>
        <v>-1</v>
      </c>
    </row>
    <row r="40" spans="1:26" s="25" customFormat="1" outlineLevel="1" collapsed="1" x14ac:dyDescent="0.25">
      <c r="A40" s="26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-11.89</v>
      </c>
      <c r="I40" s="1"/>
      <c r="J40" s="5">
        <f t="shared" si="31"/>
        <v>-5.4575406550058582E-4</v>
      </c>
      <c r="K40" s="1"/>
      <c r="L40" s="1">
        <f t="shared" si="32"/>
        <v>11.89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-11.14</v>
      </c>
      <c r="U40" s="1"/>
      <c r="V40" s="5">
        <f t="shared" si="35"/>
        <v>-5.5925143442470701E-5</v>
      </c>
      <c r="W40" s="1"/>
      <c r="X40" s="1">
        <f t="shared" si="36"/>
        <v>11.14</v>
      </c>
      <c r="Y40" s="1"/>
      <c r="Z40" s="5">
        <f t="shared" si="37"/>
        <v>-1</v>
      </c>
    </row>
    <row r="41" spans="1:26" s="24" customFormat="1" hidden="1" outlineLevel="2" x14ac:dyDescent="0.25">
      <c r="A41" s="27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30"/>
        <v>0</v>
      </c>
      <c r="G41" s="2"/>
      <c r="H41" s="7">
        <v>-11.89</v>
      </c>
      <c r="I41" s="2"/>
      <c r="J41" s="6">
        <f t="shared" si="31"/>
        <v>-5.4575406550058582E-4</v>
      </c>
      <c r="K41" s="2"/>
      <c r="L41" s="7">
        <f t="shared" si="32"/>
        <v>11.89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-11.14</v>
      </c>
      <c r="U41" s="2"/>
      <c r="V41" s="6">
        <f t="shared" si="35"/>
        <v>-5.5925143442470701E-5</v>
      </c>
      <c r="W41" s="2"/>
      <c r="X41" s="7">
        <f t="shared" si="36"/>
        <v>11.14</v>
      </c>
      <c r="Y41" s="2"/>
      <c r="Z41" s="6">
        <f t="shared" si="37"/>
        <v>-1</v>
      </c>
    </row>
    <row r="42" spans="1:26" s="25" customFormat="1" outlineLevel="1" collapsed="1" x14ac:dyDescent="0.25">
      <c r="A42" s="26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727.26</v>
      </c>
      <c r="I42" s="1"/>
      <c r="J42" s="5">
        <f t="shared" si="31"/>
        <v>3.3381421503444579E-2</v>
      </c>
      <c r="K42" s="1"/>
      <c r="L42" s="1">
        <f t="shared" si="32"/>
        <v>-727.26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6715.12</v>
      </c>
      <c r="U42" s="1"/>
      <c r="V42" s="5">
        <f t="shared" si="35"/>
        <v>3.3711315011975211E-2</v>
      </c>
      <c r="W42" s="1"/>
      <c r="X42" s="1">
        <f t="shared" si="36"/>
        <v>-6715.12</v>
      </c>
      <c r="Y42" s="1"/>
      <c r="Z42" s="5">
        <f t="shared" si="37"/>
        <v>-1</v>
      </c>
    </row>
    <row r="43" spans="1:26" s="24" customFormat="1" hidden="1" outlineLevel="2" x14ac:dyDescent="0.25">
      <c r="A43" s="27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30"/>
        <v>0</v>
      </c>
      <c r="G43" s="2"/>
      <c r="H43" s="7">
        <v>727.26</v>
      </c>
      <c r="I43" s="2"/>
      <c r="J43" s="6">
        <f t="shared" si="31"/>
        <v>3.3381421503444579E-2</v>
      </c>
      <c r="K43" s="2"/>
      <c r="L43" s="7">
        <f t="shared" si="32"/>
        <v>-727.26</v>
      </c>
      <c r="M43" s="2"/>
      <c r="N43" s="6">
        <f t="shared" si="33"/>
        <v>-1</v>
      </c>
      <c r="O43" s="11"/>
      <c r="P43" s="7"/>
      <c r="Q43" s="2"/>
      <c r="R43" s="6">
        <f t="shared" si="34"/>
        <v>0</v>
      </c>
      <c r="S43" s="2"/>
      <c r="T43" s="7">
        <v>6715.12</v>
      </c>
      <c r="U43" s="2"/>
      <c r="V43" s="6">
        <f t="shared" si="35"/>
        <v>3.3711315011975211E-2</v>
      </c>
      <c r="W43" s="2"/>
      <c r="X43" s="7">
        <f t="shared" si="36"/>
        <v>-6715.12</v>
      </c>
      <c r="Y43" s="2"/>
      <c r="Z43" s="6">
        <f t="shared" si="37"/>
        <v>-1</v>
      </c>
    </row>
    <row r="44" spans="1:26" s="25" customFormat="1" outlineLevel="1" collapsed="1" x14ac:dyDescent="0.25">
      <c r="A44" s="26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588.16999999999996</v>
      </c>
      <c r="E44" s="1"/>
      <c r="F44" s="5">
        <f t="shared" si="30"/>
        <v>0</v>
      </c>
      <c r="G44" s="1"/>
      <c r="H44" s="1">
        <f>SUM(OSRRefH22_5x_0)</f>
        <v>155.66999999999999</v>
      </c>
      <c r="I44" s="1"/>
      <c r="J44" s="5">
        <f t="shared" si="31"/>
        <v>7.1452931351115388E-3</v>
      </c>
      <c r="K44" s="1"/>
      <c r="L44" s="1">
        <f t="shared" si="32"/>
        <v>432.5</v>
      </c>
      <c r="M44" s="1"/>
      <c r="N44" s="5">
        <f t="shared" si="33"/>
        <v>2.778313098220595</v>
      </c>
      <c r="O44" s="13"/>
      <c r="P44" s="1">
        <f>SUM(OSRRefP22_5x_0)</f>
        <v>3264.8</v>
      </c>
      <c r="Q44" s="1"/>
      <c r="R44" s="5">
        <f t="shared" si="34"/>
        <v>0</v>
      </c>
      <c r="S44" s="1"/>
      <c r="T44" s="1">
        <f>SUM(OSRRefT22_5x_0)</f>
        <v>934.02</v>
      </c>
      <c r="U44" s="1"/>
      <c r="V44" s="5">
        <f t="shared" si="35"/>
        <v>4.6889768831361294E-3</v>
      </c>
      <c r="W44" s="1"/>
      <c r="X44" s="1">
        <f t="shared" si="36"/>
        <v>2330.7800000000002</v>
      </c>
      <c r="Y44" s="1"/>
      <c r="Z44" s="5">
        <f t="shared" si="37"/>
        <v>2.4954283634183425</v>
      </c>
    </row>
    <row r="45" spans="1:26" s="24" customFormat="1" hidden="1" outlineLevel="2" x14ac:dyDescent="0.25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588.16999999999996</v>
      </c>
      <c r="E45" s="2"/>
      <c r="F45" s="6">
        <f t="shared" si="30"/>
        <v>0</v>
      </c>
      <c r="G45" s="2"/>
      <c r="H45" s="7">
        <v>155.66999999999999</v>
      </c>
      <c r="I45" s="2"/>
      <c r="J45" s="6">
        <f t="shared" si="31"/>
        <v>7.1452931351115388E-3</v>
      </c>
      <c r="K45" s="2"/>
      <c r="L45" s="7">
        <f t="shared" si="32"/>
        <v>432.5</v>
      </c>
      <c r="M45" s="2"/>
      <c r="N45" s="6">
        <f t="shared" si="33"/>
        <v>2.778313098220595</v>
      </c>
      <c r="O45" s="11"/>
      <c r="P45" s="7">
        <v>3264.8</v>
      </c>
      <c r="Q45" s="2"/>
      <c r="R45" s="6">
        <f t="shared" si="34"/>
        <v>0</v>
      </c>
      <c r="S45" s="2"/>
      <c r="T45" s="7">
        <v>934.02</v>
      </c>
      <c r="U45" s="2"/>
      <c r="V45" s="6">
        <f t="shared" si="35"/>
        <v>4.6889768831361294E-3</v>
      </c>
      <c r="W45" s="2"/>
      <c r="X45" s="7">
        <f t="shared" si="36"/>
        <v>2330.7800000000002</v>
      </c>
      <c r="Y45" s="2"/>
      <c r="Z45" s="6">
        <f t="shared" si="37"/>
        <v>2.4954283634183425</v>
      </c>
    </row>
    <row r="46" spans="1:26" s="25" customFormat="1" outlineLevel="1" collapsed="1" x14ac:dyDescent="0.25">
      <c r="A46" s="26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22.35</v>
      </c>
      <c r="I46" s="1"/>
      <c r="J46" s="5">
        <f t="shared" si="31"/>
        <v>1.0258707623160719E-3</v>
      </c>
      <c r="K46" s="1"/>
      <c r="L46" s="1">
        <f t="shared" si="32"/>
        <v>-22.35</v>
      </c>
      <c r="M46" s="1"/>
      <c r="N46" s="5">
        <f t="shared" si="33"/>
        <v>-1</v>
      </c>
      <c r="O46" s="13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22.35</v>
      </c>
      <c r="U46" s="1"/>
      <c r="V46" s="5">
        <f t="shared" si="35"/>
        <v>1.1220170161034292E-4</v>
      </c>
      <c r="W46" s="1"/>
      <c r="X46" s="1">
        <f t="shared" si="36"/>
        <v>-22.35</v>
      </c>
      <c r="Y46" s="1"/>
      <c r="Z46" s="5">
        <f t="shared" si="37"/>
        <v>-1</v>
      </c>
    </row>
    <row r="47" spans="1:26" s="24" customFormat="1" hidden="1" outlineLevel="2" x14ac:dyDescent="0.25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30"/>
        <v>0</v>
      </c>
      <c r="G47" s="2"/>
      <c r="H47" s="7">
        <v>22.35</v>
      </c>
      <c r="I47" s="2"/>
      <c r="J47" s="6">
        <f t="shared" si="31"/>
        <v>1.0258707623160719E-3</v>
      </c>
      <c r="K47" s="2"/>
      <c r="L47" s="7">
        <f t="shared" si="32"/>
        <v>-22.35</v>
      </c>
      <c r="M47" s="2"/>
      <c r="N47" s="6">
        <f t="shared" si="33"/>
        <v>-1</v>
      </c>
      <c r="O47" s="11"/>
      <c r="P47" s="7"/>
      <c r="Q47" s="2"/>
      <c r="R47" s="6">
        <f t="shared" si="34"/>
        <v>0</v>
      </c>
      <c r="S47" s="2"/>
      <c r="T47" s="7">
        <v>22.35</v>
      </c>
      <c r="U47" s="2"/>
      <c r="V47" s="6">
        <f t="shared" si="35"/>
        <v>1.1220170161034292E-4</v>
      </c>
      <c r="W47" s="2"/>
      <c r="X47" s="7">
        <f t="shared" si="36"/>
        <v>-22.35</v>
      </c>
      <c r="Y47" s="2"/>
      <c r="Z47" s="6">
        <f t="shared" si="37"/>
        <v>-1</v>
      </c>
    </row>
    <row r="48" spans="1:26" s="25" customFormat="1" outlineLevel="1" collapsed="1" x14ac:dyDescent="0.25">
      <c r="A48" s="26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12</v>
      </c>
      <c r="E48" s="1"/>
      <c r="F48" s="5">
        <f t="shared" si="30"/>
        <v>0</v>
      </c>
      <c r="G48" s="1"/>
      <c r="H48" s="1">
        <f>SUM(OSRRefH22_7x_0)</f>
        <v>12</v>
      </c>
      <c r="I48" s="1"/>
      <c r="J48" s="5">
        <f t="shared" si="31"/>
        <v>5.5080309386097812E-4</v>
      </c>
      <c r="K48" s="1"/>
      <c r="L48" s="1">
        <f t="shared" si="32"/>
        <v>0</v>
      </c>
      <c r="M48" s="1"/>
      <c r="N48" s="5">
        <f t="shared" si="33"/>
        <v>0</v>
      </c>
      <c r="O48" s="13"/>
      <c r="P48" s="1">
        <f>SUM(OSRRefP22_7x_0)</f>
        <v>12</v>
      </c>
      <c r="Q48" s="1"/>
      <c r="R48" s="5">
        <f t="shared" si="34"/>
        <v>0</v>
      </c>
      <c r="S48" s="1"/>
      <c r="T48" s="1">
        <f>SUM(OSRRefT22_7x_0)</f>
        <v>12</v>
      </c>
      <c r="U48" s="1"/>
      <c r="V48" s="5">
        <f t="shared" si="35"/>
        <v>6.0242524354546535E-5</v>
      </c>
      <c r="W48" s="1"/>
      <c r="X48" s="1">
        <f t="shared" si="36"/>
        <v>0</v>
      </c>
      <c r="Y48" s="1"/>
      <c r="Z48" s="5">
        <f t="shared" si="37"/>
        <v>0</v>
      </c>
    </row>
    <row r="49" spans="1:26" s="24" customFormat="1" hidden="1" outlineLevel="2" x14ac:dyDescent="0.25">
      <c r="A49" s="27"/>
      <c r="B49" s="11" t="str">
        <f>CONCATENATE("          ", "6351", " - ", "EQUIPMENT RENTAL")</f>
        <v xml:space="preserve">          6351 - EQUIPMENT RENTAL</v>
      </c>
      <c r="C49" s="11"/>
      <c r="D49" s="7">
        <v>12</v>
      </c>
      <c r="E49" s="2"/>
      <c r="F49" s="6">
        <f t="shared" si="30"/>
        <v>0</v>
      </c>
      <c r="G49" s="2"/>
      <c r="H49" s="7">
        <v>12</v>
      </c>
      <c r="I49" s="2"/>
      <c r="J49" s="6">
        <f t="shared" si="31"/>
        <v>5.5080309386097812E-4</v>
      </c>
      <c r="K49" s="2"/>
      <c r="L49" s="7">
        <f t="shared" si="32"/>
        <v>0</v>
      </c>
      <c r="M49" s="2"/>
      <c r="N49" s="6">
        <f t="shared" si="33"/>
        <v>0</v>
      </c>
      <c r="O49" s="11"/>
      <c r="P49" s="7">
        <v>12</v>
      </c>
      <c r="Q49" s="2"/>
      <c r="R49" s="6">
        <f t="shared" si="34"/>
        <v>0</v>
      </c>
      <c r="S49" s="2"/>
      <c r="T49" s="7">
        <v>12</v>
      </c>
      <c r="U49" s="2"/>
      <c r="V49" s="6">
        <f t="shared" si="35"/>
        <v>6.0242524354546535E-5</v>
      </c>
      <c r="W49" s="2"/>
      <c r="X49" s="7">
        <f t="shared" si="36"/>
        <v>0</v>
      </c>
      <c r="Y49" s="2"/>
      <c r="Z49" s="6">
        <f t="shared" si="37"/>
        <v>0</v>
      </c>
    </row>
    <row r="50" spans="1:26" s="25" customFormat="1" outlineLevel="1" collapsed="1" x14ac:dyDescent="0.25">
      <c r="A50" s="26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160</v>
      </c>
      <c r="E50" s="1"/>
      <c r="F50" s="5">
        <f t="shared" si="30"/>
        <v>0</v>
      </c>
      <c r="G50" s="1"/>
      <c r="H50" s="1">
        <f>SUM(OSRRefH22_8x_0)</f>
        <v>161.5</v>
      </c>
      <c r="I50" s="1"/>
      <c r="J50" s="5">
        <f t="shared" si="31"/>
        <v>7.4128916382123307E-3</v>
      </c>
      <c r="K50" s="1"/>
      <c r="L50" s="1">
        <f t="shared" si="32"/>
        <v>-1.5</v>
      </c>
      <c r="M50" s="1"/>
      <c r="N50" s="5">
        <f t="shared" si="33"/>
        <v>-9.2879256965944269E-3</v>
      </c>
      <c r="O50" s="13"/>
      <c r="P50" s="1">
        <f>SUM(OSRRefP22_8x_0)</f>
        <v>575</v>
      </c>
      <c r="Q50" s="1"/>
      <c r="R50" s="5">
        <f t="shared" si="34"/>
        <v>0</v>
      </c>
      <c r="S50" s="1"/>
      <c r="T50" s="1">
        <f>SUM(OSRRefT22_8x_0)</f>
        <v>2057.59</v>
      </c>
      <c r="U50" s="1"/>
      <c r="V50" s="5">
        <f t="shared" si="35"/>
        <v>1.0329534640555952E-2</v>
      </c>
      <c r="W50" s="1"/>
      <c r="X50" s="1">
        <f t="shared" si="36"/>
        <v>-1482.5900000000001</v>
      </c>
      <c r="Y50" s="1"/>
      <c r="Z50" s="5">
        <f t="shared" si="37"/>
        <v>-0.72054685335756885</v>
      </c>
    </row>
    <row r="51" spans="1:26" s="24" customFormat="1" hidden="1" outlineLevel="2" x14ac:dyDescent="0.25">
      <c r="A51" s="27"/>
      <c r="B51" s="11" t="str">
        <f>CONCATENATE("          ", "6279", " - ", "GENERAL EXPENSE")</f>
        <v xml:space="preserve">          6279 - GENERAL EXPENSE</v>
      </c>
      <c r="C51" s="11"/>
      <c r="D51" s="7">
        <v>160</v>
      </c>
      <c r="E51" s="2"/>
      <c r="F51" s="6">
        <f t="shared" si="30"/>
        <v>0</v>
      </c>
      <c r="G51" s="2"/>
      <c r="H51" s="7">
        <v>161.5</v>
      </c>
      <c r="I51" s="2"/>
      <c r="J51" s="6">
        <f t="shared" si="31"/>
        <v>7.4128916382123307E-3</v>
      </c>
      <c r="K51" s="2"/>
      <c r="L51" s="7">
        <f t="shared" si="32"/>
        <v>-1.5</v>
      </c>
      <c r="M51" s="2"/>
      <c r="N51" s="6">
        <f t="shared" si="33"/>
        <v>-9.2879256965944269E-3</v>
      </c>
      <c r="O51" s="11"/>
      <c r="P51" s="7">
        <v>575</v>
      </c>
      <c r="Q51" s="2"/>
      <c r="R51" s="6">
        <f t="shared" si="34"/>
        <v>0</v>
      </c>
      <c r="S51" s="2"/>
      <c r="T51" s="7">
        <v>2057.59</v>
      </c>
      <c r="U51" s="2"/>
      <c r="V51" s="6">
        <f t="shared" si="35"/>
        <v>1.0329534640555952E-2</v>
      </c>
      <c r="W51" s="2"/>
      <c r="X51" s="7">
        <f t="shared" si="36"/>
        <v>-1482.5900000000001</v>
      </c>
      <c r="Y51" s="2"/>
      <c r="Z51" s="6">
        <f t="shared" si="37"/>
        <v>-0.72054685335756885</v>
      </c>
    </row>
    <row r="52" spans="1:26" s="25" customFormat="1" outlineLevel="1" collapsed="1" x14ac:dyDescent="0.25">
      <c r="A52" s="26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48.23</v>
      </c>
      <c r="E52" s="1"/>
      <c r="F52" s="5">
        <f t="shared" si="30"/>
        <v>0</v>
      </c>
      <c r="G52" s="1"/>
      <c r="H52" s="1">
        <f>SUM(OSRRefH22_9x_0)</f>
        <v>200.85999999999999</v>
      </c>
      <c r="I52" s="1"/>
      <c r="J52" s="5">
        <f t="shared" si="31"/>
        <v>9.2195257860763387E-3</v>
      </c>
      <c r="K52" s="1"/>
      <c r="L52" s="1">
        <f t="shared" si="32"/>
        <v>-152.63</v>
      </c>
      <c r="M52" s="1"/>
      <c r="N52" s="5">
        <f t="shared" si="33"/>
        <v>-0.75988250522752165</v>
      </c>
      <c r="O52" s="13"/>
      <c r="P52" s="1">
        <f>SUM(OSRRefP22_9x_0)</f>
        <v>1232.0500000000002</v>
      </c>
      <c r="Q52" s="1"/>
      <c r="R52" s="5">
        <f t="shared" si="34"/>
        <v>0</v>
      </c>
      <c r="S52" s="1"/>
      <c r="T52" s="1">
        <f>SUM(OSRRefT22_9x_0)</f>
        <v>5955.66</v>
      </c>
      <c r="U52" s="1"/>
      <c r="V52" s="5">
        <f t="shared" si="35"/>
        <v>2.9898666049783217E-2</v>
      </c>
      <c r="W52" s="1"/>
      <c r="X52" s="1">
        <f t="shared" si="36"/>
        <v>-4723.6099999999997</v>
      </c>
      <c r="Y52" s="1"/>
      <c r="Z52" s="5">
        <f t="shared" si="37"/>
        <v>-0.79312956078755337</v>
      </c>
    </row>
    <row r="53" spans="1:26" s="24" customFormat="1" hidden="1" outlineLevel="2" x14ac:dyDescent="0.25">
      <c r="A53" s="27"/>
      <c r="B53" s="11" t="str">
        <f>CONCATENATE("          ", "6373", " - ", "MAINTENANCE CONTRACTS")</f>
        <v xml:space="preserve">          6373 - MAINTENANCE CONTRACTS</v>
      </c>
      <c r="C53" s="11"/>
      <c r="D53" s="7">
        <v>48.23</v>
      </c>
      <c r="E53" s="2"/>
      <c r="F53" s="6">
        <f t="shared" si="30"/>
        <v>0</v>
      </c>
      <c r="G53" s="2"/>
      <c r="H53" s="7">
        <v>47.57</v>
      </c>
      <c r="I53" s="2"/>
      <c r="J53" s="6">
        <f t="shared" si="31"/>
        <v>2.1834752645805608E-3</v>
      </c>
      <c r="K53" s="2"/>
      <c r="L53" s="7">
        <f t="shared" si="32"/>
        <v>0.65999999999999659</v>
      </c>
      <c r="M53" s="2"/>
      <c r="N53" s="6">
        <f t="shared" si="33"/>
        <v>1.3874290519234739E-2</v>
      </c>
      <c r="O53" s="11"/>
      <c r="P53" s="7">
        <v>214.36</v>
      </c>
      <c r="Q53" s="2"/>
      <c r="R53" s="6">
        <f t="shared" si="34"/>
        <v>0</v>
      </c>
      <c r="S53" s="2"/>
      <c r="T53" s="7">
        <v>93.22</v>
      </c>
      <c r="U53" s="2"/>
      <c r="V53" s="6">
        <f t="shared" si="35"/>
        <v>4.6798401002756901E-4</v>
      </c>
      <c r="W53" s="2"/>
      <c r="X53" s="7">
        <f t="shared" si="36"/>
        <v>121.14000000000001</v>
      </c>
      <c r="Y53" s="2"/>
      <c r="Z53" s="6">
        <f t="shared" si="37"/>
        <v>1.2995065436601589</v>
      </c>
    </row>
    <row r="54" spans="1:26" s="24" customFormat="1" hidden="1" outlineLevel="2" x14ac:dyDescent="0.25">
      <c r="A54" s="27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30"/>
        <v>0</v>
      </c>
      <c r="G54" s="2"/>
      <c r="H54" s="7">
        <v>153.29</v>
      </c>
      <c r="I54" s="2"/>
      <c r="J54" s="6">
        <f t="shared" si="31"/>
        <v>7.0360505214957783E-3</v>
      </c>
      <c r="K54" s="2"/>
      <c r="L54" s="7">
        <f t="shared" si="32"/>
        <v>-153.29</v>
      </c>
      <c r="M54" s="2"/>
      <c r="N54" s="6">
        <f t="shared" si="33"/>
        <v>-1</v>
      </c>
      <c r="O54" s="11"/>
      <c r="P54" s="7">
        <v>1017.69</v>
      </c>
      <c r="Q54" s="2"/>
      <c r="R54" s="6">
        <f t="shared" si="34"/>
        <v>0</v>
      </c>
      <c r="S54" s="2"/>
      <c r="T54" s="7">
        <v>5862.44</v>
      </c>
      <c r="U54" s="2"/>
      <c r="V54" s="6">
        <f t="shared" si="35"/>
        <v>2.9430682039755646E-2</v>
      </c>
      <c r="W54" s="2"/>
      <c r="X54" s="7">
        <f t="shared" si="36"/>
        <v>-4844.75</v>
      </c>
      <c r="Y54" s="2"/>
      <c r="Z54" s="6">
        <f t="shared" si="37"/>
        <v>-0.82640504636294787</v>
      </c>
    </row>
    <row r="55" spans="1:26" s="25" customFormat="1" outlineLevel="1" collapsed="1" x14ac:dyDescent="0.25">
      <c r="A55" s="26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SUM(OSRRefD22_10x_0)</f>
        <v>709.65</v>
      </c>
      <c r="E55" s="1"/>
      <c r="F55" s="5">
        <f t="shared" ref="F55:F58" si="38">IF(D$12=0,0,D55/D$12)</f>
        <v>0</v>
      </c>
      <c r="G55" s="1"/>
      <c r="H55" s="1">
        <f>SUM(OSRRefH22_10x_0)</f>
        <v>354.86</v>
      </c>
      <c r="I55" s="1"/>
      <c r="J55" s="5">
        <f t="shared" ref="J55:J58" si="39">IF(H$12=0,0,H55/H$12)</f>
        <v>1.6288165490625558E-2</v>
      </c>
      <c r="K55" s="1"/>
      <c r="L55" s="1">
        <f t="shared" ref="L55:L58" si="40">+D55-H55</f>
        <v>354.78999999999996</v>
      </c>
      <c r="M55" s="1"/>
      <c r="N55" s="5">
        <f t="shared" ref="N55:N58" si="41">IF(H55=0,0,L55/H55)</f>
        <v>0.99980273910838058</v>
      </c>
      <c r="O55" s="13"/>
      <c r="P55" s="1">
        <f>SUM(OSRRefP22_10x_0)</f>
        <v>892.73</v>
      </c>
      <c r="Q55" s="1"/>
      <c r="R55" s="5">
        <f t="shared" ref="R55:R58" si="42">IF(P$12=0,0,P55/P$12)</f>
        <v>0</v>
      </c>
      <c r="S55" s="1"/>
      <c r="T55" s="1">
        <f>SUM(OSRRefT22_10x_0)</f>
        <v>2457.09</v>
      </c>
      <c r="U55" s="1"/>
      <c r="V55" s="5">
        <f t="shared" ref="V55:V58" si="43">IF(T$12=0,0,T55/T$12)</f>
        <v>1.2335108680526063E-2</v>
      </c>
      <c r="W55" s="1"/>
      <c r="X55" s="1">
        <f t="shared" ref="X55:X58" si="44">+P55-T55</f>
        <v>-1564.3600000000001</v>
      </c>
      <c r="Y55" s="1"/>
      <c r="Z55" s="5">
        <f t="shared" ref="Z55:Z58" si="45">IF(T55=0,0,X55/T55)</f>
        <v>-0.63667183538250538</v>
      </c>
    </row>
    <row r="56" spans="1:26" s="24" customFormat="1" hidden="1" outlineLevel="2" x14ac:dyDescent="0.25">
      <c r="A56" s="27"/>
      <c r="B56" s="11" t="str">
        <f>CONCATENATE("          ", "6282", " - ", "JANITORIAL/EXTERMINATOR EXPENS")</f>
        <v xml:space="preserve">          6282 - JANITORIAL/EXTERMINATOR EXPENS</v>
      </c>
      <c r="C56" s="11"/>
      <c r="D56" s="7">
        <v>709.65</v>
      </c>
      <c r="E56" s="2"/>
      <c r="F56" s="6">
        <f t="shared" si="38"/>
        <v>0</v>
      </c>
      <c r="G56" s="2"/>
      <c r="H56" s="7">
        <v>327.93</v>
      </c>
      <c r="I56" s="2"/>
      <c r="J56" s="6">
        <f t="shared" si="39"/>
        <v>1.5052071547485881E-2</v>
      </c>
      <c r="K56" s="2"/>
      <c r="L56" s="7">
        <f t="shared" si="40"/>
        <v>381.71999999999997</v>
      </c>
      <c r="M56" s="2"/>
      <c r="N56" s="6">
        <f t="shared" si="41"/>
        <v>1.1640289086085445</v>
      </c>
      <c r="O56" s="11"/>
      <c r="P56" s="7">
        <v>1065.77</v>
      </c>
      <c r="Q56" s="2"/>
      <c r="R56" s="6">
        <f t="shared" si="42"/>
        <v>0</v>
      </c>
      <c r="S56" s="2"/>
      <c r="T56" s="7">
        <v>2109.5100000000002</v>
      </c>
      <c r="U56" s="2"/>
      <c r="V56" s="6">
        <f t="shared" si="43"/>
        <v>1.0590183962596623E-2</v>
      </c>
      <c r="W56" s="2"/>
      <c r="X56" s="7">
        <f t="shared" si="44"/>
        <v>-1043.7400000000002</v>
      </c>
      <c r="Y56" s="2"/>
      <c r="Z56" s="6">
        <f t="shared" si="45"/>
        <v>-0.49477840825594577</v>
      </c>
    </row>
    <row r="57" spans="1:26" s="24" customFormat="1" hidden="1" outlineLevel="2" x14ac:dyDescent="0.25">
      <c r="A57" s="27"/>
      <c r="B57" s="11" t="str">
        <f>CONCATENATE("          ", "6285", " - ", "JANITORIAL SERVICES")</f>
        <v xml:space="preserve">          6285 - JANITORIAL SERVICES</v>
      </c>
      <c r="C57" s="11"/>
      <c r="D57" s="7"/>
      <c r="E57" s="2"/>
      <c r="F57" s="6">
        <f t="shared" si="38"/>
        <v>0</v>
      </c>
      <c r="G57" s="2"/>
      <c r="H57" s="7">
        <v>26.93</v>
      </c>
      <c r="I57" s="2"/>
      <c r="J57" s="6">
        <f t="shared" si="39"/>
        <v>1.2360939431396785E-3</v>
      </c>
      <c r="K57" s="2"/>
      <c r="L57" s="7">
        <f t="shared" si="40"/>
        <v>-26.93</v>
      </c>
      <c r="M57" s="2"/>
      <c r="N57" s="6">
        <f t="shared" si="41"/>
        <v>-1</v>
      </c>
      <c r="O57" s="11"/>
      <c r="P57" s="7">
        <v>-173.04</v>
      </c>
      <c r="Q57" s="2"/>
      <c r="R57" s="6">
        <f t="shared" si="42"/>
        <v>0</v>
      </c>
      <c r="S57" s="2"/>
      <c r="T57" s="7">
        <v>161.58000000000001</v>
      </c>
      <c r="U57" s="2"/>
      <c r="V57" s="6">
        <f t="shared" si="43"/>
        <v>8.1116559043396916E-4</v>
      </c>
      <c r="W57" s="2"/>
      <c r="X57" s="7">
        <f t="shared" si="44"/>
        <v>-334.62</v>
      </c>
      <c r="Y57" s="2"/>
      <c r="Z57" s="6">
        <f t="shared" si="45"/>
        <v>-2.0709246193835869</v>
      </c>
    </row>
    <row r="58" spans="1:26" s="24" customFormat="1" hidden="1" outlineLevel="2" x14ac:dyDescent="0.25">
      <c r="A58" s="27"/>
      <c r="B58" s="11" t="str">
        <f>CONCATENATE("          ", "6286", " - ", "LAUNDRY EXPENSE")</f>
        <v xml:space="preserve">          6286 - LAUNDRY EXPENSE</v>
      </c>
      <c r="C58" s="11"/>
      <c r="D58" s="7"/>
      <c r="E58" s="2"/>
      <c r="F58" s="6">
        <f t="shared" si="38"/>
        <v>0</v>
      </c>
      <c r="G58" s="2"/>
      <c r="H58" s="7"/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/>
      <c r="Q58" s="2"/>
      <c r="R58" s="6">
        <f t="shared" si="42"/>
        <v>0</v>
      </c>
      <c r="S58" s="2"/>
      <c r="T58" s="7">
        <v>186</v>
      </c>
      <c r="U58" s="2"/>
      <c r="V58" s="6">
        <f t="shared" si="43"/>
        <v>9.3375912749547125E-4</v>
      </c>
      <c r="W58" s="2"/>
      <c r="X58" s="7">
        <f t="shared" si="44"/>
        <v>-186</v>
      </c>
      <c r="Y58" s="2"/>
      <c r="Z58" s="6">
        <f t="shared" si="45"/>
        <v>-1</v>
      </c>
    </row>
    <row r="59" spans="1:26" s="25" customFormat="1" outlineLevel="1" collapsed="1" x14ac:dyDescent="0.25">
      <c r="A59" s="26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SUM(OSRRefD22_11x_0)</f>
        <v>0</v>
      </c>
      <c r="E59" s="1"/>
      <c r="F59" s="5">
        <f t="shared" ref="F59:F62" si="46">IF(D$12=0,0,D59/D$12)</f>
        <v>0</v>
      </c>
      <c r="G59" s="1"/>
      <c r="H59" s="1">
        <f>SUM(OSRRefH22_11x_0)</f>
        <v>761.18000000000006</v>
      </c>
      <c r="I59" s="1"/>
      <c r="J59" s="5">
        <f t="shared" ref="J59:J62" si="47">IF(H$12=0,0,H59/H$12)</f>
        <v>3.4938358248758281E-2</v>
      </c>
      <c r="K59" s="1"/>
      <c r="L59" s="1">
        <f t="shared" ref="L59:L62" si="48">+D59-H59</f>
        <v>-761.18000000000006</v>
      </c>
      <c r="M59" s="1"/>
      <c r="N59" s="5">
        <f t="shared" ref="N59:N62" si="49">IF(H59=0,0,L59/H59)</f>
        <v>-1</v>
      </c>
      <c r="O59" s="13"/>
      <c r="P59" s="1">
        <f>SUM(OSRRefP22_11x_0)</f>
        <v>0</v>
      </c>
      <c r="Q59" s="1"/>
      <c r="R59" s="5">
        <f t="shared" ref="R59:R62" si="50">IF(P$12=0,0,P59/P$12)</f>
        <v>0</v>
      </c>
      <c r="S59" s="1"/>
      <c r="T59" s="1">
        <f>SUM(OSRRefT22_11x_0)</f>
        <v>7054.5300000000007</v>
      </c>
      <c r="U59" s="1"/>
      <c r="V59" s="5">
        <f t="shared" ref="V59:V62" si="51">IF(T$12=0,0,T59/T$12)</f>
        <v>3.5415224611239936E-2</v>
      </c>
      <c r="W59" s="1"/>
      <c r="X59" s="1">
        <f t="shared" ref="X59:X62" si="52">+P59-T59</f>
        <v>-7054.5300000000007</v>
      </c>
      <c r="Y59" s="1"/>
      <c r="Z59" s="5">
        <f t="shared" ref="Z59:Z62" si="53">IF(T59=0,0,X59/T59)</f>
        <v>-1</v>
      </c>
    </row>
    <row r="60" spans="1:26" s="24" customFormat="1" hidden="1" outlineLevel="2" x14ac:dyDescent="0.25">
      <c r="A60" s="27"/>
      <c r="B60" s="11" t="str">
        <f>CONCATENATE("          ", "6237", " - ", "JANITORIAL SUPPLIES")</f>
        <v xml:space="preserve">          6237 - JANITORIAL SUPPLIES</v>
      </c>
      <c r="C60" s="11"/>
      <c r="D60" s="7"/>
      <c r="E60" s="2"/>
      <c r="F60" s="6">
        <f t="shared" si="46"/>
        <v>0</v>
      </c>
      <c r="G60" s="2"/>
      <c r="H60" s="7">
        <v>123.47</v>
      </c>
      <c r="I60" s="2"/>
      <c r="J60" s="6">
        <f t="shared" si="47"/>
        <v>5.6673048332512473E-3</v>
      </c>
      <c r="K60" s="2"/>
      <c r="L60" s="7">
        <f t="shared" si="48"/>
        <v>-123.47</v>
      </c>
      <c r="M60" s="2"/>
      <c r="N60" s="6">
        <f t="shared" si="49"/>
        <v>-1</v>
      </c>
      <c r="O60" s="11"/>
      <c r="P60" s="7"/>
      <c r="Q60" s="2"/>
      <c r="R60" s="6">
        <f t="shared" si="50"/>
        <v>0</v>
      </c>
      <c r="S60" s="2"/>
      <c r="T60" s="7">
        <v>900.42</v>
      </c>
      <c r="U60" s="2"/>
      <c r="V60" s="6">
        <f t="shared" si="51"/>
        <v>4.5202978149433987E-3</v>
      </c>
      <c r="W60" s="2"/>
      <c r="X60" s="7">
        <f t="shared" si="52"/>
        <v>-900.42</v>
      </c>
      <c r="Y60" s="2"/>
      <c r="Z60" s="6">
        <f t="shared" si="53"/>
        <v>-1</v>
      </c>
    </row>
    <row r="61" spans="1:26" s="24" customFormat="1" hidden="1" outlineLevel="2" x14ac:dyDescent="0.25">
      <c r="A61" s="27"/>
      <c r="B61" s="11" t="str">
        <f>CONCATENATE("          ", "6243", " - ", "PAPER SUPPLIES")</f>
        <v xml:space="preserve">          6243 - PAPER SUPPLIES</v>
      </c>
      <c r="C61" s="11"/>
      <c r="D61" s="7"/>
      <c r="E61" s="2"/>
      <c r="F61" s="6">
        <f t="shared" si="46"/>
        <v>0</v>
      </c>
      <c r="G61" s="2"/>
      <c r="H61" s="7"/>
      <c r="I61" s="2"/>
      <c r="J61" s="6">
        <f t="shared" si="47"/>
        <v>0</v>
      </c>
      <c r="K61" s="2"/>
      <c r="L61" s="7">
        <f t="shared" si="48"/>
        <v>0</v>
      </c>
      <c r="M61" s="2"/>
      <c r="N61" s="6">
        <f t="shared" si="49"/>
        <v>0</v>
      </c>
      <c r="O61" s="11"/>
      <c r="P61" s="7"/>
      <c r="Q61" s="2"/>
      <c r="R61" s="6">
        <f t="shared" si="50"/>
        <v>0</v>
      </c>
      <c r="S61" s="2"/>
      <c r="T61" s="7">
        <v>704.76</v>
      </c>
      <c r="U61" s="2"/>
      <c r="V61" s="6">
        <f t="shared" si="51"/>
        <v>3.5380434553425179E-3</v>
      </c>
      <c r="W61" s="2"/>
      <c r="X61" s="7">
        <f t="shared" si="52"/>
        <v>-704.76</v>
      </c>
      <c r="Y61" s="2"/>
      <c r="Z61" s="6">
        <f t="shared" si="53"/>
        <v>-1</v>
      </c>
    </row>
    <row r="62" spans="1:26" s="24" customFormat="1" hidden="1" outlineLevel="2" x14ac:dyDescent="0.25">
      <c r="A62" s="27"/>
      <c r="B62" s="11" t="str">
        <f>CONCATENATE("          ", "6247", " - ", "STORE SUPPLIES")</f>
        <v xml:space="preserve">          6247 - STORE SUPPLIES</v>
      </c>
      <c r="C62" s="11"/>
      <c r="D62" s="7"/>
      <c r="E62" s="2"/>
      <c r="F62" s="6">
        <f t="shared" si="46"/>
        <v>0</v>
      </c>
      <c r="G62" s="2"/>
      <c r="H62" s="7">
        <v>637.71</v>
      </c>
      <c r="I62" s="2"/>
      <c r="J62" s="6">
        <f t="shared" si="47"/>
        <v>2.9271053415507033E-2</v>
      </c>
      <c r="K62" s="2"/>
      <c r="L62" s="7">
        <f t="shared" si="48"/>
        <v>-637.71</v>
      </c>
      <c r="M62" s="2"/>
      <c r="N62" s="6">
        <f t="shared" si="49"/>
        <v>-1</v>
      </c>
      <c r="O62" s="11"/>
      <c r="P62" s="7"/>
      <c r="Q62" s="2"/>
      <c r="R62" s="6">
        <f t="shared" si="50"/>
        <v>0</v>
      </c>
      <c r="S62" s="2"/>
      <c r="T62" s="7">
        <v>5449.35</v>
      </c>
      <c r="U62" s="2"/>
      <c r="V62" s="6">
        <f t="shared" si="51"/>
        <v>2.7356883340954014E-2</v>
      </c>
      <c r="W62" s="2"/>
      <c r="X62" s="7">
        <f t="shared" si="52"/>
        <v>-5449.35</v>
      </c>
      <c r="Y62" s="2"/>
      <c r="Z62" s="6">
        <f t="shared" si="53"/>
        <v>-1</v>
      </c>
    </row>
    <row r="63" spans="1:26" s="25" customFormat="1" outlineLevel="1" collapsed="1" x14ac:dyDescent="0.25">
      <c r="A63" s="26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SUM(OSRRefD22_12x_0)</f>
        <v>30</v>
      </c>
      <c r="E63" s="1"/>
      <c r="F63" s="5">
        <f t="shared" ref="F63:F64" si="54">IF(D$12=0,0,D63/D$12)</f>
        <v>0</v>
      </c>
      <c r="G63" s="1"/>
      <c r="H63" s="1">
        <f>SUM(OSRRefH22_12x_0)</f>
        <v>91.01</v>
      </c>
      <c r="I63" s="1"/>
      <c r="J63" s="5">
        <f t="shared" ref="J63:J64" si="55">IF(H$12=0,0,H63/H$12)</f>
        <v>4.1773824643573021E-3</v>
      </c>
      <c r="K63" s="1"/>
      <c r="L63" s="1">
        <f t="shared" ref="L63:L64" si="56">+D63-H63</f>
        <v>-61.010000000000005</v>
      </c>
      <c r="M63" s="1"/>
      <c r="N63" s="5">
        <f t="shared" ref="N63:N64" si="57">IF(H63=0,0,L63/H63)</f>
        <v>-0.67036589385781786</v>
      </c>
      <c r="O63" s="13"/>
      <c r="P63" s="1">
        <f>SUM(OSRRefP22_12x_0)</f>
        <v>274.32</v>
      </c>
      <c r="Q63" s="1"/>
      <c r="R63" s="5">
        <f t="shared" ref="R63:R64" si="58">IF(P$12=0,0,P63/P$12)</f>
        <v>0</v>
      </c>
      <c r="S63" s="1"/>
      <c r="T63" s="1">
        <f>SUM(OSRRefT22_12x_0)</f>
        <v>546.05999999999995</v>
      </c>
      <c r="U63" s="1"/>
      <c r="V63" s="5">
        <f t="shared" ref="V63:V64" si="59">IF(T$12=0,0,T63/T$12)</f>
        <v>2.74133607075364E-3</v>
      </c>
      <c r="W63" s="1"/>
      <c r="X63" s="1">
        <f t="shared" ref="X63:X64" si="60">+P63-T63</f>
        <v>-271.73999999999995</v>
      </c>
      <c r="Y63" s="1"/>
      <c r="Z63" s="5">
        <f t="shared" ref="Z63:Z64" si="61">IF(T63=0,0,X63/T63)</f>
        <v>-0.49763762223931435</v>
      </c>
    </row>
    <row r="64" spans="1:26" s="24" customFormat="1" hidden="1" outlineLevel="2" x14ac:dyDescent="0.25">
      <c r="A64" s="27"/>
      <c r="B64" s="11" t="str">
        <f>CONCATENATE("          ", "6309", " - ", "TELEPHONE")</f>
        <v xml:space="preserve">          6309 - TELEPHONE</v>
      </c>
      <c r="C64" s="11"/>
      <c r="D64" s="7">
        <v>30</v>
      </c>
      <c r="E64" s="2"/>
      <c r="F64" s="6">
        <f t="shared" si="54"/>
        <v>0</v>
      </c>
      <c r="G64" s="2"/>
      <c r="H64" s="7">
        <v>91.01</v>
      </c>
      <c r="I64" s="2"/>
      <c r="J64" s="6">
        <f t="shared" si="55"/>
        <v>4.1773824643573021E-3</v>
      </c>
      <c r="K64" s="2"/>
      <c r="L64" s="7">
        <f t="shared" si="56"/>
        <v>-61.010000000000005</v>
      </c>
      <c r="M64" s="2"/>
      <c r="N64" s="6">
        <f t="shared" si="57"/>
        <v>-0.67036589385781786</v>
      </c>
      <c r="O64" s="11"/>
      <c r="P64" s="7">
        <v>274.32</v>
      </c>
      <c r="Q64" s="2"/>
      <c r="R64" s="6">
        <f t="shared" si="58"/>
        <v>0</v>
      </c>
      <c r="S64" s="2"/>
      <c r="T64" s="7">
        <v>546.05999999999995</v>
      </c>
      <c r="U64" s="2"/>
      <c r="V64" s="6">
        <f t="shared" si="59"/>
        <v>2.74133607075364E-3</v>
      </c>
      <c r="W64" s="2"/>
      <c r="X64" s="7">
        <f t="shared" si="60"/>
        <v>-271.73999999999995</v>
      </c>
      <c r="Y64" s="2"/>
      <c r="Z64" s="6">
        <f t="shared" si="61"/>
        <v>-0.49763762223931435</v>
      </c>
    </row>
    <row r="65" spans="1:26" s="55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9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8" t="s">
        <v>3</v>
      </c>
      <c r="C68" s="28"/>
      <c r="D68" s="20">
        <f>+D20-D22+D66</f>
        <v>-1548.05</v>
      </c>
      <c r="E68" s="14"/>
      <c r="F68" s="21">
        <f>IF(D$12=0,0,D68/D$12)</f>
        <v>0</v>
      </c>
      <c r="G68" s="14"/>
      <c r="H68" s="20">
        <f>+H20-H22+H66</f>
        <v>2282.2500000000018</v>
      </c>
      <c r="I68" s="14"/>
      <c r="J68" s="21">
        <f>IF(H$12=0,0,H68/H$12)</f>
        <v>0.10475586341368487</v>
      </c>
      <c r="K68" s="15"/>
      <c r="L68" s="20">
        <f>+D68-H68</f>
        <v>-3830.300000000002</v>
      </c>
      <c r="M68" s="15"/>
      <c r="N68" s="21">
        <f>IF(H68=0,0,L68/H68)</f>
        <v>-1.6782999233212834</v>
      </c>
      <c r="O68" s="29"/>
      <c r="P68" s="20">
        <f>+P20-P22+P66</f>
        <v>-6250.9000000000005</v>
      </c>
      <c r="Q68" s="14"/>
      <c r="R68" s="21">
        <f>IF(P$12=0,0,P68/P$12)</f>
        <v>0</v>
      </c>
      <c r="S68" s="14"/>
      <c r="T68" s="20">
        <f>+T20-T22+T66</f>
        <v>18347.460000000006</v>
      </c>
      <c r="U68" s="14"/>
      <c r="V68" s="21">
        <f>IF(T$12=0,0,T68/T$12)</f>
        <v>9.2108108824505736E-2</v>
      </c>
      <c r="W68" s="15"/>
      <c r="X68" s="20">
        <f>+P68-T68</f>
        <v>-24598.360000000008</v>
      </c>
      <c r="Y68" s="15"/>
      <c r="Z68" s="21">
        <f>IF(T68=0,0,X68/T68)</f>
        <v>-1.3406956603257345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/>
      <c r="E70" s="4"/>
      <c r="F70" s="12">
        <f>IF(D$12=0,0,D70/D$12)</f>
        <v>0</v>
      </c>
      <c r="G70" s="4"/>
      <c r="H70" s="4">
        <v>2728.22</v>
      </c>
      <c r="I70" s="4"/>
      <c r="J70" s="12">
        <f>IF(H$12=0,0,H70/H$12)</f>
        <v>0.12522600139444981</v>
      </c>
      <c r="K70" s="4"/>
      <c r="L70" s="4">
        <f>+D70-H70</f>
        <v>-2728.22</v>
      </c>
      <c r="M70" s="4"/>
      <c r="N70" s="12">
        <f>IF(H70=0,0,L70/H70)</f>
        <v>-1</v>
      </c>
      <c r="O70" s="10"/>
      <c r="P70" s="4"/>
      <c r="Q70" s="4"/>
      <c r="R70" s="12">
        <f>IF(P$12=0,0,P70/P$12)</f>
        <v>0</v>
      </c>
      <c r="S70" s="4"/>
      <c r="T70" s="4">
        <v>21514.58</v>
      </c>
      <c r="U70" s="4"/>
      <c r="V70" s="12">
        <f>IF(T$12=0,0,T70/T$12)</f>
        <v>0.10800771746898666</v>
      </c>
      <c r="W70" s="4"/>
      <c r="X70" s="4">
        <f>+P70-T70</f>
        <v>-21514.58</v>
      </c>
      <c r="Y70" s="4"/>
      <c r="Z70" s="12">
        <f>IF(T70=0,0,X70/T70)</f>
        <v>-1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4</v>
      </c>
      <c r="C72" s="28"/>
      <c r="D72" s="33">
        <f>+D68-D70</f>
        <v>-1548.05</v>
      </c>
      <c r="E72" s="14"/>
      <c r="F72" s="34">
        <f>IF(D$12=0,0,D72/D$12)</f>
        <v>0</v>
      </c>
      <c r="G72" s="14"/>
      <c r="H72" s="33">
        <f>+H68-H70</f>
        <v>-445.96999999999798</v>
      </c>
      <c r="I72" s="14"/>
      <c r="J72" s="34">
        <f>IF(H$12=0,0,H72/H$12)</f>
        <v>-2.0470137980764944E-2</v>
      </c>
      <c r="K72" s="15"/>
      <c r="L72" s="33">
        <f>D72-H72</f>
        <v>-1102.080000000002</v>
      </c>
      <c r="M72" s="15"/>
      <c r="N72" s="34">
        <f>IF(H72=0,0,L72/H72)</f>
        <v>2.4711976141893111</v>
      </c>
      <c r="O72" s="29"/>
      <c r="P72" s="33">
        <f>+P68-P70</f>
        <v>-6250.9000000000005</v>
      </c>
      <c r="Q72" s="14"/>
      <c r="R72" s="34">
        <f>IF(P$12=0,0,P72/P$12)</f>
        <v>0</v>
      </c>
      <c r="S72" s="14"/>
      <c r="T72" s="33">
        <f>+T68-T70</f>
        <v>-3167.1199999999953</v>
      </c>
      <c r="U72" s="14"/>
      <c r="V72" s="34">
        <f>IF(T$12=0,0,T72/T$12)</f>
        <v>-1.589960864448093E-2</v>
      </c>
      <c r="W72" s="15"/>
      <c r="X72" s="33">
        <f>P72-T72</f>
        <v>-3083.7800000000052</v>
      </c>
      <c r="Y72" s="15"/>
      <c r="Z72" s="34">
        <f>IF(T72=0,0,X72/T72)</f>
        <v>0.97368587233827886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5</v>
      </c>
      <c r="C75" s="28"/>
      <c r="D75" s="30">
        <f>SUM(D72:D74)</f>
        <v>-1548.05</v>
      </c>
      <c r="E75" s="14"/>
      <c r="F75" s="32">
        <f>IF(D$12=0,0,D75/D$12)</f>
        <v>0</v>
      </c>
      <c r="G75" s="14"/>
      <c r="H75" s="30">
        <f>SUM(H72:H74)</f>
        <v>-445.96999999999798</v>
      </c>
      <c r="I75" s="14"/>
      <c r="J75" s="32">
        <f>IF(H$12=0,0,H75/H$12)</f>
        <v>-2.0470137980764944E-2</v>
      </c>
      <c r="K75" s="15"/>
      <c r="L75" s="30">
        <f>+D75-H75</f>
        <v>-1102.080000000002</v>
      </c>
      <c r="M75" s="15"/>
      <c r="N75" s="32">
        <f>IF(H75=0,0,L75/H75)</f>
        <v>2.4711976141893111</v>
      </c>
      <c r="O75" s="29"/>
      <c r="P75" s="30">
        <f>SUM(P72:P74)</f>
        <v>-6250.9000000000005</v>
      </c>
      <c r="Q75" s="14"/>
      <c r="R75" s="32">
        <f>IF(P$12=0,0,P75/P$12)</f>
        <v>0</v>
      </c>
      <c r="S75" s="14"/>
      <c r="T75" s="30">
        <f>SUM(T72:T74)</f>
        <v>-3167.1199999999953</v>
      </c>
      <c r="U75" s="14"/>
      <c r="V75" s="32">
        <f>IF(T$12=0,0,T75/T$12)</f>
        <v>-1.589960864448093E-2</v>
      </c>
      <c r="W75" s="15"/>
      <c r="X75" s="30">
        <f>+P75-T75</f>
        <v>-3083.7800000000052</v>
      </c>
      <c r="Y75" s="15"/>
      <c r="Z75" s="32">
        <f>IF(T75=0,0,X75/T75)</f>
        <v>0.97368587233827886</v>
      </c>
    </row>
    <row r="76" spans="1:26" ht="15.75" thickTop="1" x14ac:dyDescent="0.25">
      <c r="A76" s="9"/>
      <c r="C76" s="9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58">
        <v>44209.521751076391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61" t="s">
        <v>313</v>
      </c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7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","313", " - ", "Convenience Store")</f>
        <v>Department 313 - Convenience Store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39691.699999999997</v>
      </c>
      <c r="I12" s="4"/>
      <c r="J12" s="12"/>
      <c r="K12" s="4"/>
      <c r="L12" s="4">
        <f t="shared" ref="L12:L17" si="0">+D12-H12</f>
        <v>-39691.699999999997</v>
      </c>
      <c r="M12" s="4"/>
      <c r="N12" s="12">
        <f t="shared" ref="N12:N17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337573.29</v>
      </c>
      <c r="U12" s="4"/>
      <c r="V12" s="12"/>
      <c r="W12" s="4"/>
      <c r="X12" s="4">
        <f t="shared" ref="X12:X17" si="2">+P12-T12</f>
        <v>-337573.29</v>
      </c>
      <c r="Y12" s="4"/>
      <c r="Z12" s="12">
        <f t="shared" ref="Z12:Z17" si="3">IF(T12=0,0,X12/T12)</f>
        <v>-1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7" si="4">0</f>
        <v>0</v>
      </c>
      <c r="E13" s="2"/>
      <c r="F13" s="19"/>
      <c r="G13" s="2"/>
      <c r="H13" s="2">
        <f>--11077.21</f>
        <v>11077.21</v>
      </c>
      <c r="I13" s="2"/>
      <c r="J13" s="19"/>
      <c r="K13" s="2"/>
      <c r="L13" s="2">
        <f t="shared" si="0"/>
        <v>-11077.21</v>
      </c>
      <c r="M13" s="2"/>
      <c r="N13" s="19">
        <f t="shared" si="1"/>
        <v>-1</v>
      </c>
      <c r="O13" s="11"/>
      <c r="P13" s="2">
        <f t="shared" ref="P13:P17" si="5">0</f>
        <v>0</v>
      </c>
      <c r="Q13" s="2"/>
      <c r="R13" s="19"/>
      <c r="S13" s="2"/>
      <c r="T13" s="2">
        <f>--72225.08</f>
        <v>72225.08</v>
      </c>
      <c r="U13" s="2"/>
      <c r="V13" s="19"/>
      <c r="W13" s="2"/>
      <c r="X13" s="2">
        <f t="shared" si="2"/>
        <v>-72225.08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--282.75</f>
        <v>282.75</v>
      </c>
      <c r="I14" s="2"/>
      <c r="J14" s="19"/>
      <c r="K14" s="2"/>
      <c r="L14" s="2">
        <f t="shared" si="0"/>
        <v>-282.75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--2201.92</f>
        <v>2201.92</v>
      </c>
      <c r="U14" s="2"/>
      <c r="V14" s="19"/>
      <c r="W14" s="2"/>
      <c r="X14" s="2">
        <f t="shared" si="2"/>
        <v>-2201.92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>
        <f>--28206.18</f>
        <v>28206.18</v>
      </c>
      <c r="I15" s="2"/>
      <c r="J15" s="19"/>
      <c r="K15" s="2"/>
      <c r="L15" s="2">
        <f t="shared" si="0"/>
        <v>-28206.18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--261995.8</f>
        <v>261995.8</v>
      </c>
      <c r="U15" s="2"/>
      <c r="V15" s="19"/>
      <c r="W15" s="2"/>
      <c r="X15" s="2">
        <f t="shared" si="2"/>
        <v>-261995.8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"4134", " - ", "NON-TAXABLE SALES-SODA")</f>
        <v xml:space="preserve">          4134 - NON-TAXABLE SALES-SODA</v>
      </c>
      <c r="C16" s="11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--0.39</f>
        <v>0.39</v>
      </c>
      <c r="U16" s="2"/>
      <c r="V16" s="19"/>
      <c r="W16" s="2"/>
      <c r="X16" s="2">
        <f t="shared" si="2"/>
        <v>-0.39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"4137", " - ", "NON-TAXABLE SALES-WATER")</f>
        <v xml:space="preserve">          4137 - NON-TAXABLE SALES-WATER</v>
      </c>
      <c r="C17" s="11"/>
      <c r="D17" s="2">
        <f t="shared" si="4"/>
        <v>0</v>
      </c>
      <c r="E17" s="2"/>
      <c r="F17" s="19"/>
      <c r="G17" s="2"/>
      <c r="H17" s="2">
        <f>--125.56</f>
        <v>125.56</v>
      </c>
      <c r="I17" s="2"/>
      <c r="J17" s="19"/>
      <c r="K17" s="2"/>
      <c r="L17" s="2">
        <f t="shared" si="0"/>
        <v>-125.56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--1150.1</f>
        <v>1150.0999999999999</v>
      </c>
      <c r="U17" s="2"/>
      <c r="V17" s="19"/>
      <c r="W17" s="2"/>
      <c r="X17" s="2">
        <f t="shared" si="2"/>
        <v>-1150.0999999999999</v>
      </c>
      <c r="Y17" s="2"/>
      <c r="Z17" s="19">
        <f t="shared" si="3"/>
        <v>-1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9" t="s">
        <v>8</v>
      </c>
      <c r="C19" s="10"/>
      <c r="D19" s="4">
        <f>SUM(OSRRefD16x_0)</f>
        <v>0</v>
      </c>
      <c r="E19" s="4"/>
      <c r="F19" s="12">
        <f t="shared" ref="F19:F21" si="6">IF(D$12=0,0,D19/D$12)</f>
        <v>0</v>
      </c>
      <c r="G19" s="4"/>
      <c r="H19" s="4">
        <f>SUM(OSRRefH16x_0)</f>
        <v>17480.57</v>
      </c>
      <c r="I19" s="4"/>
      <c r="J19" s="12">
        <f t="shared" ref="J19:J21" si="7">IF(H$12=0,0,H19/H$12)</f>
        <v>0.44040870005567917</v>
      </c>
      <c r="K19" s="4"/>
      <c r="L19" s="4">
        <f t="shared" ref="L19:L21" si="8">+D19-H19</f>
        <v>-17480.57</v>
      </c>
      <c r="M19" s="4"/>
      <c r="N19" s="12">
        <f t="shared" ref="N19:N21" si="9">IF(H19=0,0,L19/H19)</f>
        <v>-1</v>
      </c>
      <c r="O19" s="10"/>
      <c r="P19" s="4">
        <f>SUM(OSRRefP16x_0)</f>
        <v>-613.59</v>
      </c>
      <c r="Q19" s="4"/>
      <c r="R19" s="12">
        <f t="shared" ref="R19:R21" si="10">IF(P$12=0,0,P19/P$12)</f>
        <v>0</v>
      </c>
      <c r="S19" s="4"/>
      <c r="T19" s="4">
        <f>SUM(OSRRefT16x_0)</f>
        <v>159085.37</v>
      </c>
      <c r="U19" s="4"/>
      <c r="V19" s="12">
        <f t="shared" ref="V19:V21" si="11">IF(T$12=0,0,T19/T$12)</f>
        <v>0.47126172215817197</v>
      </c>
      <c r="W19" s="4"/>
      <c r="X19" s="4">
        <f t="shared" ref="X19:X21" si="12">+P19-T19</f>
        <v>-159698.96</v>
      </c>
      <c r="Y19" s="4"/>
      <c r="Z19" s="12">
        <f t="shared" ref="Z19:Z21" si="13">IF(T19=0,0,X19/T19)</f>
        <v>-1.0038569857177941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6"/>
        <v>0</v>
      </c>
      <c r="G20" s="2"/>
      <c r="H20" s="2">
        <v>12026.25</v>
      </c>
      <c r="I20" s="2"/>
      <c r="J20" s="19">
        <f t="shared" si="7"/>
        <v>0.30299155742888312</v>
      </c>
      <c r="K20" s="2"/>
      <c r="L20" s="2">
        <f t="shared" si="8"/>
        <v>-12026.25</v>
      </c>
      <c r="M20" s="2"/>
      <c r="N20" s="19">
        <f t="shared" si="9"/>
        <v>-1</v>
      </c>
      <c r="O20" s="11"/>
      <c r="P20" s="2">
        <v>-613.59</v>
      </c>
      <c r="Q20" s="2"/>
      <c r="R20" s="19">
        <f t="shared" si="10"/>
        <v>0</v>
      </c>
      <c r="S20" s="2"/>
      <c r="T20" s="2">
        <v>162508.69</v>
      </c>
      <c r="U20" s="2"/>
      <c r="V20" s="19">
        <f t="shared" si="11"/>
        <v>0.4814026903609584</v>
      </c>
      <c r="W20" s="2"/>
      <c r="X20" s="2">
        <f t="shared" si="12"/>
        <v>-163122.28</v>
      </c>
      <c r="Y20" s="2"/>
      <c r="Z20" s="19">
        <f t="shared" si="13"/>
        <v>-1.0037757365467657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6"/>
        <v>0</v>
      </c>
      <c r="G21" s="2"/>
      <c r="H21" s="2">
        <v>5454.32</v>
      </c>
      <c r="I21" s="2"/>
      <c r="J21" s="19">
        <f t="shared" si="7"/>
        <v>0.13741714262679602</v>
      </c>
      <c r="K21" s="2"/>
      <c r="L21" s="2">
        <f t="shared" si="8"/>
        <v>-5454.32</v>
      </c>
      <c r="M21" s="2"/>
      <c r="N21" s="19">
        <f t="shared" si="9"/>
        <v>-1</v>
      </c>
      <c r="O21" s="11"/>
      <c r="P21" s="2"/>
      <c r="Q21" s="2"/>
      <c r="R21" s="19">
        <f t="shared" si="10"/>
        <v>0</v>
      </c>
      <c r="S21" s="2"/>
      <c r="T21" s="2">
        <v>-3423.32</v>
      </c>
      <c r="U21" s="2"/>
      <c r="V21" s="19">
        <f t="shared" si="11"/>
        <v>-1.0140968202786425E-2</v>
      </c>
      <c r="W21" s="2"/>
      <c r="X21" s="2">
        <f t="shared" si="12"/>
        <v>3423.32</v>
      </c>
      <c r="Y21" s="2"/>
      <c r="Z21" s="19">
        <f t="shared" si="13"/>
        <v>-1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D12-D19</f>
        <v>0</v>
      </c>
      <c r="E23" s="14"/>
      <c r="F23" s="21">
        <f>IF(D$12=0,0,D23/D$12)</f>
        <v>0</v>
      </c>
      <c r="G23" s="14"/>
      <c r="H23" s="20">
        <f>H12-H19</f>
        <v>22211.129999999997</v>
      </c>
      <c r="I23" s="14"/>
      <c r="J23" s="21">
        <f>IF(H$12=0,0,H23/H$12)</f>
        <v>0.55959129994432077</v>
      </c>
      <c r="K23" s="15"/>
      <c r="L23" s="20">
        <f>+D23-H23</f>
        <v>-22211.129999999997</v>
      </c>
      <c r="M23" s="15"/>
      <c r="N23" s="21">
        <f>IF(H23=0,0,L23/H23)</f>
        <v>-1</v>
      </c>
      <c r="O23" s="29"/>
      <c r="P23" s="20">
        <f>P12-P19</f>
        <v>613.59</v>
      </c>
      <c r="Q23" s="14"/>
      <c r="R23" s="21">
        <f>IF(P$12=0,0,P23/P$12)</f>
        <v>0</v>
      </c>
      <c r="S23" s="14"/>
      <c r="T23" s="20">
        <f>T12-T19</f>
        <v>178487.91999999998</v>
      </c>
      <c r="U23" s="14"/>
      <c r="V23" s="21">
        <f>IF(T$12=0,0,T23/T$12)</f>
        <v>0.52873827784182803</v>
      </c>
      <c r="W23" s="15"/>
      <c r="X23" s="20">
        <f>+P23-T23</f>
        <v>-177874.33</v>
      </c>
      <c r="Y23" s="15"/>
      <c r="Z23" s="21">
        <f>IF(T23=0,0,X23/T23)</f>
        <v>-0.99656228836102745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2">
        <f>SUM(OSRRefD22x_0)</f>
        <v>2286.9900000000002</v>
      </c>
      <c r="E25" s="22"/>
      <c r="F25" s="36">
        <f t="shared" ref="F25:F34" si="14">IF(D$12=0,0,D25/D$12)</f>
        <v>0</v>
      </c>
      <c r="G25" s="22"/>
      <c r="H25" s="22">
        <f>SUM(OSRRefH22x_0)</f>
        <v>16288.970000000001</v>
      </c>
      <c r="I25" s="22"/>
      <c r="J25" s="36">
        <f t="shared" ref="J25:J34" si="15">IF(H$12=0,0,H25/H$12)</f>
        <v>0.41038731019331504</v>
      </c>
      <c r="K25" s="4"/>
      <c r="L25" s="22">
        <f t="shared" ref="L25:L34" si="16">+D25-H25</f>
        <v>-14001.980000000001</v>
      </c>
      <c r="M25" s="4"/>
      <c r="N25" s="36">
        <f t="shared" ref="N25:N34" si="17">IF(H25=0,0,L25/H25)</f>
        <v>-0.85959885738631725</v>
      </c>
      <c r="O25" s="10"/>
      <c r="P25" s="22">
        <f>SUM(OSRRefP22x_0)</f>
        <v>46261.9</v>
      </c>
      <c r="Q25" s="22"/>
      <c r="R25" s="36">
        <f t="shared" ref="R25:R34" si="18">IF(P$12=0,0,P25/P$12)</f>
        <v>0</v>
      </c>
      <c r="S25" s="22"/>
      <c r="T25" s="22">
        <f>SUM(OSRRefT22x_0)</f>
        <v>113713.40000000001</v>
      </c>
      <c r="U25" s="22"/>
      <c r="V25" s="36">
        <f t="shared" ref="V25:V34" si="19">IF(T$12=0,0,T25/T$12)</f>
        <v>0.33685544256182121</v>
      </c>
      <c r="W25" s="4"/>
      <c r="X25" s="22">
        <f t="shared" ref="X25:X34" si="20">+P25-T25</f>
        <v>-67451.5</v>
      </c>
      <c r="Y25" s="4"/>
      <c r="Z25" s="36">
        <f t="shared" ref="Z25:Z34" si="21">IF(T25=0,0,X25/T25)</f>
        <v>-0.59317107746316611</v>
      </c>
    </row>
    <row r="26" spans="1:26" s="25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1976.89</v>
      </c>
      <c r="E26" s="1"/>
      <c r="F26" s="5">
        <f t="shared" si="14"/>
        <v>0</v>
      </c>
      <c r="G26" s="1"/>
      <c r="H26" s="1">
        <f>SUM(OSRRefH22_0x_0)</f>
        <v>4142.1799999999994</v>
      </c>
      <c r="I26" s="1"/>
      <c r="J26" s="5">
        <f t="shared" si="15"/>
        <v>0.10435884580403459</v>
      </c>
      <c r="K26" s="1"/>
      <c r="L26" s="1">
        <f t="shared" si="16"/>
        <v>-2165.2899999999991</v>
      </c>
      <c r="M26" s="1"/>
      <c r="N26" s="5">
        <f t="shared" si="17"/>
        <v>-0.52274164811765766</v>
      </c>
      <c r="O26" s="13"/>
      <c r="P26" s="1">
        <f>SUM(OSRRefP22_0x_0)</f>
        <v>21787.579999999998</v>
      </c>
      <c r="Q26" s="1"/>
      <c r="R26" s="5">
        <f t="shared" si="18"/>
        <v>0</v>
      </c>
      <c r="S26" s="1"/>
      <c r="T26" s="1">
        <f>SUM(OSRRefT22_0x_0)</f>
        <v>26525.64</v>
      </c>
      <c r="U26" s="1"/>
      <c r="V26" s="5">
        <f t="shared" si="19"/>
        <v>7.8577425364429757E-2</v>
      </c>
      <c r="W26" s="1"/>
      <c r="X26" s="1">
        <f t="shared" si="20"/>
        <v>-4738.0600000000013</v>
      </c>
      <c r="Y26" s="1"/>
      <c r="Z26" s="5">
        <f t="shared" si="21"/>
        <v>-0.17862189187518196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7"/>
      <c r="E27" s="2"/>
      <c r="F27" s="6">
        <f t="shared" si="14"/>
        <v>0</v>
      </c>
      <c r="G27" s="2"/>
      <c r="H27" s="7">
        <v>410.66</v>
      </c>
      <c r="I27" s="2"/>
      <c r="J27" s="6">
        <f t="shared" si="15"/>
        <v>1.0346243673110501E-2</v>
      </c>
      <c r="K27" s="2"/>
      <c r="L27" s="7">
        <f t="shared" si="16"/>
        <v>-410.66</v>
      </c>
      <c r="M27" s="2"/>
      <c r="N27" s="6">
        <f t="shared" si="17"/>
        <v>-1</v>
      </c>
      <c r="O27" s="11"/>
      <c r="P27" s="7">
        <v>1924.35</v>
      </c>
      <c r="Q27" s="2"/>
      <c r="R27" s="6">
        <f t="shared" si="18"/>
        <v>0</v>
      </c>
      <c r="S27" s="2"/>
      <c r="T27" s="7">
        <v>3230.52</v>
      </c>
      <c r="U27" s="2"/>
      <c r="V27" s="6">
        <f t="shared" si="19"/>
        <v>9.569832968716217E-3</v>
      </c>
      <c r="W27" s="2"/>
      <c r="X27" s="7">
        <f t="shared" si="20"/>
        <v>-1306.17</v>
      </c>
      <c r="Y27" s="2"/>
      <c r="Z27" s="6">
        <f t="shared" si="21"/>
        <v>-0.40432190483265856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7"/>
      <c r="E28" s="2"/>
      <c r="F28" s="6">
        <f t="shared" si="14"/>
        <v>0</v>
      </c>
      <c r="G28" s="2"/>
      <c r="H28" s="7">
        <v>267.2</v>
      </c>
      <c r="I28" s="2"/>
      <c r="J28" s="6">
        <f t="shared" si="15"/>
        <v>6.7318860114331212E-3</v>
      </c>
      <c r="K28" s="2"/>
      <c r="L28" s="7">
        <f t="shared" si="16"/>
        <v>-267.2</v>
      </c>
      <c r="M28" s="2"/>
      <c r="N28" s="6">
        <f t="shared" si="17"/>
        <v>-1</v>
      </c>
      <c r="O28" s="11"/>
      <c r="P28" s="7">
        <v>499.06</v>
      </c>
      <c r="Q28" s="2"/>
      <c r="R28" s="6">
        <f t="shared" si="18"/>
        <v>0</v>
      </c>
      <c r="S28" s="2"/>
      <c r="T28" s="7">
        <v>1051.3900000000001</v>
      </c>
      <c r="U28" s="2"/>
      <c r="V28" s="6">
        <f t="shared" si="19"/>
        <v>3.1145532870802666E-3</v>
      </c>
      <c r="W28" s="2"/>
      <c r="X28" s="7">
        <f t="shared" si="20"/>
        <v>-552.33000000000015</v>
      </c>
      <c r="Y28" s="2"/>
      <c r="Z28" s="6">
        <f t="shared" si="21"/>
        <v>-0.52533313042733909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7">
        <v>1976.89</v>
      </c>
      <c r="E29" s="2"/>
      <c r="F29" s="6">
        <f t="shared" si="14"/>
        <v>0</v>
      </c>
      <c r="G29" s="2"/>
      <c r="H29" s="7">
        <v>2019.97</v>
      </c>
      <c r="I29" s="2"/>
      <c r="J29" s="6">
        <f t="shared" si="15"/>
        <v>5.089149620701558E-2</v>
      </c>
      <c r="K29" s="2"/>
      <c r="L29" s="7">
        <f t="shared" si="16"/>
        <v>-43.079999999999927</v>
      </c>
      <c r="M29" s="2"/>
      <c r="N29" s="6">
        <f t="shared" si="17"/>
        <v>-2.1327049411624888E-2</v>
      </c>
      <c r="O29" s="11"/>
      <c r="P29" s="7">
        <v>12083.19</v>
      </c>
      <c r="Q29" s="2"/>
      <c r="R29" s="6">
        <f t="shared" si="18"/>
        <v>0</v>
      </c>
      <c r="S29" s="2"/>
      <c r="T29" s="7">
        <v>12119.82</v>
      </c>
      <c r="U29" s="2"/>
      <c r="V29" s="6">
        <f t="shared" si="19"/>
        <v>3.5902781289360898E-2</v>
      </c>
      <c r="W29" s="2"/>
      <c r="X29" s="7">
        <f t="shared" si="20"/>
        <v>-36.6299999999992</v>
      </c>
      <c r="Y29" s="2"/>
      <c r="Z29" s="6">
        <f t="shared" si="21"/>
        <v>-3.0223221136946917E-3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4"/>
        <v>0</v>
      </c>
      <c r="G30" s="2"/>
      <c r="H30" s="7">
        <v>36.56</v>
      </c>
      <c r="I30" s="2"/>
      <c r="J30" s="6">
        <f t="shared" si="15"/>
        <v>9.2109937342063966E-4</v>
      </c>
      <c r="K30" s="2"/>
      <c r="L30" s="7">
        <f t="shared" si="16"/>
        <v>-36.56</v>
      </c>
      <c r="M30" s="2"/>
      <c r="N30" s="6">
        <f t="shared" si="17"/>
        <v>-1</v>
      </c>
      <c r="O30" s="11"/>
      <c r="P30" s="7">
        <v>70.14</v>
      </c>
      <c r="Q30" s="2"/>
      <c r="R30" s="6">
        <f t="shared" si="18"/>
        <v>0</v>
      </c>
      <c r="S30" s="2"/>
      <c r="T30" s="7">
        <v>176.76</v>
      </c>
      <c r="U30" s="2"/>
      <c r="V30" s="6">
        <f t="shared" si="19"/>
        <v>5.2361962642245776E-4</v>
      </c>
      <c r="W30" s="2"/>
      <c r="X30" s="7">
        <f t="shared" si="20"/>
        <v>-106.61999999999999</v>
      </c>
      <c r="Y30" s="2"/>
      <c r="Z30" s="6">
        <f t="shared" si="21"/>
        <v>-0.60319076714188724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4"/>
        <v>0</v>
      </c>
      <c r="G31" s="2"/>
      <c r="H31" s="7">
        <v>568.97</v>
      </c>
      <c r="I31" s="2"/>
      <c r="J31" s="6">
        <f t="shared" si="15"/>
        <v>1.4334734969779578E-2</v>
      </c>
      <c r="K31" s="2"/>
      <c r="L31" s="7">
        <f t="shared" si="16"/>
        <v>-568.97</v>
      </c>
      <c r="M31" s="2"/>
      <c r="N31" s="6">
        <f t="shared" si="17"/>
        <v>-1</v>
      </c>
      <c r="O31" s="11"/>
      <c r="P31" s="7">
        <v>3490.92</v>
      </c>
      <c r="Q31" s="2"/>
      <c r="R31" s="6">
        <f t="shared" si="18"/>
        <v>0</v>
      </c>
      <c r="S31" s="2"/>
      <c r="T31" s="7">
        <v>3931.58</v>
      </c>
      <c r="U31" s="2"/>
      <c r="V31" s="6">
        <f t="shared" si="19"/>
        <v>1.1646596802726899E-2</v>
      </c>
      <c r="W31" s="2"/>
      <c r="X31" s="7">
        <f t="shared" si="20"/>
        <v>-440.65999999999985</v>
      </c>
      <c r="Y31" s="2"/>
      <c r="Z31" s="6">
        <f t="shared" si="21"/>
        <v>-0.11208216543984857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7"/>
      <c r="E32" s="2"/>
      <c r="F32" s="6">
        <f t="shared" si="14"/>
        <v>0</v>
      </c>
      <c r="G32" s="2"/>
      <c r="H32" s="7">
        <v>407.06</v>
      </c>
      <c r="I32" s="2"/>
      <c r="J32" s="6">
        <f t="shared" si="15"/>
        <v>1.0255544610082209E-2</v>
      </c>
      <c r="K32" s="2"/>
      <c r="L32" s="7">
        <f t="shared" si="16"/>
        <v>-407.06</v>
      </c>
      <c r="M32" s="2"/>
      <c r="N32" s="6">
        <f t="shared" si="17"/>
        <v>-1</v>
      </c>
      <c r="O32" s="11"/>
      <c r="P32" s="7">
        <v>2035.3</v>
      </c>
      <c r="Q32" s="2"/>
      <c r="R32" s="6">
        <f t="shared" si="18"/>
        <v>0</v>
      </c>
      <c r="S32" s="2"/>
      <c r="T32" s="7">
        <v>2954.78</v>
      </c>
      <c r="U32" s="2"/>
      <c r="V32" s="6">
        <f t="shared" si="19"/>
        <v>8.7530029404873835E-3</v>
      </c>
      <c r="W32" s="2"/>
      <c r="X32" s="7">
        <f t="shared" si="20"/>
        <v>-919.48000000000025</v>
      </c>
      <c r="Y32" s="2"/>
      <c r="Z32" s="6">
        <f t="shared" si="21"/>
        <v>-0.31118391216943397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7"/>
      <c r="E33" s="2"/>
      <c r="F33" s="6">
        <f t="shared" si="14"/>
        <v>0</v>
      </c>
      <c r="G33" s="2"/>
      <c r="H33" s="7">
        <v>256.76</v>
      </c>
      <c r="I33" s="2"/>
      <c r="J33" s="6">
        <f t="shared" si="15"/>
        <v>6.4688587286510788E-3</v>
      </c>
      <c r="K33" s="2"/>
      <c r="L33" s="7">
        <f t="shared" si="16"/>
        <v>-256.76</v>
      </c>
      <c r="M33" s="2"/>
      <c r="N33" s="6">
        <f t="shared" si="17"/>
        <v>-1</v>
      </c>
      <c r="O33" s="11"/>
      <c r="P33" s="7">
        <v>1283.8</v>
      </c>
      <c r="Q33" s="2"/>
      <c r="R33" s="6">
        <f t="shared" si="18"/>
        <v>0</v>
      </c>
      <c r="S33" s="2"/>
      <c r="T33" s="7">
        <v>2073.36</v>
      </c>
      <c r="U33" s="2"/>
      <c r="V33" s="6">
        <f t="shared" si="19"/>
        <v>6.1419551292106085E-3</v>
      </c>
      <c r="W33" s="2"/>
      <c r="X33" s="7">
        <f t="shared" si="20"/>
        <v>-789.56000000000017</v>
      </c>
      <c r="Y33" s="2"/>
      <c r="Z33" s="6">
        <f t="shared" si="21"/>
        <v>-0.3808118223559826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7"/>
      <c r="E34" s="2"/>
      <c r="F34" s="6">
        <f t="shared" si="14"/>
        <v>0</v>
      </c>
      <c r="G34" s="2"/>
      <c r="H34" s="7">
        <v>175</v>
      </c>
      <c r="I34" s="2"/>
      <c r="J34" s="6">
        <f t="shared" si="15"/>
        <v>4.4089822305419021E-3</v>
      </c>
      <c r="K34" s="2"/>
      <c r="L34" s="7">
        <f t="shared" si="16"/>
        <v>-175</v>
      </c>
      <c r="M34" s="2"/>
      <c r="N34" s="6">
        <f t="shared" si="17"/>
        <v>-1</v>
      </c>
      <c r="O34" s="11"/>
      <c r="P34" s="7">
        <v>400.82</v>
      </c>
      <c r="Q34" s="2"/>
      <c r="R34" s="6">
        <f t="shared" si="18"/>
        <v>0</v>
      </c>
      <c r="S34" s="2"/>
      <c r="T34" s="7">
        <v>987.43</v>
      </c>
      <c r="U34" s="2"/>
      <c r="V34" s="6">
        <f t="shared" si="19"/>
        <v>2.9250833204250253E-3</v>
      </c>
      <c r="W34" s="2"/>
      <c r="X34" s="7">
        <f t="shared" si="20"/>
        <v>-586.6099999999999</v>
      </c>
      <c r="Y34" s="2"/>
      <c r="Z34" s="6">
        <f t="shared" si="21"/>
        <v>-0.59407755486464853</v>
      </c>
    </row>
    <row r="35" spans="1:26" s="25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0" si="22">IF(D$12=0,0,D35/D$12)</f>
        <v>0</v>
      </c>
      <c r="G35" s="1"/>
      <c r="H35" s="1">
        <f>SUM(OSRRefH22_1x_0)</f>
        <v>10164.740000000002</v>
      </c>
      <c r="I35" s="1"/>
      <c r="J35" s="5">
        <f t="shared" ref="J35:J40" si="23">IF(H$12=0,0,H35/H$12)</f>
        <v>0.25609233164616285</v>
      </c>
      <c r="K35" s="1"/>
      <c r="L35" s="1">
        <f t="shared" ref="L35:L40" si="24">+D35-H35</f>
        <v>-10164.740000000002</v>
      </c>
      <c r="M35" s="1"/>
      <c r="N35" s="5">
        <f t="shared" ref="N35:N40" si="25">IF(H35=0,0,L35/H35)</f>
        <v>-1</v>
      </c>
      <c r="O35" s="13"/>
      <c r="P35" s="1">
        <f>SUM(OSRRefP22_1x_0)</f>
        <v>23136.42</v>
      </c>
      <c r="Q35" s="1"/>
      <c r="R35" s="5">
        <f t="shared" ref="R35:R40" si="26">IF(P$12=0,0,P35/P$12)</f>
        <v>0</v>
      </c>
      <c r="S35" s="1"/>
      <c r="T35" s="1">
        <f>SUM(OSRRefT22_1x_0)</f>
        <v>67685.819999999992</v>
      </c>
      <c r="U35" s="1"/>
      <c r="V35" s="5">
        <f t="shared" ref="V35:V40" si="27">IF(T$12=0,0,T35/T$12)</f>
        <v>0.20050703656086061</v>
      </c>
      <c r="W35" s="1"/>
      <c r="X35" s="1">
        <f t="shared" ref="X35:X40" si="28">+P35-T35</f>
        <v>-44549.399999999994</v>
      </c>
      <c r="Y35" s="1"/>
      <c r="Z35" s="5">
        <f t="shared" ref="Z35:Z40" si="29">IF(T35=0,0,X35/T35)</f>
        <v>-0.65817921685812475</v>
      </c>
    </row>
    <row r="36" spans="1:26" s="24" customFormat="1" hidden="1" outlineLevel="2" x14ac:dyDescent="0.25">
      <c r="A36" s="27"/>
      <c r="B36" s="11" t="str">
        <f>CONCATENATE("          ", "6002", " - ", "STAFF SALARIES")</f>
        <v xml:space="preserve">          6002 - STAFF SALARIES</v>
      </c>
      <c r="C36" s="11"/>
      <c r="D36" s="7"/>
      <c r="E36" s="2"/>
      <c r="F36" s="6">
        <f t="shared" si="22"/>
        <v>0</v>
      </c>
      <c r="G36" s="2"/>
      <c r="H36" s="7">
        <v>5566.66</v>
      </c>
      <c r="I36" s="2"/>
      <c r="J36" s="6">
        <f t="shared" si="23"/>
        <v>0.1402474572769622</v>
      </c>
      <c r="K36" s="2"/>
      <c r="L36" s="7">
        <f t="shared" si="24"/>
        <v>-5566.66</v>
      </c>
      <c r="M36" s="2"/>
      <c r="N36" s="6">
        <f t="shared" si="25"/>
        <v>-1</v>
      </c>
      <c r="O36" s="11"/>
      <c r="P36" s="7">
        <v>23136.42</v>
      </c>
      <c r="Q36" s="2"/>
      <c r="R36" s="6">
        <f t="shared" si="26"/>
        <v>0</v>
      </c>
      <c r="S36" s="2"/>
      <c r="T36" s="7">
        <v>34374.129999999997</v>
      </c>
      <c r="U36" s="2"/>
      <c r="V36" s="6">
        <f t="shared" si="27"/>
        <v>0.10182716174019574</v>
      </c>
      <c r="W36" s="2"/>
      <c r="X36" s="7">
        <f t="shared" si="28"/>
        <v>-11237.71</v>
      </c>
      <c r="Y36" s="2"/>
      <c r="Z36" s="6">
        <f t="shared" si="29"/>
        <v>-0.32692347413592721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86.52</v>
      </c>
      <c r="I37" s="2"/>
      <c r="J37" s="6">
        <f t="shared" si="23"/>
        <v>2.1798008147799162E-3</v>
      </c>
      <c r="K37" s="2"/>
      <c r="L37" s="7">
        <f t="shared" si="24"/>
        <v>-86.52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856.2</v>
      </c>
      <c r="U37" s="2"/>
      <c r="V37" s="6">
        <f t="shared" si="27"/>
        <v>2.5363381089777573E-3</v>
      </c>
      <c r="W37" s="2"/>
      <c r="X37" s="7">
        <f t="shared" si="28"/>
        <v>-856.2</v>
      </c>
      <c r="Y37" s="2"/>
      <c r="Z37" s="6">
        <f t="shared" si="29"/>
        <v>-1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433.31</v>
      </c>
      <c r="I38" s="2"/>
      <c r="J38" s="6">
        <f t="shared" si="23"/>
        <v>1.0916891944663495E-2</v>
      </c>
      <c r="K38" s="2"/>
      <c r="L38" s="7">
        <f t="shared" si="24"/>
        <v>-433.31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3046.5</v>
      </c>
      <c r="U38" s="2"/>
      <c r="V38" s="6">
        <f t="shared" si="27"/>
        <v>9.0247069014257626E-3</v>
      </c>
      <c r="W38" s="2"/>
      <c r="X38" s="7">
        <f t="shared" si="28"/>
        <v>-3046.5</v>
      </c>
      <c r="Y38" s="2"/>
      <c r="Z38" s="6">
        <f t="shared" si="29"/>
        <v>-1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4078.25</v>
      </c>
      <c r="I39" s="2"/>
      <c r="J39" s="6">
        <f t="shared" si="23"/>
        <v>0.10274818160975721</v>
      </c>
      <c r="K39" s="2"/>
      <c r="L39" s="7">
        <f t="shared" si="24"/>
        <v>-4078.25</v>
      </c>
      <c r="M39" s="2"/>
      <c r="N39" s="6">
        <f t="shared" si="25"/>
        <v>-1</v>
      </c>
      <c r="O39" s="11"/>
      <c r="P39" s="7"/>
      <c r="Q39" s="2"/>
      <c r="R39" s="6">
        <f t="shared" si="26"/>
        <v>0</v>
      </c>
      <c r="S39" s="2"/>
      <c r="T39" s="7">
        <v>25853.510000000002</v>
      </c>
      <c r="U39" s="2"/>
      <c r="V39" s="6">
        <f t="shared" si="27"/>
        <v>7.6586361438726394E-2</v>
      </c>
      <c r="W39" s="2"/>
      <c r="X39" s="7">
        <f t="shared" si="28"/>
        <v>-25853.510000000002</v>
      </c>
      <c r="Y39" s="2"/>
      <c r="Z39" s="6">
        <f t="shared" si="29"/>
        <v>-1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/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3555.48</v>
      </c>
      <c r="U40" s="2"/>
      <c r="V40" s="6">
        <f t="shared" si="27"/>
        <v>1.0532468371534964E-2</v>
      </c>
      <c r="W40" s="2"/>
      <c r="X40" s="7">
        <f t="shared" si="28"/>
        <v>-3555.48</v>
      </c>
      <c r="Y40" s="2"/>
      <c r="Z40" s="6">
        <f t="shared" si="29"/>
        <v>-1</v>
      </c>
    </row>
    <row r="41" spans="1:26" s="25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6" si="30">IF(D$12=0,0,D41/D$12)</f>
        <v>0</v>
      </c>
      <c r="G41" s="1"/>
      <c r="H41" s="1">
        <f>SUM(OSRRefH22_2x_0)</f>
        <v>90</v>
      </c>
      <c r="I41" s="1"/>
      <c r="J41" s="5">
        <f t="shared" ref="J41:J56" si="31">IF(H$12=0,0,H41/H$12)</f>
        <v>2.267476575707264E-3</v>
      </c>
      <c r="K41" s="1"/>
      <c r="L41" s="1">
        <f t="shared" ref="L41:L56" si="32">+D41-H41</f>
        <v>-90</v>
      </c>
      <c r="M41" s="1"/>
      <c r="N41" s="5">
        <f t="shared" ref="N41:N56" si="33">IF(H41=0,0,L41/H41)</f>
        <v>-1</v>
      </c>
      <c r="O41" s="13"/>
      <c r="P41" s="1">
        <f>SUM(OSRRefP22_2x_0)</f>
        <v>0</v>
      </c>
      <c r="Q41" s="1"/>
      <c r="R41" s="5">
        <f t="shared" ref="R41:R56" si="34">IF(P$12=0,0,P41/P$12)</f>
        <v>0</v>
      </c>
      <c r="S41" s="1"/>
      <c r="T41" s="1">
        <f>SUM(OSRRefT22_2x_0)</f>
        <v>710.2</v>
      </c>
      <c r="U41" s="1"/>
      <c r="V41" s="5">
        <f t="shared" ref="V41:V56" si="35">IF(T$12=0,0,T41/T$12)</f>
        <v>2.1038394358747995E-3</v>
      </c>
      <c r="W41" s="1"/>
      <c r="X41" s="1">
        <f t="shared" ref="X41:X56" si="36">+P41-T41</f>
        <v>-710.2</v>
      </c>
      <c r="Y41" s="1"/>
      <c r="Z41" s="5">
        <f t="shared" ref="Z41:Z56" si="37">IF(T41=0,0,X41/T41)</f>
        <v>-1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30"/>
        <v>0</v>
      </c>
      <c r="G42" s="2"/>
      <c r="H42" s="7">
        <v>90</v>
      </c>
      <c r="I42" s="2"/>
      <c r="J42" s="6">
        <f t="shared" si="31"/>
        <v>2.267476575707264E-3</v>
      </c>
      <c r="K42" s="2"/>
      <c r="L42" s="7">
        <f t="shared" si="32"/>
        <v>-90</v>
      </c>
      <c r="M42" s="2"/>
      <c r="N42" s="6">
        <f t="shared" si="33"/>
        <v>-1</v>
      </c>
      <c r="O42" s="11"/>
      <c r="P42" s="7"/>
      <c r="Q42" s="2"/>
      <c r="R42" s="6">
        <f t="shared" si="34"/>
        <v>0</v>
      </c>
      <c r="S42" s="2"/>
      <c r="T42" s="7">
        <v>710.2</v>
      </c>
      <c r="U42" s="2"/>
      <c r="V42" s="6">
        <f t="shared" si="35"/>
        <v>2.1038394358747995E-3</v>
      </c>
      <c r="W42" s="2"/>
      <c r="X42" s="7">
        <f t="shared" si="36"/>
        <v>-710.2</v>
      </c>
      <c r="Y42" s="2"/>
      <c r="Z42" s="6">
        <f t="shared" si="37"/>
        <v>-1</v>
      </c>
    </row>
    <row r="43" spans="1:26" s="25" customFormat="1" outlineLevel="1" collapsed="1" x14ac:dyDescent="0.25">
      <c r="A43" s="26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-26.36</v>
      </c>
      <c r="I43" s="1"/>
      <c r="J43" s="5">
        <f t="shared" si="31"/>
        <v>-6.6411869484048311E-4</v>
      </c>
      <c r="K43" s="1"/>
      <c r="L43" s="1">
        <f t="shared" si="32"/>
        <v>26.36</v>
      </c>
      <c r="M43" s="1"/>
      <c r="N43" s="5">
        <f t="shared" si="33"/>
        <v>-1</v>
      </c>
      <c r="O43" s="13"/>
      <c r="P43" s="1">
        <f>SUM(OSRRefP22_3x_0)</f>
        <v>0</v>
      </c>
      <c r="Q43" s="1"/>
      <c r="R43" s="5">
        <f t="shared" si="34"/>
        <v>0</v>
      </c>
      <c r="S43" s="1"/>
      <c r="T43" s="1">
        <f>SUM(OSRRefT22_3x_0)</f>
        <v>-139.83000000000001</v>
      </c>
      <c r="U43" s="1"/>
      <c r="V43" s="5">
        <f t="shared" si="35"/>
        <v>-4.1422116068483977E-4</v>
      </c>
      <c r="W43" s="1"/>
      <c r="X43" s="1">
        <f t="shared" si="36"/>
        <v>139.83000000000001</v>
      </c>
      <c r="Y43" s="1"/>
      <c r="Z43" s="5">
        <f t="shared" si="37"/>
        <v>-1</v>
      </c>
    </row>
    <row r="44" spans="1:26" s="24" customFormat="1" hidden="1" outlineLevel="2" x14ac:dyDescent="0.25">
      <c r="A44" s="27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30"/>
        <v>0</v>
      </c>
      <c r="G44" s="2"/>
      <c r="H44" s="7">
        <v>-26.36</v>
      </c>
      <c r="I44" s="2"/>
      <c r="J44" s="6">
        <f t="shared" si="31"/>
        <v>-6.6411869484048311E-4</v>
      </c>
      <c r="K44" s="2"/>
      <c r="L44" s="7">
        <f t="shared" si="32"/>
        <v>26.36</v>
      </c>
      <c r="M44" s="2"/>
      <c r="N44" s="6">
        <f t="shared" si="33"/>
        <v>-1</v>
      </c>
      <c r="O44" s="11"/>
      <c r="P44" s="7"/>
      <c r="Q44" s="2"/>
      <c r="R44" s="6">
        <f t="shared" si="34"/>
        <v>0</v>
      </c>
      <c r="S44" s="2"/>
      <c r="T44" s="7">
        <v>-139.83000000000001</v>
      </c>
      <c r="U44" s="2"/>
      <c r="V44" s="6">
        <f t="shared" si="35"/>
        <v>-4.1422116068483977E-4</v>
      </c>
      <c r="W44" s="2"/>
      <c r="X44" s="7">
        <f t="shared" si="36"/>
        <v>139.83000000000001</v>
      </c>
      <c r="Y44" s="2"/>
      <c r="Z44" s="6">
        <f t="shared" si="37"/>
        <v>-1</v>
      </c>
    </row>
    <row r="45" spans="1:26" s="25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0</v>
      </c>
      <c r="E45" s="1"/>
      <c r="F45" s="5">
        <f t="shared" si="30"/>
        <v>0</v>
      </c>
      <c r="G45" s="1"/>
      <c r="H45" s="1">
        <f>SUM(OSRRefH22_4x_0)</f>
        <v>1239.5999999999999</v>
      </c>
      <c r="I45" s="1"/>
      <c r="J45" s="5">
        <f t="shared" si="31"/>
        <v>3.1230710702741381E-2</v>
      </c>
      <c r="K45" s="1"/>
      <c r="L45" s="1">
        <f t="shared" si="32"/>
        <v>-1239.5999999999999</v>
      </c>
      <c r="M45" s="1"/>
      <c r="N45" s="5">
        <f t="shared" si="33"/>
        <v>-1</v>
      </c>
      <c r="O45" s="13"/>
      <c r="P45" s="1">
        <f>SUM(OSRRefP22_4x_0)</f>
        <v>240</v>
      </c>
      <c r="Q45" s="1"/>
      <c r="R45" s="5">
        <f t="shared" si="34"/>
        <v>0</v>
      </c>
      <c r="S45" s="1"/>
      <c r="T45" s="1">
        <f>SUM(OSRRefT22_4x_0)</f>
        <v>11296.57</v>
      </c>
      <c r="U45" s="1"/>
      <c r="V45" s="5">
        <f t="shared" si="35"/>
        <v>3.3464051613799187E-2</v>
      </c>
      <c r="W45" s="1"/>
      <c r="X45" s="1">
        <f t="shared" si="36"/>
        <v>-11056.57</v>
      </c>
      <c r="Y45" s="1"/>
      <c r="Z45" s="5">
        <f t="shared" si="37"/>
        <v>-0.97875461312593115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30"/>
        <v>0</v>
      </c>
      <c r="G46" s="2"/>
      <c r="H46" s="7">
        <v>1239.5999999999999</v>
      </c>
      <c r="I46" s="2"/>
      <c r="J46" s="6">
        <f t="shared" si="31"/>
        <v>3.1230710702741381E-2</v>
      </c>
      <c r="K46" s="2"/>
      <c r="L46" s="7">
        <f t="shared" si="32"/>
        <v>-1239.5999999999999</v>
      </c>
      <c r="M46" s="2"/>
      <c r="N46" s="6">
        <f t="shared" si="33"/>
        <v>-1</v>
      </c>
      <c r="O46" s="11"/>
      <c r="P46" s="7">
        <v>240</v>
      </c>
      <c r="Q46" s="2"/>
      <c r="R46" s="6">
        <f t="shared" si="34"/>
        <v>0</v>
      </c>
      <c r="S46" s="2"/>
      <c r="T46" s="7">
        <v>11296.57</v>
      </c>
      <c r="U46" s="2"/>
      <c r="V46" s="6">
        <f t="shared" si="35"/>
        <v>3.3464051613799187E-2</v>
      </c>
      <c r="W46" s="2"/>
      <c r="X46" s="7">
        <f t="shared" si="36"/>
        <v>-11056.57</v>
      </c>
      <c r="Y46" s="2"/>
      <c r="Z46" s="6">
        <f t="shared" si="37"/>
        <v>-0.97875461312593115</v>
      </c>
    </row>
    <row r="47" spans="1:26" s="25" customFormat="1" outlineLevel="1" collapsed="1" x14ac:dyDescent="0.25">
      <c r="A47" s="26"/>
      <c r="B47" s="13" t="str">
        <f>CONCATENATE("     ","Discounts and Markdowns                           ")</f>
        <v xml:space="preserve">     Discounts and Markdowns                           </v>
      </c>
      <c r="C47" s="13"/>
      <c r="D47" s="1">
        <f>SUM(OSRRefD22_5x_0)</f>
        <v>0</v>
      </c>
      <c r="E47" s="1"/>
      <c r="F47" s="5">
        <f t="shared" si="30"/>
        <v>0</v>
      </c>
      <c r="G47" s="1"/>
      <c r="H47" s="1">
        <f>SUM(OSRRefH22_5x_0)</f>
        <v>16.62</v>
      </c>
      <c r="I47" s="1"/>
      <c r="J47" s="5">
        <f t="shared" si="31"/>
        <v>4.1872734098060809E-4</v>
      </c>
      <c r="K47" s="1"/>
      <c r="L47" s="1">
        <f t="shared" si="32"/>
        <v>-16.62</v>
      </c>
      <c r="M47" s="1"/>
      <c r="N47" s="5">
        <f t="shared" si="33"/>
        <v>-1</v>
      </c>
      <c r="O47" s="13"/>
      <c r="P47" s="1">
        <f>SUM(OSRRefP22_5x_0)</f>
        <v>0</v>
      </c>
      <c r="Q47" s="1"/>
      <c r="R47" s="5">
        <f t="shared" si="34"/>
        <v>0</v>
      </c>
      <c r="S47" s="1"/>
      <c r="T47" s="1">
        <f>SUM(OSRRefT22_5x_0)</f>
        <v>76.37</v>
      </c>
      <c r="U47" s="1"/>
      <c r="V47" s="5">
        <f t="shared" si="35"/>
        <v>2.2623235386899244E-4</v>
      </c>
      <c r="W47" s="1"/>
      <c r="X47" s="1">
        <f t="shared" si="36"/>
        <v>-76.37</v>
      </c>
      <c r="Y47" s="1"/>
      <c r="Z47" s="5">
        <f t="shared" si="37"/>
        <v>-1</v>
      </c>
    </row>
    <row r="48" spans="1:26" s="24" customFormat="1" hidden="1" outlineLevel="2" x14ac:dyDescent="0.25">
      <c r="A48" s="27"/>
      <c r="B48" s="11" t="str">
        <f>CONCATENATE("          ", "6382", " - ", "DISCOUNTS/MARK DOWNS")</f>
        <v xml:space="preserve">          6382 - DISCOUNTS/MARK DOWNS</v>
      </c>
      <c r="C48" s="11"/>
      <c r="D48" s="7"/>
      <c r="E48" s="2"/>
      <c r="F48" s="6">
        <f t="shared" si="30"/>
        <v>0</v>
      </c>
      <c r="G48" s="2"/>
      <c r="H48" s="7">
        <v>16.62</v>
      </c>
      <c r="I48" s="2"/>
      <c r="J48" s="6">
        <f t="shared" si="31"/>
        <v>4.1872734098060809E-4</v>
      </c>
      <c r="K48" s="2"/>
      <c r="L48" s="7">
        <f t="shared" si="32"/>
        <v>-16.62</v>
      </c>
      <c r="M48" s="2"/>
      <c r="N48" s="6">
        <f t="shared" si="33"/>
        <v>-1</v>
      </c>
      <c r="O48" s="11"/>
      <c r="P48" s="7"/>
      <c r="Q48" s="2"/>
      <c r="R48" s="6">
        <f t="shared" si="34"/>
        <v>0</v>
      </c>
      <c r="S48" s="2"/>
      <c r="T48" s="7">
        <v>76.37</v>
      </c>
      <c r="U48" s="2"/>
      <c r="V48" s="6">
        <f t="shared" si="35"/>
        <v>2.2623235386899244E-4</v>
      </c>
      <c r="W48" s="2"/>
      <c r="X48" s="7">
        <f t="shared" si="36"/>
        <v>-76.37</v>
      </c>
      <c r="Y48" s="2"/>
      <c r="Z48" s="6">
        <f t="shared" si="37"/>
        <v>-1</v>
      </c>
    </row>
    <row r="49" spans="1:26" s="25" customFormat="1" outlineLevel="1" collapsed="1" x14ac:dyDescent="0.25">
      <c r="A49" s="26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SUM(OSRRefD22_6x_0)</f>
        <v>3.93</v>
      </c>
      <c r="E49" s="1"/>
      <c r="F49" s="5">
        <f t="shared" si="30"/>
        <v>0</v>
      </c>
      <c r="G49" s="1"/>
      <c r="H49" s="1">
        <f>SUM(OSRRefH22_6x_0)</f>
        <v>37.380000000000003</v>
      </c>
      <c r="I49" s="1"/>
      <c r="J49" s="5">
        <f t="shared" si="31"/>
        <v>9.4175860444375037E-4</v>
      </c>
      <c r="K49" s="1"/>
      <c r="L49" s="1">
        <f t="shared" si="32"/>
        <v>-33.450000000000003</v>
      </c>
      <c r="M49" s="1"/>
      <c r="N49" s="5">
        <f t="shared" si="33"/>
        <v>-0.89486356340288931</v>
      </c>
      <c r="O49" s="13"/>
      <c r="P49" s="1">
        <f>SUM(OSRRefP22_6x_0)</f>
        <v>109.26</v>
      </c>
      <c r="Q49" s="1"/>
      <c r="R49" s="5">
        <f t="shared" si="34"/>
        <v>0</v>
      </c>
      <c r="S49" s="1"/>
      <c r="T49" s="1">
        <f>SUM(OSRRefT22_6x_0)</f>
        <v>225.99</v>
      </c>
      <c r="U49" s="1"/>
      <c r="V49" s="5">
        <f t="shared" si="35"/>
        <v>6.694546242091607E-4</v>
      </c>
      <c r="W49" s="1"/>
      <c r="X49" s="1">
        <f t="shared" si="36"/>
        <v>-116.73</v>
      </c>
      <c r="Y49" s="1"/>
      <c r="Z49" s="5">
        <f t="shared" si="37"/>
        <v>-0.51652727996814018</v>
      </c>
    </row>
    <row r="50" spans="1:26" s="24" customFormat="1" hidden="1" outlineLevel="2" x14ac:dyDescent="0.25">
      <c r="A50" s="27"/>
      <c r="B50" s="11" t="str">
        <f>CONCATENATE("          ", "6305", " - ", "FREIGHT OUT")</f>
        <v xml:space="preserve">          6305 - FREIGHT OUT</v>
      </c>
      <c r="C50" s="11"/>
      <c r="D50" s="7">
        <v>3.93</v>
      </c>
      <c r="E50" s="2"/>
      <c r="F50" s="6">
        <f t="shared" si="30"/>
        <v>0</v>
      </c>
      <c r="G50" s="2"/>
      <c r="H50" s="7">
        <v>37.380000000000003</v>
      </c>
      <c r="I50" s="2"/>
      <c r="J50" s="6">
        <f t="shared" si="31"/>
        <v>9.4175860444375037E-4</v>
      </c>
      <c r="K50" s="2"/>
      <c r="L50" s="7">
        <f t="shared" si="32"/>
        <v>-33.450000000000003</v>
      </c>
      <c r="M50" s="2"/>
      <c r="N50" s="6">
        <f t="shared" si="33"/>
        <v>-0.89486356340288931</v>
      </c>
      <c r="O50" s="11"/>
      <c r="P50" s="7">
        <v>109.26</v>
      </c>
      <c r="Q50" s="2"/>
      <c r="R50" s="6">
        <f t="shared" si="34"/>
        <v>0</v>
      </c>
      <c r="S50" s="2"/>
      <c r="T50" s="7">
        <v>225.99</v>
      </c>
      <c r="U50" s="2"/>
      <c r="V50" s="6">
        <f t="shared" si="35"/>
        <v>6.694546242091607E-4</v>
      </c>
      <c r="W50" s="2"/>
      <c r="X50" s="7">
        <f t="shared" si="36"/>
        <v>-116.73</v>
      </c>
      <c r="Y50" s="2"/>
      <c r="Z50" s="6">
        <f t="shared" si="37"/>
        <v>-0.51652727996814018</v>
      </c>
    </row>
    <row r="51" spans="1:26" s="25" customFormat="1" outlineLevel="1" collapsed="1" x14ac:dyDescent="0.25">
      <c r="A51" s="26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SUM(OSRRefD22_7x_0)</f>
        <v>160</v>
      </c>
      <c r="E51" s="1"/>
      <c r="F51" s="5">
        <f t="shared" si="30"/>
        <v>0</v>
      </c>
      <c r="G51" s="1"/>
      <c r="H51" s="1">
        <f>SUM(OSRRefH22_7x_0)</f>
        <v>170.45</v>
      </c>
      <c r="I51" s="1"/>
      <c r="J51" s="5">
        <f t="shared" si="31"/>
        <v>4.2943486925478124E-3</v>
      </c>
      <c r="K51" s="1"/>
      <c r="L51" s="1">
        <f t="shared" si="32"/>
        <v>-10.449999999999989</v>
      </c>
      <c r="M51" s="1"/>
      <c r="N51" s="5">
        <f t="shared" si="33"/>
        <v>-6.130830155470806E-2</v>
      </c>
      <c r="O51" s="13"/>
      <c r="P51" s="1">
        <f>SUM(OSRRefP22_7x_0)</f>
        <v>160</v>
      </c>
      <c r="Q51" s="1"/>
      <c r="R51" s="5">
        <f t="shared" si="34"/>
        <v>0</v>
      </c>
      <c r="S51" s="1"/>
      <c r="T51" s="1">
        <f>SUM(OSRRefT22_7x_0)</f>
        <v>1122.1500000000001</v>
      </c>
      <c r="U51" s="1"/>
      <c r="V51" s="5">
        <f t="shared" si="35"/>
        <v>3.3241670275512619E-3</v>
      </c>
      <c r="W51" s="1"/>
      <c r="X51" s="1">
        <f t="shared" si="36"/>
        <v>-962.15000000000009</v>
      </c>
      <c r="Y51" s="1"/>
      <c r="Z51" s="5">
        <f t="shared" si="37"/>
        <v>-0.85741656641268993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7">
        <v>160</v>
      </c>
      <c r="E52" s="2"/>
      <c r="F52" s="6">
        <f t="shared" si="30"/>
        <v>0</v>
      </c>
      <c r="G52" s="2"/>
      <c r="H52" s="7">
        <v>170.45</v>
      </c>
      <c r="I52" s="2"/>
      <c r="J52" s="6">
        <f t="shared" si="31"/>
        <v>4.2943486925478124E-3</v>
      </c>
      <c r="K52" s="2"/>
      <c r="L52" s="7">
        <f t="shared" si="32"/>
        <v>-10.449999999999989</v>
      </c>
      <c r="M52" s="2"/>
      <c r="N52" s="6">
        <f t="shared" si="33"/>
        <v>-6.130830155470806E-2</v>
      </c>
      <c r="O52" s="11"/>
      <c r="P52" s="7">
        <v>160</v>
      </c>
      <c r="Q52" s="2"/>
      <c r="R52" s="6">
        <f t="shared" si="34"/>
        <v>0</v>
      </c>
      <c r="S52" s="2"/>
      <c r="T52" s="7">
        <v>1122.1500000000001</v>
      </c>
      <c r="U52" s="2"/>
      <c r="V52" s="6">
        <f t="shared" si="35"/>
        <v>3.3241670275512619E-3</v>
      </c>
      <c r="W52" s="2"/>
      <c r="X52" s="7">
        <f t="shared" si="36"/>
        <v>-962.15000000000009</v>
      </c>
      <c r="Y52" s="2"/>
      <c r="Z52" s="6">
        <f t="shared" si="37"/>
        <v>-0.85741656641268993</v>
      </c>
    </row>
    <row r="53" spans="1:26" s="25" customFormat="1" outlineLevel="1" collapsed="1" x14ac:dyDescent="0.25">
      <c r="A53" s="26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SUM(OSRRefD22_8x_0)</f>
        <v>24.12</v>
      </c>
      <c r="E53" s="1"/>
      <c r="F53" s="5">
        <f t="shared" si="30"/>
        <v>0</v>
      </c>
      <c r="G53" s="1"/>
      <c r="H53" s="1">
        <f>SUM(OSRRefH22_8x_0)</f>
        <v>23.78</v>
      </c>
      <c r="I53" s="1"/>
      <c r="J53" s="5">
        <f t="shared" si="31"/>
        <v>5.9911769967020819E-4</v>
      </c>
      <c r="K53" s="1"/>
      <c r="L53" s="1">
        <f t="shared" si="32"/>
        <v>0.33999999999999986</v>
      </c>
      <c r="M53" s="1"/>
      <c r="N53" s="5">
        <f t="shared" si="33"/>
        <v>1.4297729184188387E-2</v>
      </c>
      <c r="O53" s="13"/>
      <c r="P53" s="1">
        <f>SUM(OSRRefP22_8x_0)</f>
        <v>48.24</v>
      </c>
      <c r="Q53" s="1"/>
      <c r="R53" s="5">
        <f t="shared" si="34"/>
        <v>0</v>
      </c>
      <c r="S53" s="1"/>
      <c r="T53" s="1">
        <f>SUM(OSRRefT22_8x_0)</f>
        <v>1064.5</v>
      </c>
      <c r="U53" s="1"/>
      <c r="V53" s="5">
        <f t="shared" si="35"/>
        <v>3.1533892980691691E-3</v>
      </c>
      <c r="W53" s="1"/>
      <c r="X53" s="1">
        <f t="shared" si="36"/>
        <v>-1016.26</v>
      </c>
      <c r="Y53" s="1"/>
      <c r="Z53" s="5">
        <f t="shared" si="37"/>
        <v>-0.95468294974166279</v>
      </c>
    </row>
    <row r="54" spans="1:26" s="24" customFormat="1" hidden="1" outlineLevel="2" x14ac:dyDescent="0.25">
      <c r="A54" s="27"/>
      <c r="B54" s="11" t="str">
        <f>CONCATENATE("          ", "6371", " - ", "COMPUTER SOFTWARE MAINTENANCE")</f>
        <v xml:space="preserve">          6371 - COMPUTER SOFTWARE MAINTENANCE</v>
      </c>
      <c r="C54" s="11"/>
      <c r="D54" s="7"/>
      <c r="E54" s="2"/>
      <c r="F54" s="6">
        <f t="shared" si="30"/>
        <v>0</v>
      </c>
      <c r="G54" s="2"/>
      <c r="H54" s="7"/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/>
      <c r="Q54" s="2"/>
      <c r="R54" s="6">
        <f t="shared" si="34"/>
        <v>0</v>
      </c>
      <c r="S54" s="2"/>
      <c r="T54" s="7">
        <v>437.31</v>
      </c>
      <c r="U54" s="2"/>
      <c r="V54" s="6">
        <f t="shared" si="35"/>
        <v>1.2954520187305105E-3</v>
      </c>
      <c r="W54" s="2"/>
      <c r="X54" s="7">
        <f t="shared" si="36"/>
        <v>-437.31</v>
      </c>
      <c r="Y54" s="2"/>
      <c r="Z54" s="6">
        <f t="shared" si="37"/>
        <v>-1</v>
      </c>
    </row>
    <row r="55" spans="1:26" s="24" customFormat="1" hidden="1" outlineLevel="2" x14ac:dyDescent="0.25">
      <c r="A55" s="27"/>
      <c r="B55" s="11" t="str">
        <f>CONCATENATE("          ", "6373", " - ", "MAINTENANCE CONTRACTS")</f>
        <v xml:space="preserve">          6373 - MAINTENANCE CONTRACTS</v>
      </c>
      <c r="C55" s="11"/>
      <c r="D55" s="7">
        <v>24.12</v>
      </c>
      <c r="E55" s="2"/>
      <c r="F55" s="6">
        <f t="shared" si="30"/>
        <v>0</v>
      </c>
      <c r="G55" s="2"/>
      <c r="H55" s="7">
        <v>23.78</v>
      </c>
      <c r="I55" s="2"/>
      <c r="J55" s="6">
        <f t="shared" si="31"/>
        <v>5.9911769967020819E-4</v>
      </c>
      <c r="K55" s="2"/>
      <c r="L55" s="7">
        <f t="shared" si="32"/>
        <v>0.33999999999999986</v>
      </c>
      <c r="M55" s="2"/>
      <c r="N55" s="6">
        <f t="shared" si="33"/>
        <v>1.4297729184188387E-2</v>
      </c>
      <c r="O55" s="11"/>
      <c r="P55" s="7">
        <v>48.24</v>
      </c>
      <c r="Q55" s="2"/>
      <c r="R55" s="6">
        <f t="shared" si="34"/>
        <v>0</v>
      </c>
      <c r="S55" s="2"/>
      <c r="T55" s="7">
        <v>46.61</v>
      </c>
      <c r="U55" s="2"/>
      <c r="V55" s="6">
        <f t="shared" si="35"/>
        <v>1.3807372022827991E-4</v>
      </c>
      <c r="W55" s="2"/>
      <c r="X55" s="7">
        <f t="shared" si="36"/>
        <v>1.6300000000000026</v>
      </c>
      <c r="Y55" s="2"/>
      <c r="Z55" s="6">
        <f t="shared" si="37"/>
        <v>3.4971036258313722E-2</v>
      </c>
    </row>
    <row r="56" spans="1:26" s="24" customFormat="1" hidden="1" outlineLevel="2" x14ac:dyDescent="0.25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30"/>
        <v>0</v>
      </c>
      <c r="G56" s="2"/>
      <c r="H56" s="7"/>
      <c r="I56" s="2"/>
      <c r="J56" s="6">
        <f t="shared" si="31"/>
        <v>0</v>
      </c>
      <c r="K56" s="2"/>
      <c r="L56" s="7">
        <f t="shared" si="32"/>
        <v>0</v>
      </c>
      <c r="M56" s="2"/>
      <c r="N56" s="6">
        <f t="shared" si="33"/>
        <v>0</v>
      </c>
      <c r="O56" s="11"/>
      <c r="P56" s="7"/>
      <c r="Q56" s="2"/>
      <c r="R56" s="6">
        <f t="shared" si="34"/>
        <v>0</v>
      </c>
      <c r="S56" s="2"/>
      <c r="T56" s="7">
        <v>580.58000000000004</v>
      </c>
      <c r="U56" s="2"/>
      <c r="V56" s="6">
        <f t="shared" si="35"/>
        <v>1.7198635591103789E-3</v>
      </c>
      <c r="W56" s="2"/>
      <c r="X56" s="7">
        <f t="shared" si="36"/>
        <v>-580.58000000000004</v>
      </c>
      <c r="Y56" s="2"/>
      <c r="Z56" s="6">
        <f t="shared" si="37"/>
        <v>-1</v>
      </c>
    </row>
    <row r="57" spans="1:26" s="25" customFormat="1" outlineLevel="1" collapsed="1" x14ac:dyDescent="0.25">
      <c r="A57" s="26"/>
      <c r="B57" s="13" t="str">
        <f>CONCATENATE("     ","Services                                          ")</f>
        <v xml:space="preserve">     Services                                          </v>
      </c>
      <c r="C57" s="13"/>
      <c r="D57" s="1">
        <f>SUM(OSRRefD22_9x_0)</f>
        <v>0</v>
      </c>
      <c r="E57" s="1"/>
      <c r="F57" s="5">
        <f t="shared" ref="F57:F64" si="38">IF(D$12=0,0,D57/D$12)</f>
        <v>0</v>
      </c>
      <c r="G57" s="1"/>
      <c r="H57" s="1">
        <f>SUM(OSRRefH22_9x_0)</f>
        <v>103.35</v>
      </c>
      <c r="I57" s="1"/>
      <c r="J57" s="5">
        <f t="shared" ref="J57:J64" si="39">IF(H$12=0,0,H57/H$12)</f>
        <v>2.6038189344371747E-3</v>
      </c>
      <c r="K57" s="1"/>
      <c r="L57" s="1">
        <f t="shared" ref="L57:L64" si="40">+D57-H57</f>
        <v>-103.35</v>
      </c>
      <c r="M57" s="1"/>
      <c r="N57" s="5">
        <f t="shared" ref="N57:N64" si="41">IF(H57=0,0,L57/H57)</f>
        <v>-1</v>
      </c>
      <c r="O57" s="13"/>
      <c r="P57" s="1">
        <f>SUM(OSRRefP22_9x_0)</f>
        <v>0</v>
      </c>
      <c r="Q57" s="1"/>
      <c r="R57" s="5">
        <f t="shared" ref="R57:R64" si="42">IF(P$12=0,0,P57/P$12)</f>
        <v>0</v>
      </c>
      <c r="S57" s="1"/>
      <c r="T57" s="1">
        <f>SUM(OSRRefT22_9x_0)</f>
        <v>835.81</v>
      </c>
      <c r="U57" s="1"/>
      <c r="V57" s="5">
        <f t="shared" ref="V57:V64" si="43">IF(T$12=0,0,T57/T$12)</f>
        <v>2.4759364107272822E-3</v>
      </c>
      <c r="W57" s="1"/>
      <c r="X57" s="1">
        <f t="shared" ref="X57:X64" si="44">+P57-T57</f>
        <v>-835.81</v>
      </c>
      <c r="Y57" s="1"/>
      <c r="Z57" s="5">
        <f t="shared" ref="Z57:Z64" si="45">IF(T57=0,0,X57/T57)</f>
        <v>-1</v>
      </c>
    </row>
    <row r="58" spans="1:26" s="24" customFormat="1" hidden="1" outlineLevel="2" x14ac:dyDescent="0.25">
      <c r="A58" s="27"/>
      <c r="B58" s="11" t="str">
        <f>CONCATENATE("          ", "6286", " - ", "LAUNDRY EXPENSE")</f>
        <v xml:space="preserve">          6286 - LAUNDRY EXPENSE</v>
      </c>
      <c r="C58" s="11"/>
      <c r="D58" s="7"/>
      <c r="E58" s="2"/>
      <c r="F58" s="6">
        <f t="shared" si="38"/>
        <v>0</v>
      </c>
      <c r="G58" s="2"/>
      <c r="H58" s="7">
        <v>103.35</v>
      </c>
      <c r="I58" s="2"/>
      <c r="J58" s="6">
        <f t="shared" si="39"/>
        <v>2.6038189344371747E-3</v>
      </c>
      <c r="K58" s="2"/>
      <c r="L58" s="7">
        <f t="shared" si="40"/>
        <v>-103.35</v>
      </c>
      <c r="M58" s="2"/>
      <c r="N58" s="6">
        <f t="shared" si="41"/>
        <v>-1</v>
      </c>
      <c r="O58" s="11"/>
      <c r="P58" s="7"/>
      <c r="Q58" s="2"/>
      <c r="R58" s="6">
        <f t="shared" si="42"/>
        <v>0</v>
      </c>
      <c r="S58" s="2"/>
      <c r="T58" s="7">
        <v>835.81</v>
      </c>
      <c r="U58" s="2"/>
      <c r="V58" s="6">
        <f t="shared" si="43"/>
        <v>2.4759364107272822E-3</v>
      </c>
      <c r="W58" s="2"/>
      <c r="X58" s="7">
        <f t="shared" si="44"/>
        <v>-835.81</v>
      </c>
      <c r="Y58" s="2"/>
      <c r="Z58" s="6">
        <f t="shared" si="45"/>
        <v>-1</v>
      </c>
    </row>
    <row r="59" spans="1:26" s="25" customFormat="1" outlineLevel="1" collapsed="1" x14ac:dyDescent="0.25">
      <c r="A59" s="26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SUM(OSRRefD22_10x_0)</f>
        <v>0</v>
      </c>
      <c r="E59" s="1"/>
      <c r="F59" s="5">
        <f t="shared" si="38"/>
        <v>0</v>
      </c>
      <c r="G59" s="1"/>
      <c r="H59" s="1">
        <f>SUM(OSRRefH22_10x_0)</f>
        <v>196.23</v>
      </c>
      <c r="I59" s="1"/>
      <c r="J59" s="5">
        <f t="shared" si="39"/>
        <v>4.9438547605670704E-3</v>
      </c>
      <c r="K59" s="1"/>
      <c r="L59" s="1">
        <f t="shared" si="40"/>
        <v>-196.23</v>
      </c>
      <c r="M59" s="1"/>
      <c r="N59" s="5">
        <f t="shared" si="41"/>
        <v>-1</v>
      </c>
      <c r="O59" s="13"/>
      <c r="P59" s="1">
        <f>SUM(OSRRefP22_10x_0)</f>
        <v>0</v>
      </c>
      <c r="Q59" s="1"/>
      <c r="R59" s="5">
        <f t="shared" si="42"/>
        <v>0</v>
      </c>
      <c r="S59" s="1"/>
      <c r="T59" s="1">
        <f>SUM(OSRRefT22_10x_0)</f>
        <v>3508.58</v>
      </c>
      <c r="U59" s="1"/>
      <c r="V59" s="5">
        <f t="shared" si="43"/>
        <v>1.0393535578599835E-2</v>
      </c>
      <c r="W59" s="1"/>
      <c r="X59" s="1">
        <f t="shared" si="44"/>
        <v>-3508.58</v>
      </c>
      <c r="Y59" s="1"/>
      <c r="Z59" s="5">
        <f t="shared" si="45"/>
        <v>-1</v>
      </c>
    </row>
    <row r="60" spans="1:26" s="24" customFormat="1" hidden="1" outlineLevel="2" x14ac:dyDescent="0.25">
      <c r="A60" s="27"/>
      <c r="B60" s="11" t="str">
        <f>CONCATENATE("          ", "6234", " - ", "EXPENDABLE SUPPLIES &amp; EQUIPMEN")</f>
        <v xml:space="preserve">          6234 - EXPENDABLE SUPPLIES &amp; EQUIPMEN</v>
      </c>
      <c r="C60" s="11"/>
      <c r="D60" s="7"/>
      <c r="E60" s="2"/>
      <c r="F60" s="6">
        <f t="shared" si="38"/>
        <v>0</v>
      </c>
      <c r="G60" s="2"/>
      <c r="H60" s="7"/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/>
      <c r="Q60" s="2"/>
      <c r="R60" s="6">
        <f t="shared" si="42"/>
        <v>0</v>
      </c>
      <c r="S60" s="2"/>
      <c r="T60" s="7">
        <v>354.82</v>
      </c>
      <c r="U60" s="2"/>
      <c r="V60" s="6">
        <f t="shared" si="43"/>
        <v>1.0510902684273391E-3</v>
      </c>
      <c r="W60" s="2"/>
      <c r="X60" s="7">
        <f t="shared" si="44"/>
        <v>-354.82</v>
      </c>
      <c r="Y60" s="2"/>
      <c r="Z60" s="6">
        <f t="shared" si="45"/>
        <v>-1</v>
      </c>
    </row>
    <row r="61" spans="1:26" s="24" customFormat="1" hidden="1" outlineLevel="2" x14ac:dyDescent="0.25">
      <c r="A61" s="27"/>
      <c r="B61" s="11" t="str">
        <f>CONCATENATE("          ", "6237", " - ", "JANITORIAL SUPPLIES")</f>
        <v xml:space="preserve">          6237 - JANITORIAL SUPPLIES</v>
      </c>
      <c r="C61" s="11"/>
      <c r="D61" s="7"/>
      <c r="E61" s="2"/>
      <c r="F61" s="6">
        <f t="shared" si="38"/>
        <v>0</v>
      </c>
      <c r="G61" s="2"/>
      <c r="H61" s="7"/>
      <c r="I61" s="2"/>
      <c r="J61" s="6">
        <f t="shared" si="39"/>
        <v>0</v>
      </c>
      <c r="K61" s="2"/>
      <c r="L61" s="7">
        <f t="shared" si="40"/>
        <v>0</v>
      </c>
      <c r="M61" s="2"/>
      <c r="N61" s="6">
        <f t="shared" si="41"/>
        <v>0</v>
      </c>
      <c r="O61" s="11"/>
      <c r="P61" s="7"/>
      <c r="Q61" s="2"/>
      <c r="R61" s="6">
        <f t="shared" si="42"/>
        <v>0</v>
      </c>
      <c r="S61" s="2"/>
      <c r="T61" s="7">
        <v>151.25</v>
      </c>
      <c r="U61" s="2"/>
      <c r="V61" s="6">
        <f t="shared" si="43"/>
        <v>4.4805085141659166E-4</v>
      </c>
      <c r="W61" s="2"/>
      <c r="X61" s="7">
        <f t="shared" si="44"/>
        <v>-151.25</v>
      </c>
      <c r="Y61" s="2"/>
      <c r="Z61" s="6">
        <f t="shared" si="45"/>
        <v>-1</v>
      </c>
    </row>
    <row r="62" spans="1:26" s="24" customFormat="1" hidden="1" outlineLevel="2" x14ac:dyDescent="0.25">
      <c r="A62" s="27"/>
      <c r="B62" s="11" t="str">
        <f>CONCATENATE("          ", "6241", " - ", "OFFICE EXPENSE")</f>
        <v xml:space="preserve">          6241 - OFFICE EXPENSE</v>
      </c>
      <c r="C62" s="11"/>
      <c r="D62" s="7"/>
      <c r="E62" s="2"/>
      <c r="F62" s="6">
        <f t="shared" si="38"/>
        <v>0</v>
      </c>
      <c r="G62" s="2"/>
      <c r="H62" s="7"/>
      <c r="I62" s="2"/>
      <c r="J62" s="6">
        <f t="shared" si="39"/>
        <v>0</v>
      </c>
      <c r="K62" s="2"/>
      <c r="L62" s="7">
        <f t="shared" si="40"/>
        <v>0</v>
      </c>
      <c r="M62" s="2"/>
      <c r="N62" s="6">
        <f t="shared" si="41"/>
        <v>0</v>
      </c>
      <c r="O62" s="11"/>
      <c r="P62" s="7"/>
      <c r="Q62" s="2"/>
      <c r="R62" s="6">
        <f t="shared" si="42"/>
        <v>0</v>
      </c>
      <c r="S62" s="2"/>
      <c r="T62" s="7">
        <v>328.56</v>
      </c>
      <c r="U62" s="2"/>
      <c r="V62" s="6">
        <f t="shared" si="43"/>
        <v>9.7329975366238256E-4</v>
      </c>
      <c r="W62" s="2"/>
      <c r="X62" s="7">
        <f t="shared" si="44"/>
        <v>-328.56</v>
      </c>
      <c r="Y62" s="2"/>
      <c r="Z62" s="6">
        <f t="shared" si="45"/>
        <v>-1</v>
      </c>
    </row>
    <row r="63" spans="1:26" s="24" customFormat="1" hidden="1" outlineLevel="2" x14ac:dyDescent="0.25">
      <c r="A63" s="27"/>
      <c r="B63" s="11" t="str">
        <f>CONCATENATE("          ", "6245", " - ", "PRINTING")</f>
        <v xml:space="preserve">          6245 - PRINTING</v>
      </c>
      <c r="C63" s="11"/>
      <c r="D63" s="7"/>
      <c r="E63" s="2"/>
      <c r="F63" s="6">
        <f t="shared" si="38"/>
        <v>0</v>
      </c>
      <c r="G63" s="2"/>
      <c r="H63" s="7"/>
      <c r="I63" s="2"/>
      <c r="J63" s="6">
        <f t="shared" si="39"/>
        <v>0</v>
      </c>
      <c r="K63" s="2"/>
      <c r="L63" s="7">
        <f t="shared" si="40"/>
        <v>0</v>
      </c>
      <c r="M63" s="2"/>
      <c r="N63" s="6">
        <f t="shared" si="41"/>
        <v>0</v>
      </c>
      <c r="O63" s="11"/>
      <c r="P63" s="7"/>
      <c r="Q63" s="2"/>
      <c r="R63" s="6">
        <f t="shared" si="42"/>
        <v>0</v>
      </c>
      <c r="S63" s="2"/>
      <c r="T63" s="7">
        <v>81.739999999999995</v>
      </c>
      <c r="U63" s="2"/>
      <c r="V63" s="6">
        <f t="shared" si="43"/>
        <v>2.4214001054408067E-4</v>
      </c>
      <c r="W63" s="2"/>
      <c r="X63" s="7">
        <f t="shared" si="44"/>
        <v>-81.739999999999995</v>
      </c>
      <c r="Y63" s="2"/>
      <c r="Z63" s="6">
        <f t="shared" si="45"/>
        <v>-1</v>
      </c>
    </row>
    <row r="64" spans="1:26" s="24" customFormat="1" hidden="1" outlineLevel="2" x14ac:dyDescent="0.25">
      <c r="A64" s="27"/>
      <c r="B64" s="11" t="str">
        <f>CONCATENATE("          ", "6247", " - ", "STORE SUPPLIES")</f>
        <v xml:space="preserve">          6247 - STORE SUPPLIES</v>
      </c>
      <c r="C64" s="11"/>
      <c r="D64" s="7"/>
      <c r="E64" s="2"/>
      <c r="F64" s="6">
        <f t="shared" si="38"/>
        <v>0</v>
      </c>
      <c r="G64" s="2"/>
      <c r="H64" s="7">
        <v>196.23</v>
      </c>
      <c r="I64" s="2"/>
      <c r="J64" s="6">
        <f t="shared" si="39"/>
        <v>4.9438547605670704E-3</v>
      </c>
      <c r="K64" s="2"/>
      <c r="L64" s="7">
        <f t="shared" si="40"/>
        <v>-196.23</v>
      </c>
      <c r="M64" s="2"/>
      <c r="N64" s="6">
        <f t="shared" si="41"/>
        <v>-1</v>
      </c>
      <c r="O64" s="11"/>
      <c r="P64" s="7"/>
      <c r="Q64" s="2"/>
      <c r="R64" s="6">
        <f t="shared" si="42"/>
        <v>0</v>
      </c>
      <c r="S64" s="2"/>
      <c r="T64" s="7">
        <v>2592.21</v>
      </c>
      <c r="U64" s="2"/>
      <c r="V64" s="6">
        <f t="shared" si="43"/>
        <v>7.6789546945494423E-3</v>
      </c>
      <c r="W64" s="2"/>
      <c r="X64" s="7">
        <f t="shared" si="44"/>
        <v>-2592.21</v>
      </c>
      <c r="Y64" s="2"/>
      <c r="Z64" s="6">
        <f t="shared" si="45"/>
        <v>-1</v>
      </c>
    </row>
    <row r="65" spans="1:26" s="25" customFormat="1" outlineLevel="1" collapsed="1" x14ac:dyDescent="0.25">
      <c r="A65" s="26"/>
      <c r="B65" s="13" t="str">
        <f>CONCATENATE("     ","Telephone/Data Lines                              ")</f>
        <v xml:space="preserve">     Telephone/Data Lines                              </v>
      </c>
      <c r="C65" s="13"/>
      <c r="D65" s="1">
        <f>SUM(OSRRefD22_11x_0)</f>
        <v>122.05</v>
      </c>
      <c r="E65" s="1"/>
      <c r="F65" s="5">
        <f t="shared" ref="F65:F68" si="46">IF(D$12=0,0,D65/D$12)</f>
        <v>0</v>
      </c>
      <c r="G65" s="1"/>
      <c r="H65" s="1">
        <f>SUM(OSRRefH22_11x_0)</f>
        <v>131</v>
      </c>
      <c r="I65" s="1"/>
      <c r="J65" s="5">
        <f t="shared" ref="J65:J68" si="47">IF(H$12=0,0,H65/H$12)</f>
        <v>3.3004381268627952E-3</v>
      </c>
      <c r="K65" s="1"/>
      <c r="L65" s="1">
        <f t="shared" ref="L65:L68" si="48">+D65-H65</f>
        <v>-8.9500000000000028</v>
      </c>
      <c r="M65" s="1"/>
      <c r="N65" s="5">
        <f t="shared" ref="N65:N68" si="49">IF(H65=0,0,L65/H65)</f>
        <v>-6.8320610687022928E-2</v>
      </c>
      <c r="O65" s="13"/>
      <c r="P65" s="1">
        <f>SUM(OSRRefP22_11x_0)</f>
        <v>780.4</v>
      </c>
      <c r="Q65" s="1"/>
      <c r="R65" s="5">
        <f t="shared" ref="R65:R68" si="50">IF(P$12=0,0,P65/P$12)</f>
        <v>0</v>
      </c>
      <c r="S65" s="1"/>
      <c r="T65" s="1">
        <f>SUM(OSRRefT22_11x_0)</f>
        <v>705.6</v>
      </c>
      <c r="U65" s="1"/>
      <c r="V65" s="5">
        <f t="shared" ref="V65:V68" si="51">IF(T$12=0,0,T65/T$12)</f>
        <v>2.0902127653523775E-3</v>
      </c>
      <c r="W65" s="1"/>
      <c r="X65" s="1">
        <f t="shared" ref="X65:X68" si="52">+P65-T65</f>
        <v>74.799999999999955</v>
      </c>
      <c r="Y65" s="1"/>
      <c r="Z65" s="5">
        <f t="shared" ref="Z65:Z68" si="53">IF(T65=0,0,X65/T65)</f>
        <v>0.10600907029478451</v>
      </c>
    </row>
    <row r="66" spans="1:26" s="24" customFormat="1" hidden="1" outlineLevel="2" x14ac:dyDescent="0.25">
      <c r="A66" s="27"/>
      <c r="B66" s="11" t="str">
        <f>CONCATENATE("          ", "6309", " - ", "TELEPHONE")</f>
        <v xml:space="preserve">          6309 - TELEPHONE</v>
      </c>
      <c r="C66" s="11"/>
      <c r="D66" s="7">
        <v>122.05</v>
      </c>
      <c r="E66" s="2"/>
      <c r="F66" s="6">
        <f t="shared" si="46"/>
        <v>0</v>
      </c>
      <c r="G66" s="2"/>
      <c r="H66" s="7">
        <v>131</v>
      </c>
      <c r="I66" s="2"/>
      <c r="J66" s="6">
        <f t="shared" si="47"/>
        <v>3.3004381268627952E-3</v>
      </c>
      <c r="K66" s="2"/>
      <c r="L66" s="7">
        <f t="shared" si="48"/>
        <v>-8.9500000000000028</v>
      </c>
      <c r="M66" s="2"/>
      <c r="N66" s="6">
        <f t="shared" si="49"/>
        <v>-6.8320610687022928E-2</v>
      </c>
      <c r="O66" s="11"/>
      <c r="P66" s="7">
        <v>780.4</v>
      </c>
      <c r="Q66" s="2"/>
      <c r="R66" s="6">
        <f t="shared" si="50"/>
        <v>0</v>
      </c>
      <c r="S66" s="2"/>
      <c r="T66" s="7">
        <v>705.6</v>
      </c>
      <c r="U66" s="2"/>
      <c r="V66" s="6">
        <f t="shared" si="51"/>
        <v>2.0902127653523775E-3</v>
      </c>
      <c r="W66" s="2"/>
      <c r="X66" s="7">
        <f t="shared" si="52"/>
        <v>74.799999999999955</v>
      </c>
      <c r="Y66" s="2"/>
      <c r="Z66" s="6">
        <f t="shared" si="53"/>
        <v>0.10600907029478451</v>
      </c>
    </row>
    <row r="67" spans="1:26" s="25" customFormat="1" outlineLevel="1" collapsed="1" x14ac:dyDescent="0.25">
      <c r="A67" s="26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SUM(OSRRefD22_12x_0)</f>
        <v>0</v>
      </c>
      <c r="E67" s="1"/>
      <c r="F67" s="5">
        <f t="shared" si="46"/>
        <v>0</v>
      </c>
      <c r="G67" s="1"/>
      <c r="H67" s="1">
        <f>SUM(OSRRefH22_12x_0)</f>
        <v>0</v>
      </c>
      <c r="I67" s="1"/>
      <c r="J67" s="5">
        <f t="shared" si="47"/>
        <v>0</v>
      </c>
      <c r="K67" s="1"/>
      <c r="L67" s="1">
        <f t="shared" si="48"/>
        <v>0</v>
      </c>
      <c r="M67" s="1"/>
      <c r="N67" s="5">
        <f t="shared" si="49"/>
        <v>0</v>
      </c>
      <c r="O67" s="13"/>
      <c r="P67" s="1">
        <f>SUM(OSRRefP22_12x_0)</f>
        <v>0</v>
      </c>
      <c r="Q67" s="1"/>
      <c r="R67" s="5">
        <f t="shared" si="50"/>
        <v>0</v>
      </c>
      <c r="S67" s="1"/>
      <c r="T67" s="1">
        <f>SUM(OSRRefT22_12x_0)</f>
        <v>96</v>
      </c>
      <c r="U67" s="1"/>
      <c r="V67" s="5">
        <f t="shared" si="51"/>
        <v>2.8438268916358873E-4</v>
      </c>
      <c r="W67" s="1"/>
      <c r="X67" s="1">
        <f t="shared" si="52"/>
        <v>-96</v>
      </c>
      <c r="Y67" s="1"/>
      <c r="Z67" s="5">
        <f t="shared" si="53"/>
        <v>-1</v>
      </c>
    </row>
    <row r="68" spans="1:26" s="24" customFormat="1" hidden="1" outlineLevel="2" x14ac:dyDescent="0.25">
      <c r="A68" s="27"/>
      <c r="B68" s="11" t="str">
        <f>CONCATENATE("          ", "6376", " - ", "TRAINING")</f>
        <v xml:space="preserve">          6376 - TRAINING</v>
      </c>
      <c r="C68" s="11"/>
      <c r="D68" s="7"/>
      <c r="E68" s="2"/>
      <c r="F68" s="6">
        <f t="shared" si="46"/>
        <v>0</v>
      </c>
      <c r="G68" s="2"/>
      <c r="H68" s="7"/>
      <c r="I68" s="2"/>
      <c r="J68" s="6">
        <f t="shared" si="47"/>
        <v>0</v>
      </c>
      <c r="K68" s="2"/>
      <c r="L68" s="7">
        <f t="shared" si="48"/>
        <v>0</v>
      </c>
      <c r="M68" s="2"/>
      <c r="N68" s="6">
        <f t="shared" si="49"/>
        <v>0</v>
      </c>
      <c r="O68" s="11"/>
      <c r="P68" s="7"/>
      <c r="Q68" s="2"/>
      <c r="R68" s="6">
        <f t="shared" si="50"/>
        <v>0</v>
      </c>
      <c r="S68" s="2"/>
      <c r="T68" s="7">
        <v>96</v>
      </c>
      <c r="U68" s="2"/>
      <c r="V68" s="6">
        <f t="shared" si="51"/>
        <v>2.8438268916358873E-4</v>
      </c>
      <c r="W68" s="2"/>
      <c r="X68" s="7">
        <f t="shared" si="52"/>
        <v>-96</v>
      </c>
      <c r="Y68" s="2"/>
      <c r="Z68" s="6">
        <f t="shared" si="53"/>
        <v>-1</v>
      </c>
    </row>
    <row r="69" spans="1:26" s="55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9" t="s">
        <v>0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8" t="s">
        <v>3</v>
      </c>
      <c r="C72" s="28"/>
      <c r="D72" s="20">
        <f>+D23-D25+D70</f>
        <v>-2286.9900000000002</v>
      </c>
      <c r="E72" s="14"/>
      <c r="F72" s="21">
        <f>IF(D$12=0,0,D72/D$12)</f>
        <v>0</v>
      </c>
      <c r="G72" s="14"/>
      <c r="H72" s="20">
        <f>+H23-H25+H70</f>
        <v>5922.1599999999962</v>
      </c>
      <c r="I72" s="14"/>
      <c r="J72" s="21">
        <f>IF(H$12=0,0,H72/H$12)</f>
        <v>0.14920398975100579</v>
      </c>
      <c r="K72" s="15"/>
      <c r="L72" s="20">
        <f>+D72-H72</f>
        <v>-8209.149999999996</v>
      </c>
      <c r="M72" s="15"/>
      <c r="N72" s="21">
        <f>IF(H72=0,0,L72/H72)</f>
        <v>-1.3861749766976916</v>
      </c>
      <c r="O72" s="29"/>
      <c r="P72" s="20">
        <f>+P23-P25+P70</f>
        <v>-45648.310000000005</v>
      </c>
      <c r="Q72" s="14"/>
      <c r="R72" s="21">
        <f>IF(P$12=0,0,P72/P$12)</f>
        <v>0</v>
      </c>
      <c r="S72" s="14"/>
      <c r="T72" s="20">
        <f>+T23-T25+T70</f>
        <v>64774.519999999975</v>
      </c>
      <c r="U72" s="14"/>
      <c r="V72" s="21">
        <f>IF(T$12=0,0,T72/T$12)</f>
        <v>0.19188283528000682</v>
      </c>
      <c r="W72" s="15"/>
      <c r="X72" s="20">
        <f>+P72-T72</f>
        <v>-110422.82999999999</v>
      </c>
      <c r="Y72" s="15"/>
      <c r="Z72" s="21">
        <f>IF(T72=0,0,X72/T72)</f>
        <v>-1.7047263337497527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/>
      <c r="E74" s="4"/>
      <c r="F74" s="12">
        <f>IF(D$12=0,0,D74/D$12)</f>
        <v>0</v>
      </c>
      <c r="G74" s="4"/>
      <c r="H74" s="4">
        <v>4916.87</v>
      </c>
      <c r="I74" s="4"/>
      <c r="J74" s="12">
        <f>IF(H$12=0,0,H74/H$12)</f>
        <v>0.12387652834219749</v>
      </c>
      <c r="K74" s="4"/>
      <c r="L74" s="4">
        <f>+D74-H74</f>
        <v>-4916.87</v>
      </c>
      <c r="M74" s="4"/>
      <c r="N74" s="12">
        <f>IF(H74=0,0,L74/H74)</f>
        <v>-1</v>
      </c>
      <c r="O74" s="10"/>
      <c r="P74" s="4"/>
      <c r="Q74" s="4"/>
      <c r="R74" s="12">
        <f>IF(P$12=0,0,P74/P$12)</f>
        <v>0</v>
      </c>
      <c r="S74" s="4"/>
      <c r="T74" s="4">
        <v>36460.519999999997</v>
      </c>
      <c r="U74" s="4"/>
      <c r="V74" s="12">
        <f>IF(T$12=0,0,T74/T$12)</f>
        <v>0.10800771589482094</v>
      </c>
      <c r="W74" s="4"/>
      <c r="X74" s="4">
        <f>+P74-T74</f>
        <v>-36460.519999999997</v>
      </c>
      <c r="Y74" s="4"/>
      <c r="Z74" s="12">
        <f>IF(T74=0,0,X74/T74)</f>
        <v>-1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8" t="s">
        <v>4</v>
      </c>
      <c r="C76" s="28"/>
      <c r="D76" s="33">
        <f>+D72-D74</f>
        <v>-2286.9900000000002</v>
      </c>
      <c r="E76" s="14"/>
      <c r="F76" s="34">
        <f>IF(D$12=0,0,D76/D$12)</f>
        <v>0</v>
      </c>
      <c r="G76" s="14"/>
      <c r="H76" s="33">
        <f>+H72-H74</f>
        <v>1005.2899999999963</v>
      </c>
      <c r="I76" s="14"/>
      <c r="J76" s="34">
        <f>IF(H$12=0,0,H76/H$12)</f>
        <v>2.5327461408808299E-2</v>
      </c>
      <c r="K76" s="15"/>
      <c r="L76" s="33">
        <f>D76-H76</f>
        <v>-3292.2799999999966</v>
      </c>
      <c r="M76" s="15"/>
      <c r="N76" s="34">
        <f>IF(H76=0,0,L76/H76)</f>
        <v>-3.2749554854818097</v>
      </c>
      <c r="O76" s="29"/>
      <c r="P76" s="33">
        <f>+P72-P74</f>
        <v>-45648.310000000005</v>
      </c>
      <c r="Q76" s="14"/>
      <c r="R76" s="34">
        <f>IF(P$12=0,0,P76/P$12)</f>
        <v>0</v>
      </c>
      <c r="S76" s="14"/>
      <c r="T76" s="33">
        <f>+T72-T74</f>
        <v>28313.999999999978</v>
      </c>
      <c r="U76" s="14"/>
      <c r="V76" s="34">
        <f>IF(T$12=0,0,T76/T$12)</f>
        <v>8.3875119385185895E-2</v>
      </c>
      <c r="W76" s="15"/>
      <c r="X76" s="33">
        <f>P76-T76</f>
        <v>-73962.309999999983</v>
      </c>
      <c r="Y76" s="15"/>
      <c r="Z76" s="34">
        <f>IF(T76=0,0,X76/T76)</f>
        <v>-2.6122169244896534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5</v>
      </c>
      <c r="C79" s="28"/>
      <c r="D79" s="30">
        <f>SUM(D76:D78)</f>
        <v>-2286.9900000000002</v>
      </c>
      <c r="E79" s="14"/>
      <c r="F79" s="32">
        <f>IF(D$12=0,0,D79/D$12)</f>
        <v>0</v>
      </c>
      <c r="G79" s="14"/>
      <c r="H79" s="30">
        <f>SUM(H76:H78)</f>
        <v>1005.2899999999963</v>
      </c>
      <c r="I79" s="14"/>
      <c r="J79" s="32">
        <f>IF(H$12=0,0,H79/H$12)</f>
        <v>2.5327461408808299E-2</v>
      </c>
      <c r="K79" s="15"/>
      <c r="L79" s="30">
        <f>+D79-H79</f>
        <v>-3292.2799999999966</v>
      </c>
      <c r="M79" s="15"/>
      <c r="N79" s="32">
        <f>IF(H79=0,0,L79/H79)</f>
        <v>-3.2749554854818097</v>
      </c>
      <c r="O79" s="29"/>
      <c r="P79" s="30">
        <f>SUM(P76:P78)</f>
        <v>-45648.310000000005</v>
      </c>
      <c r="Q79" s="14"/>
      <c r="R79" s="32">
        <f>IF(P$12=0,0,P79/P$12)</f>
        <v>0</v>
      </c>
      <c r="S79" s="14"/>
      <c r="T79" s="30">
        <f>SUM(T76:T78)</f>
        <v>28313.999999999978</v>
      </c>
      <c r="U79" s="14"/>
      <c r="V79" s="32">
        <f>IF(T$12=0,0,T79/T$12)</f>
        <v>8.3875119385185895E-2</v>
      </c>
      <c r="W79" s="15"/>
      <c r="X79" s="30">
        <f>+P79-T79</f>
        <v>-73962.309999999983</v>
      </c>
      <c r="Y79" s="15"/>
      <c r="Z79" s="32">
        <f>IF(T79=0,0,X79/T79)</f>
        <v>-2.6122169244896534</v>
      </c>
    </row>
    <row r="80" spans="1:26" ht="15.75" thickTop="1" x14ac:dyDescent="0.25">
      <c r="A80" s="9"/>
      <c r="C80" s="9"/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8">
        <v>44209.521790706021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61" t="s">
        <v>313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57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297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","321", " - ", "Student Union C-Store")</f>
        <v>Department 321 - Student Union C-Store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24039</v>
      </c>
      <c r="I12" s="4"/>
      <c r="J12" s="12"/>
      <c r="K12" s="4"/>
      <c r="L12" s="4">
        <f t="shared" ref="L12:L14" si="0">+D12-H12</f>
        <v>-24039</v>
      </c>
      <c r="M12" s="4"/>
      <c r="N12" s="12">
        <f t="shared" ref="N12:N14" si="1">IF(H12=0,0,L12/H12)</f>
        <v>-1</v>
      </c>
      <c r="O12" s="10"/>
      <c r="P12" s="4">
        <f>SUM(OSRRefP13x_0)</f>
        <v>2476.4700000000003</v>
      </c>
      <c r="Q12" s="4"/>
      <c r="R12" s="12"/>
      <c r="S12" s="4"/>
      <c r="T12" s="4">
        <f>SUM(OSRRefT13x_0)</f>
        <v>192173.68</v>
      </c>
      <c r="U12" s="4"/>
      <c r="V12" s="12"/>
      <c r="W12" s="4"/>
      <c r="X12" s="4">
        <f t="shared" ref="X12:X14" si="2">+P12-T12</f>
        <v>-189697.21</v>
      </c>
      <c r="Y12" s="4"/>
      <c r="Z12" s="12">
        <f t="shared" ref="Z12:Z14" si="3">IF(T12=0,0,X12/T12)</f>
        <v>-0.9871133757754964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--7071.5</f>
        <v>7071.5</v>
      </c>
      <c r="I13" s="2"/>
      <c r="J13" s="19"/>
      <c r="K13" s="2"/>
      <c r="L13" s="2">
        <f t="shared" si="0"/>
        <v>-7071.5</v>
      </c>
      <c r="M13" s="2"/>
      <c r="N13" s="19">
        <f t="shared" si="1"/>
        <v>-1</v>
      </c>
      <c r="O13" s="11"/>
      <c r="P13" s="2">
        <f>--444.59</f>
        <v>444.59</v>
      </c>
      <c r="Q13" s="2"/>
      <c r="R13" s="19"/>
      <c r="S13" s="2"/>
      <c r="T13" s="2">
        <f>--44821.81</f>
        <v>44821.81</v>
      </c>
      <c r="U13" s="2"/>
      <c r="V13" s="19"/>
      <c r="W13" s="2"/>
      <c r="X13" s="2">
        <f t="shared" si="2"/>
        <v>-44377.22</v>
      </c>
      <c r="Y13" s="2"/>
      <c r="Z13" s="19">
        <f t="shared" si="3"/>
        <v>-0.99008094496853216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--16967.5</f>
        <v>16967.5</v>
      </c>
      <c r="I14" s="2"/>
      <c r="J14" s="19"/>
      <c r="K14" s="2"/>
      <c r="L14" s="2">
        <f t="shared" si="0"/>
        <v>-16967.5</v>
      </c>
      <c r="M14" s="2"/>
      <c r="N14" s="19">
        <f t="shared" si="1"/>
        <v>-1</v>
      </c>
      <c r="O14" s="11"/>
      <c r="P14" s="2">
        <f>--2031.88</f>
        <v>2031.88</v>
      </c>
      <c r="Q14" s="2"/>
      <c r="R14" s="19"/>
      <c r="S14" s="2"/>
      <c r="T14" s="2">
        <f>--147351.87</f>
        <v>147351.87</v>
      </c>
      <c r="U14" s="2"/>
      <c r="V14" s="19"/>
      <c r="W14" s="2"/>
      <c r="X14" s="2">
        <f t="shared" si="2"/>
        <v>-145319.99</v>
      </c>
      <c r="Y14" s="2"/>
      <c r="Z14" s="19">
        <f t="shared" si="3"/>
        <v>-0.98621069417035556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497</v>
      </c>
      <c r="E16" s="4"/>
      <c r="F16" s="12">
        <f t="shared" ref="F16:F18" si="5">IF(D$12=0,0,D16/D$12)</f>
        <v>0</v>
      </c>
      <c r="G16" s="4"/>
      <c r="H16" s="4">
        <f>SUM(OSRRefH16x_0)</f>
        <v>10803.91</v>
      </c>
      <c r="I16" s="4"/>
      <c r="J16" s="12">
        <f t="shared" ref="J16:J18" si="6">IF(H$12=0,0,H16/H$12)</f>
        <v>0.4494325887100129</v>
      </c>
      <c r="K16" s="4"/>
      <c r="L16" s="4">
        <f t="shared" ref="L16:L18" si="7">+D16-H16</f>
        <v>-10306.91</v>
      </c>
      <c r="M16" s="4"/>
      <c r="N16" s="12">
        <f t="shared" ref="N16:N18" si="8">IF(H16=0,0,L16/H16)</f>
        <v>-0.95399813586007287</v>
      </c>
      <c r="O16" s="10"/>
      <c r="P16" s="4">
        <f>SUM(OSRRefP16x_0)</f>
        <v>258.48</v>
      </c>
      <c r="Q16" s="4"/>
      <c r="R16" s="12">
        <f t="shared" ref="R16:R18" si="9">IF(P$12=0,0,P16/P$12)</f>
        <v>0.10437437158536142</v>
      </c>
      <c r="S16" s="4"/>
      <c r="T16" s="4">
        <f>SUM(OSRRefT16x_0)</f>
        <v>92186.17</v>
      </c>
      <c r="U16" s="4"/>
      <c r="V16" s="12">
        <f t="shared" ref="V16:V18" si="10">IF(T$12=0,0,T16/T$12)</f>
        <v>0.47970237131328286</v>
      </c>
      <c r="W16" s="4"/>
      <c r="X16" s="4">
        <f t="shared" ref="X16:X18" si="11">+P16-T16</f>
        <v>-91927.69</v>
      </c>
      <c r="Y16" s="4"/>
      <c r="Z16" s="12">
        <f t="shared" ref="Z16:Z18" si="12">IF(T16=0,0,X16/T16)</f>
        <v>-0.99719610870046993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497</v>
      </c>
      <c r="E17" s="2"/>
      <c r="F17" s="19">
        <f t="shared" si="5"/>
        <v>0</v>
      </c>
      <c r="G17" s="2"/>
      <c r="H17" s="2">
        <v>7259.64</v>
      </c>
      <c r="I17" s="2"/>
      <c r="J17" s="19">
        <f t="shared" si="6"/>
        <v>0.30199425932859103</v>
      </c>
      <c r="K17" s="2"/>
      <c r="L17" s="2">
        <f t="shared" si="7"/>
        <v>-6762.64</v>
      </c>
      <c r="M17" s="2"/>
      <c r="N17" s="19">
        <f t="shared" si="8"/>
        <v>-0.93153930497931026</v>
      </c>
      <c r="O17" s="11"/>
      <c r="P17" s="2">
        <v>258.48</v>
      </c>
      <c r="Q17" s="2"/>
      <c r="R17" s="19">
        <f t="shared" si="9"/>
        <v>0.10437437158536142</v>
      </c>
      <c r="S17" s="2"/>
      <c r="T17" s="2">
        <v>86589.34</v>
      </c>
      <c r="U17" s="2"/>
      <c r="V17" s="19">
        <f t="shared" si="10"/>
        <v>0.45057855997762025</v>
      </c>
      <c r="W17" s="2"/>
      <c r="X17" s="2">
        <f t="shared" si="11"/>
        <v>-86330.86</v>
      </c>
      <c r="Y17" s="2"/>
      <c r="Z17" s="19">
        <f t="shared" si="12"/>
        <v>-0.99701487504120023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3544.27</v>
      </c>
      <c r="I18" s="2"/>
      <c r="J18" s="19">
        <f t="shared" si="6"/>
        <v>0.14743832938142185</v>
      </c>
      <c r="K18" s="2"/>
      <c r="L18" s="2">
        <f t="shared" si="7"/>
        <v>-3544.27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5596.83</v>
      </c>
      <c r="U18" s="2"/>
      <c r="V18" s="19">
        <f t="shared" si="10"/>
        <v>2.9123811335662615E-2</v>
      </c>
      <c r="W18" s="2"/>
      <c r="X18" s="2">
        <f t="shared" si="11"/>
        <v>-5596.83</v>
      </c>
      <c r="Y18" s="2"/>
      <c r="Z18" s="19">
        <f t="shared" si="12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-497</v>
      </c>
      <c r="E20" s="14"/>
      <c r="F20" s="21">
        <f>IF(D$12=0,0,D20/D$12)</f>
        <v>0</v>
      </c>
      <c r="G20" s="14"/>
      <c r="H20" s="20">
        <f>H12-H16</f>
        <v>13235.09</v>
      </c>
      <c r="I20" s="14"/>
      <c r="J20" s="21">
        <f>IF(H$12=0,0,H20/H$12)</f>
        <v>0.5505674112899871</v>
      </c>
      <c r="K20" s="15"/>
      <c r="L20" s="20">
        <f>+D20-H20</f>
        <v>-13732.09</v>
      </c>
      <c r="M20" s="15"/>
      <c r="N20" s="21">
        <f>IF(H20=0,0,L20/H20)</f>
        <v>-1.0375516902416229</v>
      </c>
      <c r="O20" s="29"/>
      <c r="P20" s="20">
        <f>P12-P16</f>
        <v>2217.9900000000002</v>
      </c>
      <c r="Q20" s="14"/>
      <c r="R20" s="21">
        <f>IF(P$12=0,0,P20/P$12)</f>
        <v>0.89562562841463855</v>
      </c>
      <c r="S20" s="14"/>
      <c r="T20" s="20">
        <f>T12-T16</f>
        <v>99987.51</v>
      </c>
      <c r="U20" s="14"/>
      <c r="V20" s="21">
        <f>IF(T$12=0,0,T20/T$12)</f>
        <v>0.52029762868671714</v>
      </c>
      <c r="W20" s="15"/>
      <c r="X20" s="20">
        <f>+P20-T20</f>
        <v>-97769.51999999999</v>
      </c>
      <c r="Y20" s="15"/>
      <c r="Z20" s="21">
        <f>IF(T20=0,0,X20/T20)</f>
        <v>-0.9778173293844401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3005.98</v>
      </c>
      <c r="E22" s="22"/>
      <c r="F22" s="36">
        <f t="shared" ref="F22:F31" si="13">IF(D$12=0,0,D22/D$12)</f>
        <v>0</v>
      </c>
      <c r="G22" s="22"/>
      <c r="H22" s="22">
        <f>SUM(OSRRefH22x_0)</f>
        <v>15941.58</v>
      </c>
      <c r="I22" s="22"/>
      <c r="J22" s="36">
        <f t="shared" ref="J22:J31" si="14">IF(H$12=0,0,H22/H$12)</f>
        <v>0.66315487333083734</v>
      </c>
      <c r="K22" s="4"/>
      <c r="L22" s="22">
        <f t="shared" ref="L22:L31" si="15">+D22-H22</f>
        <v>-12935.6</v>
      </c>
      <c r="M22" s="4"/>
      <c r="N22" s="36">
        <f t="shared" ref="N22:N31" si="16">IF(H22=0,0,L22/H22)</f>
        <v>-0.81143776212897345</v>
      </c>
      <c r="O22" s="10"/>
      <c r="P22" s="22">
        <f>SUM(OSRRefP22x_0)</f>
        <v>35177.789999999986</v>
      </c>
      <c r="Q22" s="22"/>
      <c r="R22" s="36">
        <f t="shared" ref="R22:R31" si="17">IF(P$12=0,0,P22/P$12)</f>
        <v>14.204811687603719</v>
      </c>
      <c r="S22" s="22"/>
      <c r="T22" s="22">
        <f>SUM(OSRRefT22x_0)</f>
        <v>80824.719999999987</v>
      </c>
      <c r="U22" s="22"/>
      <c r="V22" s="36">
        <f t="shared" ref="V22:V31" si="18">IF(T$12=0,0,T22/T$12)</f>
        <v>0.42058163219854033</v>
      </c>
      <c r="W22" s="4"/>
      <c r="X22" s="22">
        <f t="shared" ref="X22:X31" si="19">+P22-T22</f>
        <v>-45646.93</v>
      </c>
      <c r="Y22" s="4"/>
      <c r="Z22" s="36">
        <f t="shared" ref="Z22:Z31" si="20">IF(T22=0,0,X22/T22)</f>
        <v>-0.564764468098374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650.5</v>
      </c>
      <c r="E23" s="1"/>
      <c r="F23" s="5">
        <f t="shared" si="13"/>
        <v>0</v>
      </c>
      <c r="G23" s="1"/>
      <c r="H23" s="1">
        <f>SUM(OSRRefH22_0x_0)</f>
        <v>347.80999999999995</v>
      </c>
      <c r="I23" s="1"/>
      <c r="J23" s="5">
        <f t="shared" si="14"/>
        <v>1.4468571903989348E-2</v>
      </c>
      <c r="K23" s="1"/>
      <c r="L23" s="1">
        <f t="shared" si="15"/>
        <v>302.69000000000005</v>
      </c>
      <c r="M23" s="1"/>
      <c r="N23" s="5">
        <f t="shared" si="16"/>
        <v>0.87027400017250822</v>
      </c>
      <c r="O23" s="13"/>
      <c r="P23" s="1">
        <f>SUM(OSRRefP22_0x_0)</f>
        <v>8751.99</v>
      </c>
      <c r="Q23" s="1"/>
      <c r="R23" s="5">
        <f t="shared" si="17"/>
        <v>3.5340585591588023</v>
      </c>
      <c r="S23" s="1"/>
      <c r="T23" s="1">
        <f>SUM(OSRRefT22_0x_0)</f>
        <v>9241.73</v>
      </c>
      <c r="U23" s="1"/>
      <c r="V23" s="5">
        <f t="shared" si="18"/>
        <v>4.8090508544146107E-2</v>
      </c>
      <c r="W23" s="1"/>
      <c r="X23" s="1">
        <f t="shared" si="19"/>
        <v>-489.73999999999978</v>
      </c>
      <c r="Y23" s="1"/>
      <c r="Z23" s="5">
        <f t="shared" si="20"/>
        <v>-5.2992242794368566E-2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3"/>
        <v>0</v>
      </c>
      <c r="G24" s="2"/>
      <c r="H24" s="7">
        <v>199.77</v>
      </c>
      <c r="I24" s="2"/>
      <c r="J24" s="6">
        <f t="shared" si="14"/>
        <v>8.3102458504929495E-3</v>
      </c>
      <c r="K24" s="2"/>
      <c r="L24" s="7">
        <f t="shared" si="15"/>
        <v>-199.77</v>
      </c>
      <c r="M24" s="2"/>
      <c r="N24" s="6">
        <f t="shared" si="16"/>
        <v>-1</v>
      </c>
      <c r="O24" s="11"/>
      <c r="P24" s="7">
        <v>1667.09</v>
      </c>
      <c r="Q24" s="2"/>
      <c r="R24" s="6">
        <f t="shared" si="17"/>
        <v>0.67317189386505782</v>
      </c>
      <c r="S24" s="2"/>
      <c r="T24" s="7">
        <v>1680.98</v>
      </c>
      <c r="U24" s="2"/>
      <c r="V24" s="6">
        <f t="shared" si="18"/>
        <v>8.7471916029291837E-3</v>
      </c>
      <c r="W24" s="2"/>
      <c r="X24" s="7">
        <f t="shared" si="19"/>
        <v>-13.8900000000001</v>
      </c>
      <c r="Y24" s="2"/>
      <c r="Z24" s="6">
        <f t="shared" si="20"/>
        <v>-8.2630370379184158E-3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3"/>
        <v>0</v>
      </c>
      <c r="G25" s="2"/>
      <c r="H25" s="7">
        <v>132.51</v>
      </c>
      <c r="I25" s="2"/>
      <c r="J25" s="6">
        <f t="shared" si="14"/>
        <v>5.5122925246474472E-3</v>
      </c>
      <c r="K25" s="2"/>
      <c r="L25" s="7">
        <f t="shared" si="15"/>
        <v>-132.51</v>
      </c>
      <c r="M25" s="2"/>
      <c r="N25" s="6">
        <f t="shared" si="16"/>
        <v>-1</v>
      </c>
      <c r="O25" s="11"/>
      <c r="P25" s="7">
        <v>331.61</v>
      </c>
      <c r="Q25" s="2"/>
      <c r="R25" s="6">
        <f t="shared" si="17"/>
        <v>0.13390430734069056</v>
      </c>
      <c r="S25" s="2"/>
      <c r="T25" s="7">
        <v>624.98</v>
      </c>
      <c r="U25" s="2"/>
      <c r="V25" s="6">
        <f t="shared" si="18"/>
        <v>3.2521623148393684E-3</v>
      </c>
      <c r="W25" s="2"/>
      <c r="X25" s="7">
        <f t="shared" si="19"/>
        <v>-293.37</v>
      </c>
      <c r="Y25" s="2"/>
      <c r="Z25" s="6">
        <f t="shared" si="20"/>
        <v>-0.4694070210246728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7">
        <v>650.5</v>
      </c>
      <c r="E26" s="2"/>
      <c r="F26" s="6">
        <f t="shared" si="13"/>
        <v>0</v>
      </c>
      <c r="G26" s="2"/>
      <c r="H26" s="7"/>
      <c r="I26" s="2"/>
      <c r="J26" s="6">
        <f t="shared" si="14"/>
        <v>0</v>
      </c>
      <c r="K26" s="2"/>
      <c r="L26" s="7">
        <f t="shared" si="15"/>
        <v>650.5</v>
      </c>
      <c r="M26" s="2"/>
      <c r="N26" s="6">
        <f t="shared" si="16"/>
        <v>0</v>
      </c>
      <c r="O26" s="11"/>
      <c r="P26" s="7">
        <v>3385.22</v>
      </c>
      <c r="Q26" s="2"/>
      <c r="R26" s="6">
        <f t="shared" si="17"/>
        <v>1.366953768872629</v>
      </c>
      <c r="S26" s="2"/>
      <c r="T26" s="7">
        <v>4676.5</v>
      </c>
      <c r="U26" s="2"/>
      <c r="V26" s="6">
        <f t="shared" si="18"/>
        <v>2.4334758016810627E-2</v>
      </c>
      <c r="W26" s="2"/>
      <c r="X26" s="7">
        <f t="shared" si="19"/>
        <v>-1291.2800000000002</v>
      </c>
      <c r="Y26" s="2"/>
      <c r="Z26" s="6">
        <f t="shared" si="20"/>
        <v>-0.27612103068534166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3"/>
        <v>0</v>
      </c>
      <c r="G27" s="2"/>
      <c r="H27" s="7">
        <v>15.53</v>
      </c>
      <c r="I27" s="2"/>
      <c r="J27" s="6">
        <f t="shared" si="14"/>
        <v>6.4603352884895374E-4</v>
      </c>
      <c r="K27" s="2"/>
      <c r="L27" s="7">
        <f t="shared" si="15"/>
        <v>-15.53</v>
      </c>
      <c r="M27" s="2"/>
      <c r="N27" s="6">
        <f t="shared" si="16"/>
        <v>-1</v>
      </c>
      <c r="O27" s="11"/>
      <c r="P27" s="7">
        <v>62.01</v>
      </c>
      <c r="Q27" s="2"/>
      <c r="R27" s="6">
        <f t="shared" si="17"/>
        <v>2.5039673406098192E-2</v>
      </c>
      <c r="S27" s="2"/>
      <c r="T27" s="7">
        <v>91.4</v>
      </c>
      <c r="U27" s="2"/>
      <c r="V27" s="6">
        <f t="shared" si="18"/>
        <v>4.7561143648807688E-4</v>
      </c>
      <c r="W27" s="2"/>
      <c r="X27" s="7">
        <f t="shared" si="19"/>
        <v>-29.390000000000008</v>
      </c>
      <c r="Y27" s="2"/>
      <c r="Z27" s="6">
        <f t="shared" si="20"/>
        <v>-0.32155361050328235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3"/>
        <v>0</v>
      </c>
      <c r="G28" s="2"/>
      <c r="H28" s="7"/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>
        <v>1254.1099999999999</v>
      </c>
      <c r="Q28" s="2"/>
      <c r="R28" s="6">
        <f t="shared" si="17"/>
        <v>0.50641033406421232</v>
      </c>
      <c r="S28" s="2"/>
      <c r="T28" s="7">
        <v>670.55</v>
      </c>
      <c r="U28" s="2"/>
      <c r="V28" s="6">
        <f t="shared" si="18"/>
        <v>3.4892915616748349E-3</v>
      </c>
      <c r="W28" s="2"/>
      <c r="X28" s="7">
        <f t="shared" si="19"/>
        <v>583.55999999999995</v>
      </c>
      <c r="Y28" s="2"/>
      <c r="Z28" s="6">
        <f t="shared" si="20"/>
        <v>0.87027067332786512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3"/>
        <v>0</v>
      </c>
      <c r="G29" s="2"/>
      <c r="H29" s="7"/>
      <c r="I29" s="2"/>
      <c r="J29" s="6">
        <f t="shared" si="14"/>
        <v>0</v>
      </c>
      <c r="K29" s="2"/>
      <c r="L29" s="7">
        <f t="shared" si="15"/>
        <v>0</v>
      </c>
      <c r="M29" s="2"/>
      <c r="N29" s="6">
        <f t="shared" si="16"/>
        <v>0</v>
      </c>
      <c r="O29" s="11"/>
      <c r="P29" s="7">
        <v>958.88</v>
      </c>
      <c r="Q29" s="2"/>
      <c r="R29" s="6">
        <f t="shared" si="17"/>
        <v>0.38719629149555612</v>
      </c>
      <c r="S29" s="2"/>
      <c r="T29" s="7">
        <v>1098.8</v>
      </c>
      <c r="U29" s="2"/>
      <c r="V29" s="6">
        <f t="shared" si="18"/>
        <v>5.717744490296486E-3</v>
      </c>
      <c r="W29" s="2"/>
      <c r="X29" s="7">
        <f t="shared" si="19"/>
        <v>-139.91999999999996</v>
      </c>
      <c r="Y29" s="2"/>
      <c r="Z29" s="6">
        <f t="shared" si="20"/>
        <v>-0.12733891518019655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3"/>
        <v>0</v>
      </c>
      <c r="G30" s="2"/>
      <c r="H30" s="7"/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>
        <v>767.52</v>
      </c>
      <c r="Q30" s="2"/>
      <c r="R30" s="6">
        <f t="shared" si="17"/>
        <v>0.30992501423397006</v>
      </c>
      <c r="S30" s="2"/>
      <c r="T30" s="7">
        <v>398.52</v>
      </c>
      <c r="U30" s="2"/>
      <c r="V30" s="6">
        <f t="shared" si="18"/>
        <v>2.0737491211075313E-3</v>
      </c>
      <c r="W30" s="2"/>
      <c r="X30" s="7">
        <f t="shared" si="19"/>
        <v>369</v>
      </c>
      <c r="Y30" s="2"/>
      <c r="Z30" s="6">
        <f t="shared" si="20"/>
        <v>0.92592592592592593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3"/>
        <v>0</v>
      </c>
      <c r="G31" s="2"/>
      <c r="H31" s="7"/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>
        <v>325.55</v>
      </c>
      <c r="Q31" s="2"/>
      <c r="R31" s="6">
        <f t="shared" si="17"/>
        <v>0.13145727588058809</v>
      </c>
      <c r="S31" s="2"/>
      <c r="T31" s="7"/>
      <c r="U31" s="2"/>
      <c r="V31" s="6">
        <f t="shared" si="18"/>
        <v>0</v>
      </c>
      <c r="W31" s="2"/>
      <c r="X31" s="7">
        <f t="shared" si="19"/>
        <v>325.55</v>
      </c>
      <c r="Y31" s="2"/>
      <c r="Z31" s="6">
        <f t="shared" si="20"/>
        <v>0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1">IF(D$12=0,0,D32/D$12)</f>
        <v>0</v>
      </c>
      <c r="G32" s="1"/>
      <c r="H32" s="1">
        <f>SUM(OSRRefH22_1x_0)</f>
        <v>3180.5699999999997</v>
      </c>
      <c r="I32" s="1"/>
      <c r="J32" s="5">
        <f t="shared" ref="J32:J37" si="22">IF(H$12=0,0,H32/H$12)</f>
        <v>0.13230874828403844</v>
      </c>
      <c r="K32" s="1"/>
      <c r="L32" s="1">
        <f t="shared" ref="L32:L37" si="23">+D32-H32</f>
        <v>-3180.5699999999997</v>
      </c>
      <c r="M32" s="1"/>
      <c r="N32" s="5">
        <f t="shared" ref="N32:N37" si="24">IF(H32=0,0,L32/H32)</f>
        <v>-1</v>
      </c>
      <c r="O32" s="13"/>
      <c r="P32" s="1">
        <f>SUM(OSRRefP22_1x_0)</f>
        <v>15859.96</v>
      </c>
      <c r="Q32" s="1"/>
      <c r="R32" s="5">
        <f t="shared" ref="R32:R37" si="25">IF(P$12=0,0,P32/P$12)</f>
        <v>6.404260903624917</v>
      </c>
      <c r="S32" s="1"/>
      <c r="T32" s="1">
        <f>SUM(OSRRefT22_1x_0)</f>
        <v>34820.479999999996</v>
      </c>
      <c r="U32" s="1"/>
      <c r="V32" s="5">
        <f t="shared" ref="V32:V37" si="26">IF(T$12=0,0,T32/T$12)</f>
        <v>0.18119276271339549</v>
      </c>
      <c r="W32" s="1"/>
      <c r="X32" s="1">
        <f t="shared" ref="X32:X37" si="27">+P32-T32</f>
        <v>-18960.519999999997</v>
      </c>
      <c r="Y32" s="1"/>
      <c r="Z32" s="5">
        <f t="shared" ref="Z32:Z37" si="28">IF(T32=0,0,X32/T32)</f>
        <v>-0.54452207436543087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1"/>
        <v>0</v>
      </c>
      <c r="G33" s="2"/>
      <c r="H33" s="7"/>
      <c r="I33" s="2"/>
      <c r="J33" s="6">
        <f t="shared" si="22"/>
        <v>0</v>
      </c>
      <c r="K33" s="2"/>
      <c r="L33" s="7">
        <f t="shared" si="23"/>
        <v>0</v>
      </c>
      <c r="M33" s="2"/>
      <c r="N33" s="6">
        <f t="shared" si="24"/>
        <v>0</v>
      </c>
      <c r="O33" s="11"/>
      <c r="P33" s="7">
        <v>13728</v>
      </c>
      <c r="Q33" s="2"/>
      <c r="R33" s="6">
        <f t="shared" si="25"/>
        <v>5.5433742383311726</v>
      </c>
      <c r="S33" s="2"/>
      <c r="T33" s="7">
        <v>10272</v>
      </c>
      <c r="U33" s="2"/>
      <c r="V33" s="6">
        <f t="shared" si="26"/>
        <v>5.3451648529600937E-2</v>
      </c>
      <c r="W33" s="2"/>
      <c r="X33" s="7">
        <f t="shared" si="27"/>
        <v>3456</v>
      </c>
      <c r="Y33" s="2"/>
      <c r="Z33" s="6">
        <f t="shared" si="28"/>
        <v>0.3364485981308411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1"/>
        <v>0</v>
      </c>
      <c r="G34" s="2"/>
      <c r="H34" s="7"/>
      <c r="I34" s="2"/>
      <c r="J34" s="6">
        <f t="shared" si="22"/>
        <v>0</v>
      </c>
      <c r="K34" s="2"/>
      <c r="L34" s="7">
        <f t="shared" si="23"/>
        <v>0</v>
      </c>
      <c r="M34" s="2"/>
      <c r="N34" s="6">
        <f t="shared" si="24"/>
        <v>0</v>
      </c>
      <c r="O34" s="11"/>
      <c r="P34" s="7">
        <v>2131.96</v>
      </c>
      <c r="Q34" s="2"/>
      <c r="R34" s="6">
        <f t="shared" si="25"/>
        <v>0.86088666529374469</v>
      </c>
      <c r="S34" s="2"/>
      <c r="T34" s="7">
        <v>1708.78</v>
      </c>
      <c r="U34" s="2"/>
      <c r="V34" s="6">
        <f t="shared" si="26"/>
        <v>8.891852411839124E-3</v>
      </c>
      <c r="W34" s="2"/>
      <c r="X34" s="7">
        <f t="shared" si="27"/>
        <v>423.18000000000006</v>
      </c>
      <c r="Y34" s="2"/>
      <c r="Z34" s="6">
        <f t="shared" si="28"/>
        <v>0.24765037043972898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1"/>
        <v>0</v>
      </c>
      <c r="G35" s="2"/>
      <c r="H35" s="7">
        <v>1007.26</v>
      </c>
      <c r="I35" s="2"/>
      <c r="J35" s="6">
        <f t="shared" si="22"/>
        <v>4.1901077415865885E-2</v>
      </c>
      <c r="K35" s="2"/>
      <c r="L35" s="7">
        <f t="shared" si="23"/>
        <v>-1007.26</v>
      </c>
      <c r="M35" s="2"/>
      <c r="N35" s="6">
        <f t="shared" si="24"/>
        <v>-1</v>
      </c>
      <c r="O35" s="11"/>
      <c r="P35" s="7"/>
      <c r="Q35" s="2"/>
      <c r="R35" s="6">
        <f t="shared" si="25"/>
        <v>0</v>
      </c>
      <c r="S35" s="2"/>
      <c r="T35" s="7">
        <v>6701.74</v>
      </c>
      <c r="U35" s="2"/>
      <c r="V35" s="6">
        <f t="shared" si="26"/>
        <v>3.4873349982161968E-2</v>
      </c>
      <c r="W35" s="2"/>
      <c r="X35" s="7">
        <f t="shared" si="27"/>
        <v>-6701.74</v>
      </c>
      <c r="Y35" s="2"/>
      <c r="Z35" s="6">
        <f t="shared" si="28"/>
        <v>-1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1"/>
        <v>0</v>
      </c>
      <c r="G36" s="2"/>
      <c r="H36" s="7">
        <v>1807.31</v>
      </c>
      <c r="I36" s="2"/>
      <c r="J36" s="6">
        <f t="shared" si="22"/>
        <v>7.5182411913973124E-2</v>
      </c>
      <c r="K36" s="2"/>
      <c r="L36" s="7">
        <f t="shared" si="23"/>
        <v>-1807.31</v>
      </c>
      <c r="M36" s="2"/>
      <c r="N36" s="6">
        <f t="shared" si="24"/>
        <v>-1</v>
      </c>
      <c r="O36" s="11"/>
      <c r="P36" s="7">
        <v>0</v>
      </c>
      <c r="Q36" s="2"/>
      <c r="R36" s="6">
        <f t="shared" si="25"/>
        <v>0</v>
      </c>
      <c r="S36" s="2"/>
      <c r="T36" s="7">
        <v>15083.649999999998</v>
      </c>
      <c r="U36" s="2"/>
      <c r="V36" s="6">
        <f t="shared" si="26"/>
        <v>7.848967663001509E-2</v>
      </c>
      <c r="W36" s="2"/>
      <c r="X36" s="7">
        <f t="shared" si="27"/>
        <v>-15083.649999999998</v>
      </c>
      <c r="Y36" s="2"/>
      <c r="Z36" s="6">
        <f t="shared" si="28"/>
        <v>-1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1"/>
        <v>0</v>
      </c>
      <c r="G37" s="2"/>
      <c r="H37" s="7">
        <v>366</v>
      </c>
      <c r="I37" s="2"/>
      <c r="J37" s="6">
        <f t="shared" si="22"/>
        <v>1.5225258954199426E-2</v>
      </c>
      <c r="K37" s="2"/>
      <c r="L37" s="7">
        <f t="shared" si="23"/>
        <v>-366</v>
      </c>
      <c r="M37" s="2"/>
      <c r="N37" s="6">
        <f t="shared" si="24"/>
        <v>-1</v>
      </c>
      <c r="O37" s="11"/>
      <c r="P37" s="7"/>
      <c r="Q37" s="2"/>
      <c r="R37" s="6">
        <f t="shared" si="25"/>
        <v>0</v>
      </c>
      <c r="S37" s="2"/>
      <c r="T37" s="7">
        <v>1054.31</v>
      </c>
      <c r="U37" s="2"/>
      <c r="V37" s="6">
        <f t="shared" si="26"/>
        <v>5.486235159778384E-3</v>
      </c>
      <c r="W37" s="2"/>
      <c r="X37" s="7">
        <f t="shared" si="27"/>
        <v>-1054.31</v>
      </c>
      <c r="Y37" s="2"/>
      <c r="Z37" s="6">
        <f t="shared" si="28"/>
        <v>-1</v>
      </c>
    </row>
    <row r="38" spans="1:26" s="25" customFormat="1" outlineLevel="1" collapsed="1" x14ac:dyDescent="0.25">
      <c r="A38" s="26"/>
      <c r="B38" s="13" t="str">
        <f>CONCATENATE("     ","Bad Debts/Over/Short                              ")</f>
        <v xml:space="preserve">     Bad Debts/Over/Short                              </v>
      </c>
      <c r="C38" s="13"/>
      <c r="D38" s="1">
        <f>SUM(OSRRefD22_2x_0)</f>
        <v>0</v>
      </c>
      <c r="E38" s="1"/>
      <c r="F38" s="5">
        <f t="shared" ref="F38:F49" si="29">IF(D$12=0,0,D38/D$12)</f>
        <v>0</v>
      </c>
      <c r="G38" s="1"/>
      <c r="H38" s="1">
        <f>SUM(OSRRefH22_2x_0)</f>
        <v>-6.41</v>
      </c>
      <c r="I38" s="1"/>
      <c r="J38" s="5">
        <f t="shared" ref="J38:J49" si="30">IF(H$12=0,0,H38/H$12)</f>
        <v>-2.6665002703939433E-4</v>
      </c>
      <c r="K38" s="1"/>
      <c r="L38" s="1">
        <f t="shared" ref="L38:L49" si="31">+D38-H38</f>
        <v>6.41</v>
      </c>
      <c r="M38" s="1"/>
      <c r="N38" s="5">
        <f t="shared" ref="N38:N49" si="32">IF(H38=0,0,L38/H38)</f>
        <v>-1</v>
      </c>
      <c r="O38" s="13"/>
      <c r="P38" s="1">
        <f>SUM(OSRRefP22_2x_0)</f>
        <v>3.31</v>
      </c>
      <c r="Q38" s="1"/>
      <c r="R38" s="5">
        <f t="shared" ref="R38:R49" si="33">IF(P$12=0,0,P38/P$12)</f>
        <v>1.3365798899239642E-3</v>
      </c>
      <c r="S38" s="1"/>
      <c r="T38" s="1">
        <f>SUM(OSRRefT22_2x_0)</f>
        <v>-57.93</v>
      </c>
      <c r="U38" s="1"/>
      <c r="V38" s="5">
        <f t="shared" ref="V38:V49" si="34">IF(T$12=0,0,T38/T$12)</f>
        <v>-3.0144606691197257E-4</v>
      </c>
      <c r="W38" s="1"/>
      <c r="X38" s="1">
        <f t="shared" ref="X38:X49" si="35">+P38-T38</f>
        <v>61.24</v>
      </c>
      <c r="Y38" s="1"/>
      <c r="Z38" s="5">
        <f t="shared" ref="Z38:Z49" si="36">IF(T38=0,0,X38/T38)</f>
        <v>-1.0571379250819954</v>
      </c>
    </row>
    <row r="39" spans="1:26" s="24" customFormat="1" hidden="1" outlineLevel="2" x14ac:dyDescent="0.25">
      <c r="A39" s="27"/>
      <c r="B39" s="11" t="str">
        <f>CONCATENATE("          ", "6272", " - ", "CASH (OVER/SHORT)")</f>
        <v xml:space="preserve">          6272 - CASH (OVER/SHORT)</v>
      </c>
      <c r="C39" s="11"/>
      <c r="D39" s="7"/>
      <c r="E39" s="2"/>
      <c r="F39" s="6">
        <f t="shared" si="29"/>
        <v>0</v>
      </c>
      <c r="G39" s="2"/>
      <c r="H39" s="7">
        <v>-6.41</v>
      </c>
      <c r="I39" s="2"/>
      <c r="J39" s="6">
        <f t="shared" si="30"/>
        <v>-2.6665002703939433E-4</v>
      </c>
      <c r="K39" s="2"/>
      <c r="L39" s="7">
        <f t="shared" si="31"/>
        <v>6.41</v>
      </c>
      <c r="M39" s="2"/>
      <c r="N39" s="6">
        <f t="shared" si="32"/>
        <v>-1</v>
      </c>
      <c r="O39" s="11"/>
      <c r="P39" s="7">
        <v>3.31</v>
      </c>
      <c r="Q39" s="2"/>
      <c r="R39" s="6">
        <f t="shared" si="33"/>
        <v>1.3365798899239642E-3</v>
      </c>
      <c r="S39" s="2"/>
      <c r="T39" s="7">
        <v>-57.93</v>
      </c>
      <c r="U39" s="2"/>
      <c r="V39" s="6">
        <f t="shared" si="34"/>
        <v>-3.0144606691197257E-4</v>
      </c>
      <c r="W39" s="2"/>
      <c r="X39" s="7">
        <f t="shared" si="35"/>
        <v>61.24</v>
      </c>
      <c r="Y39" s="2"/>
      <c r="Z39" s="6">
        <f t="shared" si="36"/>
        <v>-1.0571379250819954</v>
      </c>
    </row>
    <row r="40" spans="1:26" s="25" customFormat="1" outlineLevel="1" collapsed="1" x14ac:dyDescent="0.25">
      <c r="A40" s="26"/>
      <c r="B40" s="13" t="str">
        <f>CONCATENATE("     ","Bank/card Fees                                    ")</f>
        <v xml:space="preserve">     Bank/card Fees                                    </v>
      </c>
      <c r="C40" s="13"/>
      <c r="D40" s="1">
        <f>SUM(OSRRefD22_3x_0)</f>
        <v>274</v>
      </c>
      <c r="E40" s="1"/>
      <c r="F40" s="5">
        <f t="shared" si="29"/>
        <v>0</v>
      </c>
      <c r="G40" s="1"/>
      <c r="H40" s="1">
        <f>SUM(OSRRefH22_3x_0)</f>
        <v>847.16</v>
      </c>
      <c r="I40" s="1"/>
      <c r="J40" s="5">
        <f t="shared" si="30"/>
        <v>3.5241066600108159E-2</v>
      </c>
      <c r="K40" s="1"/>
      <c r="L40" s="1">
        <f t="shared" si="31"/>
        <v>-573.16</v>
      </c>
      <c r="M40" s="1"/>
      <c r="N40" s="5">
        <f t="shared" si="32"/>
        <v>-0.67656641012323526</v>
      </c>
      <c r="O40" s="13"/>
      <c r="P40" s="1">
        <f>SUM(OSRRefP22_3x_0)</f>
        <v>673.33</v>
      </c>
      <c r="Q40" s="1"/>
      <c r="R40" s="5">
        <f t="shared" si="33"/>
        <v>0.27189103845392837</v>
      </c>
      <c r="S40" s="1"/>
      <c r="T40" s="1">
        <f>SUM(OSRRefT22_3x_0)</f>
        <v>6718.11</v>
      </c>
      <c r="U40" s="1"/>
      <c r="V40" s="5">
        <f t="shared" si="34"/>
        <v>3.4958533343379804E-2</v>
      </c>
      <c r="W40" s="1"/>
      <c r="X40" s="1">
        <f t="shared" si="35"/>
        <v>-6044.78</v>
      </c>
      <c r="Y40" s="1"/>
      <c r="Z40" s="5">
        <f t="shared" si="36"/>
        <v>-0.89977389474122926</v>
      </c>
    </row>
    <row r="41" spans="1:26" s="24" customFormat="1" hidden="1" outlineLevel="2" x14ac:dyDescent="0.25">
      <c r="A41" s="27"/>
      <c r="B41" s="11" t="str">
        <f>CONCATENATE("          ", "6381", " - ", "BANK/CREDIT CARD FEES")</f>
        <v xml:space="preserve">          6381 - BANK/CREDIT CARD FEES</v>
      </c>
      <c r="C41" s="11"/>
      <c r="D41" s="7">
        <v>274</v>
      </c>
      <c r="E41" s="2"/>
      <c r="F41" s="6">
        <f t="shared" si="29"/>
        <v>0</v>
      </c>
      <c r="G41" s="2"/>
      <c r="H41" s="7">
        <v>847.16</v>
      </c>
      <c r="I41" s="2"/>
      <c r="J41" s="6">
        <f t="shared" si="30"/>
        <v>3.5241066600108159E-2</v>
      </c>
      <c r="K41" s="2"/>
      <c r="L41" s="7">
        <f t="shared" si="31"/>
        <v>-573.16</v>
      </c>
      <c r="M41" s="2"/>
      <c r="N41" s="6">
        <f t="shared" si="32"/>
        <v>-0.67656641012323526</v>
      </c>
      <c r="O41" s="11"/>
      <c r="P41" s="7">
        <v>673.33</v>
      </c>
      <c r="Q41" s="2"/>
      <c r="R41" s="6">
        <f t="shared" si="33"/>
        <v>0.27189103845392837</v>
      </c>
      <c r="S41" s="2"/>
      <c r="T41" s="7">
        <v>6718.11</v>
      </c>
      <c r="U41" s="2"/>
      <c r="V41" s="6">
        <f t="shared" si="34"/>
        <v>3.4958533343379804E-2</v>
      </c>
      <c r="W41" s="2"/>
      <c r="X41" s="7">
        <f t="shared" si="35"/>
        <v>-6044.78</v>
      </c>
      <c r="Y41" s="2"/>
      <c r="Z41" s="6">
        <f t="shared" si="36"/>
        <v>-0.89977389474122926</v>
      </c>
    </row>
    <row r="42" spans="1:26" s="25" customFormat="1" outlineLevel="1" collapsed="1" x14ac:dyDescent="0.25">
      <c r="A42" s="26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SUM(OSRRefD22_4x_0)</f>
        <v>1075.3699999999999</v>
      </c>
      <c r="E42" s="1"/>
      <c r="F42" s="5">
        <f t="shared" si="29"/>
        <v>0</v>
      </c>
      <c r="G42" s="1"/>
      <c r="H42" s="1">
        <f>SUM(OSRRefH22_4x_0)</f>
        <v>968.86</v>
      </c>
      <c r="I42" s="1"/>
      <c r="J42" s="5">
        <f t="shared" si="30"/>
        <v>4.0303673197720373E-2</v>
      </c>
      <c r="K42" s="1"/>
      <c r="L42" s="1">
        <f t="shared" si="31"/>
        <v>106.50999999999988</v>
      </c>
      <c r="M42" s="1"/>
      <c r="N42" s="5">
        <f t="shared" si="32"/>
        <v>0.10993332370001845</v>
      </c>
      <c r="O42" s="13"/>
      <c r="P42" s="1">
        <f>SUM(OSRRefP22_4x_0)</f>
        <v>6452.22</v>
      </c>
      <c r="Q42" s="1"/>
      <c r="R42" s="5">
        <f t="shared" si="33"/>
        <v>2.6054101200499096</v>
      </c>
      <c r="S42" s="1"/>
      <c r="T42" s="1">
        <f>SUM(OSRRefT22_4x_0)</f>
        <v>5813.16</v>
      </c>
      <c r="U42" s="1"/>
      <c r="V42" s="5">
        <f t="shared" si="34"/>
        <v>3.024951179578806E-2</v>
      </c>
      <c r="W42" s="1"/>
      <c r="X42" s="1">
        <f t="shared" si="35"/>
        <v>639.0600000000004</v>
      </c>
      <c r="Y42" s="1"/>
      <c r="Z42" s="5">
        <f t="shared" si="36"/>
        <v>0.10993332370001865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1075.3699999999999</v>
      </c>
      <c r="E43" s="2"/>
      <c r="F43" s="6">
        <f t="shared" si="29"/>
        <v>0</v>
      </c>
      <c r="G43" s="2"/>
      <c r="H43" s="7">
        <v>968.86</v>
      </c>
      <c r="I43" s="2"/>
      <c r="J43" s="6">
        <f t="shared" si="30"/>
        <v>4.0303673197720373E-2</v>
      </c>
      <c r="K43" s="2"/>
      <c r="L43" s="7">
        <f t="shared" si="31"/>
        <v>106.50999999999988</v>
      </c>
      <c r="M43" s="2"/>
      <c r="N43" s="6">
        <f t="shared" si="32"/>
        <v>0.10993332370001845</v>
      </c>
      <c r="O43" s="11"/>
      <c r="P43" s="7">
        <v>6452.22</v>
      </c>
      <c r="Q43" s="2"/>
      <c r="R43" s="6">
        <f t="shared" si="33"/>
        <v>2.6054101200499096</v>
      </c>
      <c r="S43" s="2"/>
      <c r="T43" s="7">
        <v>5813.16</v>
      </c>
      <c r="U43" s="2"/>
      <c r="V43" s="6">
        <f t="shared" si="34"/>
        <v>3.024951179578806E-2</v>
      </c>
      <c r="W43" s="2"/>
      <c r="X43" s="7">
        <f t="shared" si="35"/>
        <v>639.0600000000004</v>
      </c>
      <c r="Y43" s="2"/>
      <c r="Z43" s="6">
        <f t="shared" si="36"/>
        <v>0.10993332370001865</v>
      </c>
    </row>
    <row r="44" spans="1:26" s="25" customFormat="1" outlineLevel="1" collapsed="1" x14ac:dyDescent="0.25">
      <c r="A44" s="26"/>
      <c r="B44" s="13" t="str">
        <f>CONCATENATE("     ","General                                           ")</f>
        <v xml:space="preserve">     General                                           </v>
      </c>
      <c r="C44" s="13"/>
      <c r="D44" s="1">
        <f>SUM(OSRRefD22_5x_0)</f>
        <v>806.38</v>
      </c>
      <c r="E44" s="1"/>
      <c r="F44" s="5">
        <f t="shared" si="29"/>
        <v>0</v>
      </c>
      <c r="G44" s="1"/>
      <c r="H44" s="1">
        <f>SUM(OSRRefH22_5x_0)</f>
        <v>160</v>
      </c>
      <c r="I44" s="1"/>
      <c r="J44" s="5">
        <f t="shared" si="30"/>
        <v>6.6558509089396402E-3</v>
      </c>
      <c r="K44" s="1"/>
      <c r="L44" s="1">
        <f t="shared" si="31"/>
        <v>646.38</v>
      </c>
      <c r="M44" s="1"/>
      <c r="N44" s="5">
        <f t="shared" si="32"/>
        <v>4.0398750000000003</v>
      </c>
      <c r="O44" s="13"/>
      <c r="P44" s="1">
        <f>SUM(OSRRefP22_5x_0)</f>
        <v>1560.93</v>
      </c>
      <c r="Q44" s="1"/>
      <c r="R44" s="5">
        <f t="shared" si="33"/>
        <v>0.63030442525045727</v>
      </c>
      <c r="S44" s="1"/>
      <c r="T44" s="1">
        <f>SUM(OSRRefT22_5x_0)</f>
        <v>1191.19</v>
      </c>
      <c r="U44" s="1"/>
      <c r="V44" s="5">
        <f t="shared" si="34"/>
        <v>6.1985075167421471E-3</v>
      </c>
      <c r="W44" s="1"/>
      <c r="X44" s="1">
        <f t="shared" si="35"/>
        <v>369.74</v>
      </c>
      <c r="Y44" s="1"/>
      <c r="Z44" s="5">
        <f t="shared" si="36"/>
        <v>0.3103954868660751</v>
      </c>
    </row>
    <row r="45" spans="1:26" s="24" customFormat="1" hidden="1" outlineLevel="2" x14ac:dyDescent="0.25">
      <c r="A45" s="27"/>
      <c r="B45" s="11" t="str">
        <f>CONCATENATE("          ", "6279", " - ", "GENERAL EXPENSE")</f>
        <v xml:space="preserve">          6279 - GENERAL EXPENSE</v>
      </c>
      <c r="C45" s="11"/>
      <c r="D45" s="7">
        <v>806.38</v>
      </c>
      <c r="E45" s="2"/>
      <c r="F45" s="6">
        <f t="shared" si="29"/>
        <v>0</v>
      </c>
      <c r="G45" s="2"/>
      <c r="H45" s="7">
        <v>160</v>
      </c>
      <c r="I45" s="2"/>
      <c r="J45" s="6">
        <f t="shared" si="30"/>
        <v>6.6558509089396402E-3</v>
      </c>
      <c r="K45" s="2"/>
      <c r="L45" s="7">
        <f t="shared" si="31"/>
        <v>646.38</v>
      </c>
      <c r="M45" s="2"/>
      <c r="N45" s="6">
        <f t="shared" si="32"/>
        <v>4.0398750000000003</v>
      </c>
      <c r="O45" s="11"/>
      <c r="P45" s="7">
        <v>1560.93</v>
      </c>
      <c r="Q45" s="2"/>
      <c r="R45" s="6">
        <f t="shared" si="33"/>
        <v>0.63030442525045727</v>
      </c>
      <c r="S45" s="2"/>
      <c r="T45" s="7">
        <v>1191.19</v>
      </c>
      <c r="U45" s="2"/>
      <c r="V45" s="6">
        <f t="shared" si="34"/>
        <v>6.1985075167421471E-3</v>
      </c>
      <c r="W45" s="2"/>
      <c r="X45" s="7">
        <f t="shared" si="35"/>
        <v>369.74</v>
      </c>
      <c r="Y45" s="2"/>
      <c r="Z45" s="6">
        <f t="shared" si="36"/>
        <v>0.3103954868660751</v>
      </c>
    </row>
    <row r="46" spans="1:26" s="25" customFormat="1" outlineLevel="1" collapsed="1" x14ac:dyDescent="0.25">
      <c r="A46" s="26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SUM(OSRRefD22_6x_0)</f>
        <v>48.23</v>
      </c>
      <c r="E46" s="1"/>
      <c r="F46" s="5">
        <f t="shared" si="29"/>
        <v>0</v>
      </c>
      <c r="G46" s="1"/>
      <c r="H46" s="1">
        <f>SUM(OSRRefH22_6x_0)</f>
        <v>47.57</v>
      </c>
      <c r="I46" s="1"/>
      <c r="J46" s="5">
        <f t="shared" si="30"/>
        <v>1.9788676733641167E-3</v>
      </c>
      <c r="K46" s="1"/>
      <c r="L46" s="1">
        <f t="shared" si="31"/>
        <v>0.65999999999999659</v>
      </c>
      <c r="M46" s="1"/>
      <c r="N46" s="5">
        <f t="shared" si="32"/>
        <v>1.3874290519234739E-2</v>
      </c>
      <c r="O46" s="13"/>
      <c r="P46" s="1">
        <f>SUM(OSRRefP22_6x_0)</f>
        <v>492.62</v>
      </c>
      <c r="Q46" s="1"/>
      <c r="R46" s="5">
        <f t="shared" si="33"/>
        <v>0.19892023727321548</v>
      </c>
      <c r="S46" s="1"/>
      <c r="T46" s="1">
        <f>SUM(OSRRefT22_6x_0)</f>
        <v>887.48</v>
      </c>
      <c r="U46" s="1"/>
      <c r="V46" s="5">
        <f t="shared" si="34"/>
        <v>4.618114197532149E-3</v>
      </c>
      <c r="W46" s="1"/>
      <c r="X46" s="1">
        <f t="shared" si="35"/>
        <v>-394.86</v>
      </c>
      <c r="Y46" s="1"/>
      <c r="Z46" s="5">
        <f t="shared" si="36"/>
        <v>-0.44492270248343624</v>
      </c>
    </row>
    <row r="47" spans="1:26" s="24" customFormat="1" hidden="1" outlineLevel="2" x14ac:dyDescent="0.25">
      <c r="A47" s="27"/>
      <c r="B47" s="11" t="str">
        <f>CONCATENATE("          ", "6371", " - ", "COMPUTER SOFTWARE MAINTENANCE")</f>
        <v xml:space="preserve">          6371 - COMPUTER SOFTWARE MAINTENANCE</v>
      </c>
      <c r="C47" s="11"/>
      <c r="D47" s="7"/>
      <c r="E47" s="2"/>
      <c r="F47" s="6">
        <f t="shared" si="29"/>
        <v>0</v>
      </c>
      <c r="G47" s="2"/>
      <c r="H47" s="7"/>
      <c r="I47" s="2"/>
      <c r="J47" s="6">
        <f t="shared" si="30"/>
        <v>0</v>
      </c>
      <c r="K47" s="2"/>
      <c r="L47" s="7">
        <f t="shared" si="31"/>
        <v>0</v>
      </c>
      <c r="M47" s="2"/>
      <c r="N47" s="6">
        <f t="shared" si="32"/>
        <v>0</v>
      </c>
      <c r="O47" s="11"/>
      <c r="P47" s="7"/>
      <c r="Q47" s="2"/>
      <c r="R47" s="6">
        <f t="shared" si="33"/>
        <v>0</v>
      </c>
      <c r="S47" s="2"/>
      <c r="T47" s="7">
        <v>437.31</v>
      </c>
      <c r="U47" s="2"/>
      <c r="V47" s="6">
        <f t="shared" si="34"/>
        <v>2.2755977821728762E-3</v>
      </c>
      <c r="W47" s="2"/>
      <c r="X47" s="7">
        <f t="shared" si="35"/>
        <v>-437.31</v>
      </c>
      <c r="Y47" s="2"/>
      <c r="Z47" s="6">
        <f t="shared" si="36"/>
        <v>-1</v>
      </c>
    </row>
    <row r="48" spans="1:26" s="24" customFormat="1" hidden="1" outlineLevel="2" x14ac:dyDescent="0.25">
      <c r="A48" s="27"/>
      <c r="B48" s="11" t="str">
        <f>CONCATENATE("          ", "6373", " - ", "MAINTENANCE CONTRACTS")</f>
        <v xml:space="preserve">          6373 - MAINTENANCE CONTRACTS</v>
      </c>
      <c r="C48" s="11"/>
      <c r="D48" s="7">
        <v>48.23</v>
      </c>
      <c r="E48" s="2"/>
      <c r="F48" s="6">
        <f t="shared" si="29"/>
        <v>0</v>
      </c>
      <c r="G48" s="2"/>
      <c r="H48" s="7">
        <v>47.57</v>
      </c>
      <c r="I48" s="2"/>
      <c r="J48" s="6">
        <f t="shared" si="30"/>
        <v>1.9788676733641167E-3</v>
      </c>
      <c r="K48" s="2"/>
      <c r="L48" s="7">
        <f t="shared" si="31"/>
        <v>0.65999999999999659</v>
      </c>
      <c r="M48" s="2"/>
      <c r="N48" s="6">
        <f t="shared" si="32"/>
        <v>1.3874290519234739E-2</v>
      </c>
      <c r="O48" s="11"/>
      <c r="P48" s="7">
        <v>175.06</v>
      </c>
      <c r="Q48" s="2"/>
      <c r="R48" s="6">
        <f t="shared" si="33"/>
        <v>7.0689327954709724E-2</v>
      </c>
      <c r="S48" s="2"/>
      <c r="T48" s="7">
        <v>93.22</v>
      </c>
      <c r="U48" s="2"/>
      <c r="V48" s="6">
        <f t="shared" si="34"/>
        <v>4.8508203620808012E-4</v>
      </c>
      <c r="W48" s="2"/>
      <c r="X48" s="7">
        <f t="shared" si="35"/>
        <v>81.84</v>
      </c>
      <c r="Y48" s="2"/>
      <c r="Z48" s="6">
        <f t="shared" si="36"/>
        <v>0.87792319244797257</v>
      </c>
    </row>
    <row r="49" spans="1:26" s="24" customFormat="1" hidden="1" outlineLevel="2" x14ac:dyDescent="0.25">
      <c r="A49" s="27"/>
      <c r="B49" s="11" t="str">
        <f>CONCATENATE("          ", "6375", " - ", "OUTSIDE REPAIRS &amp; MAINTENANCE")</f>
        <v xml:space="preserve">          6375 - OUTSIDE REPAIRS &amp; MAINTENANCE</v>
      </c>
      <c r="C49" s="11"/>
      <c r="D49" s="7"/>
      <c r="E49" s="2"/>
      <c r="F49" s="6">
        <f t="shared" si="29"/>
        <v>0</v>
      </c>
      <c r="G49" s="2"/>
      <c r="H49" s="7"/>
      <c r="I49" s="2"/>
      <c r="J49" s="6">
        <f t="shared" si="30"/>
        <v>0</v>
      </c>
      <c r="K49" s="2"/>
      <c r="L49" s="7">
        <f t="shared" si="31"/>
        <v>0</v>
      </c>
      <c r="M49" s="2"/>
      <c r="N49" s="6">
        <f t="shared" si="32"/>
        <v>0</v>
      </c>
      <c r="O49" s="11"/>
      <c r="P49" s="7">
        <v>317.56</v>
      </c>
      <c r="Q49" s="2"/>
      <c r="R49" s="6">
        <f t="shared" si="33"/>
        <v>0.12823090931850575</v>
      </c>
      <c r="S49" s="2"/>
      <c r="T49" s="7">
        <v>356.95</v>
      </c>
      <c r="U49" s="2"/>
      <c r="V49" s="6">
        <f t="shared" si="34"/>
        <v>1.8574343791511929E-3</v>
      </c>
      <c r="W49" s="2"/>
      <c r="X49" s="7">
        <f t="shared" si="35"/>
        <v>-39.389999999999986</v>
      </c>
      <c r="Y49" s="2"/>
      <c r="Z49" s="6">
        <f t="shared" si="36"/>
        <v>-0.11035158985852357</v>
      </c>
    </row>
    <row r="50" spans="1:26" s="25" customFormat="1" outlineLevel="1" collapsed="1" x14ac:dyDescent="0.25">
      <c r="A50" s="26"/>
      <c r="B50" s="13" t="str">
        <f>CONCATENATE("     ","Royalty &amp; Commissions                             ")</f>
        <v xml:space="preserve">     Royalty &amp; Commissions                             </v>
      </c>
      <c r="C50" s="13"/>
      <c r="D50" s="1">
        <f>SUM(OSRRefD22_7x_0)</f>
        <v>0</v>
      </c>
      <c r="E50" s="1"/>
      <c r="F50" s="5">
        <f t="shared" ref="F50:F55" si="37">IF(D$12=0,0,D50/D$12)</f>
        <v>0</v>
      </c>
      <c r="G50" s="1"/>
      <c r="H50" s="1">
        <f>SUM(OSRRefH22_7x_0)</f>
        <v>9661.34</v>
      </c>
      <c r="I50" s="1"/>
      <c r="J50" s="5">
        <f t="shared" ref="J50:J55" si="38">IF(H$12=0,0,H50/H$12)</f>
        <v>0.40190274137859311</v>
      </c>
      <c r="K50" s="1"/>
      <c r="L50" s="1">
        <f t="shared" ref="L50:L55" si="39">+D50-H50</f>
        <v>-9661.34</v>
      </c>
      <c r="M50" s="1"/>
      <c r="N50" s="5">
        <f t="shared" ref="N50:N55" si="40">IF(H50=0,0,L50/H50)</f>
        <v>-1</v>
      </c>
      <c r="O50" s="13"/>
      <c r="P50" s="1">
        <f>SUM(OSRRefP22_7x_0)</f>
        <v>185.7</v>
      </c>
      <c r="Q50" s="1"/>
      <c r="R50" s="5">
        <f t="shared" ref="R50:R55" si="41">IF(P$12=0,0,P50/P$12)</f>
        <v>7.4985766029873155E-2</v>
      </c>
      <c r="S50" s="1"/>
      <c r="T50" s="1">
        <f>SUM(OSRRefT22_7x_0)</f>
        <v>15334.79</v>
      </c>
      <c r="U50" s="1"/>
      <c r="V50" s="5">
        <f t="shared" ref="V50:V55" si="42">IF(T$12=0,0,T50/T$12)</f>
        <v>7.9796515318851166E-2</v>
      </c>
      <c r="W50" s="1"/>
      <c r="X50" s="1">
        <f t="shared" ref="X50:X55" si="43">+P50-T50</f>
        <v>-15149.09</v>
      </c>
      <c r="Y50" s="1"/>
      <c r="Z50" s="5">
        <f t="shared" ref="Z50:Z55" si="44">IF(T50=0,0,X50/T50)</f>
        <v>-0.98789028085810104</v>
      </c>
    </row>
    <row r="51" spans="1:26" s="24" customFormat="1" hidden="1" outlineLevel="2" x14ac:dyDescent="0.25">
      <c r="A51" s="27"/>
      <c r="B51" s="11" t="str">
        <f>CONCATENATE("          ", "6254", " - ", "ROYALTY &amp; COMMISSIONS")</f>
        <v xml:space="preserve">          6254 - ROYALTY &amp; COMMISSIONS</v>
      </c>
      <c r="C51" s="11"/>
      <c r="D51" s="7"/>
      <c r="E51" s="2"/>
      <c r="F51" s="6">
        <f t="shared" si="37"/>
        <v>0</v>
      </c>
      <c r="G51" s="2"/>
      <c r="H51" s="7">
        <v>9661.34</v>
      </c>
      <c r="I51" s="2"/>
      <c r="J51" s="6">
        <f t="shared" si="38"/>
        <v>0.40190274137859311</v>
      </c>
      <c r="K51" s="2"/>
      <c r="L51" s="7">
        <f t="shared" si="39"/>
        <v>-9661.34</v>
      </c>
      <c r="M51" s="2"/>
      <c r="N51" s="6">
        <f t="shared" si="40"/>
        <v>-1</v>
      </c>
      <c r="O51" s="11"/>
      <c r="P51" s="7">
        <v>185.7</v>
      </c>
      <c r="Q51" s="2"/>
      <c r="R51" s="6">
        <f t="shared" si="41"/>
        <v>7.4985766029873155E-2</v>
      </c>
      <c r="S51" s="2"/>
      <c r="T51" s="7">
        <v>15334.79</v>
      </c>
      <c r="U51" s="2"/>
      <c r="V51" s="6">
        <f t="shared" si="42"/>
        <v>7.9796515318851166E-2</v>
      </c>
      <c r="W51" s="2"/>
      <c r="X51" s="7">
        <f t="shared" si="43"/>
        <v>-15149.09</v>
      </c>
      <c r="Y51" s="2"/>
      <c r="Z51" s="6">
        <f t="shared" si="44"/>
        <v>-0.98789028085810104</v>
      </c>
    </row>
    <row r="52" spans="1:26" s="25" customFormat="1" outlineLevel="1" collapsed="1" x14ac:dyDescent="0.25">
      <c r="A52" s="26"/>
      <c r="B52" s="13" t="str">
        <f>CONCATENATE("     ","Services                                          ")</f>
        <v xml:space="preserve">     Services                                          </v>
      </c>
      <c r="C52" s="13"/>
      <c r="D52" s="1">
        <f>SUM(OSRRefD22_8x_0)</f>
        <v>0</v>
      </c>
      <c r="E52" s="1"/>
      <c r="F52" s="5">
        <f t="shared" si="37"/>
        <v>0</v>
      </c>
      <c r="G52" s="1"/>
      <c r="H52" s="1">
        <f>SUM(OSRRefH22_8x_0)</f>
        <v>152.26</v>
      </c>
      <c r="I52" s="1"/>
      <c r="J52" s="5">
        <f t="shared" si="38"/>
        <v>6.3338741212196842E-3</v>
      </c>
      <c r="K52" s="1"/>
      <c r="L52" s="1">
        <f t="shared" si="39"/>
        <v>-152.26</v>
      </c>
      <c r="M52" s="1"/>
      <c r="N52" s="5">
        <f t="shared" si="40"/>
        <v>-1</v>
      </c>
      <c r="O52" s="13"/>
      <c r="P52" s="1">
        <f>SUM(OSRRefP22_8x_0)</f>
        <v>-63.319999999999993</v>
      </c>
      <c r="Q52" s="1"/>
      <c r="R52" s="5">
        <f t="shared" si="41"/>
        <v>-2.556865215407414E-2</v>
      </c>
      <c r="S52" s="1"/>
      <c r="T52" s="1">
        <f>SUM(OSRRefT22_8x_0)</f>
        <v>1156.5999999999999</v>
      </c>
      <c r="U52" s="1"/>
      <c r="V52" s="5">
        <f t="shared" si="42"/>
        <v>6.0185140857998863E-3</v>
      </c>
      <c r="W52" s="1"/>
      <c r="X52" s="1">
        <f t="shared" si="43"/>
        <v>-1219.9199999999998</v>
      </c>
      <c r="Y52" s="1"/>
      <c r="Z52" s="5">
        <f t="shared" si="44"/>
        <v>-1.0547466712778835</v>
      </c>
    </row>
    <row r="53" spans="1:26" s="24" customFormat="1" hidden="1" outlineLevel="2" x14ac:dyDescent="0.25">
      <c r="A53" s="27"/>
      <c r="B53" s="11" t="str">
        <f>CONCATENATE("          ", "6282", " - ", "JANITORIAL/EXTERMINATOR EXPENS")</f>
        <v xml:space="preserve">          6282 - JANITORIAL/EXTERMINATOR EXPENS</v>
      </c>
      <c r="C53" s="11"/>
      <c r="D53" s="7"/>
      <c r="E53" s="2"/>
      <c r="F53" s="6">
        <f t="shared" si="37"/>
        <v>0</v>
      </c>
      <c r="G53" s="2"/>
      <c r="H53" s="7">
        <v>41</v>
      </c>
      <c r="I53" s="2"/>
      <c r="J53" s="6">
        <f t="shared" si="38"/>
        <v>1.7055617954157827E-3</v>
      </c>
      <c r="K53" s="2"/>
      <c r="L53" s="7">
        <f t="shared" si="39"/>
        <v>-41</v>
      </c>
      <c r="M53" s="2"/>
      <c r="N53" s="6">
        <f t="shared" si="40"/>
        <v>-1</v>
      </c>
      <c r="O53" s="11"/>
      <c r="P53" s="7">
        <v>82</v>
      </c>
      <c r="Q53" s="2"/>
      <c r="R53" s="6">
        <f t="shared" si="41"/>
        <v>3.3111646819868598E-2</v>
      </c>
      <c r="S53" s="2"/>
      <c r="T53" s="7">
        <v>123</v>
      </c>
      <c r="U53" s="2"/>
      <c r="V53" s="6">
        <f t="shared" si="42"/>
        <v>6.4004602503318876E-4</v>
      </c>
      <c r="W53" s="2"/>
      <c r="X53" s="7">
        <f t="shared" si="43"/>
        <v>-41</v>
      </c>
      <c r="Y53" s="2"/>
      <c r="Z53" s="6">
        <f t="shared" si="44"/>
        <v>-0.33333333333333331</v>
      </c>
    </row>
    <row r="54" spans="1:26" s="24" customFormat="1" hidden="1" outlineLevel="2" x14ac:dyDescent="0.25">
      <c r="A54" s="27"/>
      <c r="B54" s="11" t="str">
        <f>CONCATENATE("          ", "6285", " - ", "JANITORIAL SERVICES")</f>
        <v xml:space="preserve">          6285 - JANITORIAL SERVICES</v>
      </c>
      <c r="C54" s="11"/>
      <c r="D54" s="7"/>
      <c r="E54" s="2"/>
      <c r="F54" s="6">
        <f t="shared" si="37"/>
        <v>0</v>
      </c>
      <c r="G54" s="2"/>
      <c r="H54" s="7">
        <v>22.62</v>
      </c>
      <c r="I54" s="2"/>
      <c r="J54" s="6">
        <f t="shared" si="38"/>
        <v>9.4097092225134166E-4</v>
      </c>
      <c r="K54" s="2"/>
      <c r="L54" s="7">
        <f t="shared" si="39"/>
        <v>-22.62</v>
      </c>
      <c r="M54" s="2"/>
      <c r="N54" s="6">
        <f t="shared" si="40"/>
        <v>-1</v>
      </c>
      <c r="O54" s="11"/>
      <c r="P54" s="7">
        <v>-145.32</v>
      </c>
      <c r="Q54" s="2"/>
      <c r="R54" s="6">
        <f t="shared" si="41"/>
        <v>-5.8680298973942738E-2</v>
      </c>
      <c r="S54" s="2"/>
      <c r="T54" s="7">
        <v>135.72</v>
      </c>
      <c r="U54" s="2"/>
      <c r="V54" s="6">
        <f t="shared" si="42"/>
        <v>7.062361505488161E-4</v>
      </c>
      <c r="W54" s="2"/>
      <c r="X54" s="7">
        <f t="shared" si="43"/>
        <v>-281.03999999999996</v>
      </c>
      <c r="Y54" s="2"/>
      <c r="Z54" s="6">
        <f t="shared" si="44"/>
        <v>-2.0707338638373121</v>
      </c>
    </row>
    <row r="55" spans="1:26" s="24" customFormat="1" hidden="1" outlineLevel="2" x14ac:dyDescent="0.25">
      <c r="A55" s="27"/>
      <c r="B55" s="11" t="str">
        <f>CONCATENATE("          ", "6286", " - ", "LAUNDRY EXPENSE")</f>
        <v xml:space="preserve">          6286 - LAUNDRY EXPENSE</v>
      </c>
      <c r="C55" s="11"/>
      <c r="D55" s="7"/>
      <c r="E55" s="2"/>
      <c r="F55" s="6">
        <f t="shared" si="37"/>
        <v>0</v>
      </c>
      <c r="G55" s="2"/>
      <c r="H55" s="7">
        <v>88.64</v>
      </c>
      <c r="I55" s="2"/>
      <c r="J55" s="6">
        <f t="shared" si="38"/>
        <v>3.6873414035525605E-3</v>
      </c>
      <c r="K55" s="2"/>
      <c r="L55" s="7">
        <f t="shared" si="39"/>
        <v>-88.64</v>
      </c>
      <c r="M55" s="2"/>
      <c r="N55" s="6">
        <f t="shared" si="40"/>
        <v>-1</v>
      </c>
      <c r="O55" s="11"/>
      <c r="P55" s="7"/>
      <c r="Q55" s="2"/>
      <c r="R55" s="6">
        <f t="shared" si="41"/>
        <v>0</v>
      </c>
      <c r="S55" s="2"/>
      <c r="T55" s="7">
        <v>897.88</v>
      </c>
      <c r="U55" s="2"/>
      <c r="V55" s="6">
        <f t="shared" si="42"/>
        <v>4.6722319102178826E-3</v>
      </c>
      <c r="W55" s="2"/>
      <c r="X55" s="7">
        <f t="shared" si="43"/>
        <v>-897.88</v>
      </c>
      <c r="Y55" s="2"/>
      <c r="Z55" s="6">
        <f t="shared" si="44"/>
        <v>-1</v>
      </c>
    </row>
    <row r="56" spans="1:26" s="25" customFormat="1" outlineLevel="1" collapsed="1" x14ac:dyDescent="0.25">
      <c r="A56" s="26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SUM(OSRRefD22_9x_0)</f>
        <v>0</v>
      </c>
      <c r="E56" s="1"/>
      <c r="F56" s="5">
        <f t="shared" ref="F56:F60" si="45">IF(D$12=0,0,D56/D$12)</f>
        <v>0</v>
      </c>
      <c r="G56" s="1"/>
      <c r="H56" s="1">
        <f>SUM(OSRRefH22_9x_0)</f>
        <v>506.92</v>
      </c>
      <c r="I56" s="1"/>
      <c r="J56" s="5">
        <f t="shared" ref="J56:J60" si="46">IF(H$12=0,0,H56/H$12)</f>
        <v>2.1087399642248015E-2</v>
      </c>
      <c r="K56" s="1"/>
      <c r="L56" s="1">
        <f t="shared" ref="L56:L60" si="47">+D56-H56</f>
        <v>-506.92</v>
      </c>
      <c r="M56" s="1"/>
      <c r="N56" s="5">
        <f t="shared" ref="N56:N60" si="48">IF(H56=0,0,L56/H56)</f>
        <v>-1</v>
      </c>
      <c r="O56" s="13"/>
      <c r="P56" s="1">
        <f>SUM(OSRRefP22_9x_0)</f>
        <v>328.55</v>
      </c>
      <c r="Q56" s="1"/>
      <c r="R56" s="5">
        <f t="shared" ref="R56:R60" si="49">IF(P$12=0,0,P56/P$12)</f>
        <v>0.13266867759351011</v>
      </c>
      <c r="S56" s="1"/>
      <c r="T56" s="1">
        <f>SUM(OSRRefT22_9x_0)</f>
        <v>6139.9900000000007</v>
      </c>
      <c r="U56" s="1"/>
      <c r="V56" s="5">
        <f t="shared" ref="V56:V60" si="50">IF(T$12=0,0,T56/T$12)</f>
        <v>3.1950212953199421E-2</v>
      </c>
      <c r="W56" s="1"/>
      <c r="X56" s="1">
        <f t="shared" ref="X56:X60" si="51">+P56-T56</f>
        <v>-5811.4400000000005</v>
      </c>
      <c r="Y56" s="1"/>
      <c r="Z56" s="5">
        <f t="shared" ref="Z56:Z60" si="52">IF(T56=0,0,X56/T56)</f>
        <v>-0.94649014086342154</v>
      </c>
    </row>
    <row r="57" spans="1:26" s="24" customFormat="1" hidden="1" outlineLevel="2" x14ac:dyDescent="0.25">
      <c r="A57" s="27"/>
      <c r="B57" s="11" t="str">
        <f>CONCATENATE("          ", "6234", " - ", "EXPENDABLE SUPPLIES &amp; EQUIPMEN")</f>
        <v xml:space="preserve">          6234 - EXPENDABLE SUPPLIES &amp; EQUIPMEN</v>
      </c>
      <c r="C57" s="11"/>
      <c r="D57" s="7"/>
      <c r="E57" s="2"/>
      <c r="F57" s="6">
        <f t="shared" si="45"/>
        <v>0</v>
      </c>
      <c r="G57" s="2"/>
      <c r="H57" s="7"/>
      <c r="I57" s="2"/>
      <c r="J57" s="6">
        <f t="shared" si="46"/>
        <v>0</v>
      </c>
      <c r="K57" s="2"/>
      <c r="L57" s="7">
        <f t="shared" si="47"/>
        <v>0</v>
      </c>
      <c r="M57" s="2"/>
      <c r="N57" s="6">
        <f t="shared" si="48"/>
        <v>0</v>
      </c>
      <c r="O57" s="11"/>
      <c r="P57" s="7"/>
      <c r="Q57" s="2"/>
      <c r="R57" s="6">
        <f t="shared" si="49"/>
        <v>0</v>
      </c>
      <c r="S57" s="2"/>
      <c r="T57" s="7">
        <v>354.71</v>
      </c>
      <c r="U57" s="2"/>
      <c r="V57" s="6">
        <f t="shared" si="50"/>
        <v>1.8457782564188811E-3</v>
      </c>
      <c r="W57" s="2"/>
      <c r="X57" s="7">
        <f t="shared" si="51"/>
        <v>-354.71</v>
      </c>
      <c r="Y57" s="2"/>
      <c r="Z57" s="6">
        <f t="shared" si="52"/>
        <v>-1</v>
      </c>
    </row>
    <row r="58" spans="1:26" s="24" customFormat="1" hidden="1" outlineLevel="2" x14ac:dyDescent="0.25">
      <c r="A58" s="27"/>
      <c r="B58" s="11" t="str">
        <f>CONCATENATE("          ", "6235", " - ", "COVID-19 EXPENSES")</f>
        <v xml:space="preserve">          6235 - COVID-19 EXPENSES</v>
      </c>
      <c r="C58" s="11"/>
      <c r="D58" s="7"/>
      <c r="E58" s="2"/>
      <c r="F58" s="6">
        <f t="shared" si="45"/>
        <v>0</v>
      </c>
      <c r="G58" s="2"/>
      <c r="H58" s="7"/>
      <c r="I58" s="2"/>
      <c r="J58" s="6">
        <f t="shared" si="46"/>
        <v>0</v>
      </c>
      <c r="K58" s="2"/>
      <c r="L58" s="7">
        <f t="shared" si="47"/>
        <v>0</v>
      </c>
      <c r="M58" s="2"/>
      <c r="N58" s="6">
        <f t="shared" si="48"/>
        <v>0</v>
      </c>
      <c r="O58" s="11"/>
      <c r="P58" s="7">
        <v>207.27</v>
      </c>
      <c r="Q58" s="2"/>
      <c r="R58" s="6">
        <f t="shared" si="49"/>
        <v>8.3695744345782502E-2</v>
      </c>
      <c r="S58" s="2"/>
      <c r="T58" s="7"/>
      <c r="U58" s="2"/>
      <c r="V58" s="6">
        <f t="shared" si="50"/>
        <v>0</v>
      </c>
      <c r="W58" s="2"/>
      <c r="X58" s="7">
        <f t="shared" si="51"/>
        <v>207.27</v>
      </c>
      <c r="Y58" s="2"/>
      <c r="Z58" s="6">
        <f t="shared" si="52"/>
        <v>0</v>
      </c>
    </row>
    <row r="59" spans="1:26" s="24" customFormat="1" hidden="1" outlineLevel="2" x14ac:dyDescent="0.25">
      <c r="A59" s="27"/>
      <c r="B59" s="11" t="str">
        <f>CONCATENATE("          ", "6237", " - ", "JANITORIAL SUPPLIES")</f>
        <v xml:space="preserve">          6237 - JANITORIAL SUPPLIES</v>
      </c>
      <c r="C59" s="11"/>
      <c r="D59" s="7"/>
      <c r="E59" s="2"/>
      <c r="F59" s="6">
        <f t="shared" si="45"/>
        <v>0</v>
      </c>
      <c r="G59" s="2"/>
      <c r="H59" s="7"/>
      <c r="I59" s="2"/>
      <c r="J59" s="6">
        <f t="shared" si="46"/>
        <v>0</v>
      </c>
      <c r="K59" s="2"/>
      <c r="L59" s="7">
        <f t="shared" si="47"/>
        <v>0</v>
      </c>
      <c r="M59" s="2"/>
      <c r="N59" s="6">
        <f t="shared" si="48"/>
        <v>0</v>
      </c>
      <c r="O59" s="11"/>
      <c r="P59" s="7"/>
      <c r="Q59" s="2"/>
      <c r="R59" s="6">
        <f t="shared" si="49"/>
        <v>0</v>
      </c>
      <c r="S59" s="2"/>
      <c r="T59" s="7">
        <v>20.93</v>
      </c>
      <c r="U59" s="2"/>
      <c r="V59" s="6">
        <f t="shared" si="50"/>
        <v>1.0891189678003772E-4</v>
      </c>
      <c r="W59" s="2"/>
      <c r="X59" s="7">
        <f t="shared" si="51"/>
        <v>-20.93</v>
      </c>
      <c r="Y59" s="2"/>
      <c r="Z59" s="6">
        <f t="shared" si="52"/>
        <v>-1</v>
      </c>
    </row>
    <row r="60" spans="1:26" s="24" customFormat="1" hidden="1" outlineLevel="2" x14ac:dyDescent="0.25">
      <c r="A60" s="27"/>
      <c r="B60" s="11" t="str">
        <f>CONCATENATE("          ", "6247", " - ", "STORE SUPPLIES")</f>
        <v xml:space="preserve">          6247 - STORE SUPPLIES</v>
      </c>
      <c r="C60" s="11"/>
      <c r="D60" s="7"/>
      <c r="E60" s="2"/>
      <c r="F60" s="6">
        <f t="shared" si="45"/>
        <v>0</v>
      </c>
      <c r="G60" s="2"/>
      <c r="H60" s="7">
        <v>506.92</v>
      </c>
      <c r="I60" s="2"/>
      <c r="J60" s="6">
        <f t="shared" si="46"/>
        <v>2.1087399642248015E-2</v>
      </c>
      <c r="K60" s="2"/>
      <c r="L60" s="7">
        <f t="shared" si="47"/>
        <v>-506.92</v>
      </c>
      <c r="M60" s="2"/>
      <c r="N60" s="6">
        <f t="shared" si="48"/>
        <v>-1</v>
      </c>
      <c r="O60" s="11"/>
      <c r="P60" s="7">
        <v>121.28</v>
      </c>
      <c r="Q60" s="2"/>
      <c r="R60" s="6">
        <f t="shared" si="49"/>
        <v>4.8972933247727606E-2</v>
      </c>
      <c r="S60" s="2"/>
      <c r="T60" s="7">
        <v>5764.35</v>
      </c>
      <c r="U60" s="2"/>
      <c r="V60" s="6">
        <f t="shared" si="50"/>
        <v>2.9995522800000503E-2</v>
      </c>
      <c r="W60" s="2"/>
      <c r="X60" s="7">
        <f t="shared" si="51"/>
        <v>-5643.0700000000006</v>
      </c>
      <c r="Y60" s="2"/>
      <c r="Z60" s="6">
        <f t="shared" si="52"/>
        <v>-0.97896033377570768</v>
      </c>
    </row>
    <row r="61" spans="1:26" s="25" customFormat="1" outlineLevel="1" collapsed="1" x14ac:dyDescent="0.25">
      <c r="A61" s="26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101.5</v>
      </c>
      <c r="E61" s="1"/>
      <c r="F61" s="5">
        <f t="shared" ref="F61:F64" si="53">IF(D$12=0,0,D61/D$12)</f>
        <v>0</v>
      </c>
      <c r="G61" s="1"/>
      <c r="H61" s="1">
        <f>SUM(OSRRefH22_10x_0)</f>
        <v>52.5</v>
      </c>
      <c r="I61" s="1"/>
      <c r="J61" s="5">
        <f t="shared" ref="J61:J64" si="54">IF(H$12=0,0,H61/H$12)</f>
        <v>2.1839510794958192E-3</v>
      </c>
      <c r="K61" s="1"/>
      <c r="L61" s="1">
        <f t="shared" ref="L61:L64" si="55">+D61-H61</f>
        <v>49</v>
      </c>
      <c r="M61" s="1"/>
      <c r="N61" s="5">
        <f t="shared" ref="N61:N64" si="56">IF(H61=0,0,L61/H61)</f>
        <v>0.93333333333333335</v>
      </c>
      <c r="O61" s="13"/>
      <c r="P61" s="1">
        <f>SUM(OSRRefP22_10x_0)</f>
        <v>632.5</v>
      </c>
      <c r="Q61" s="1"/>
      <c r="R61" s="5">
        <f t="shared" ref="R61:R64" si="57">IF(P$12=0,0,P61/P$12)</f>
        <v>0.25540386114105962</v>
      </c>
      <c r="S61" s="1"/>
      <c r="T61" s="1">
        <f>SUM(OSRRefT22_10x_0)</f>
        <v>330</v>
      </c>
      <c r="U61" s="1"/>
      <c r="V61" s="5">
        <f t="shared" ref="V61:V64" si="58">IF(T$12=0,0,T61/T$12)</f>
        <v>1.7171966525280674E-3</v>
      </c>
      <c r="W61" s="1"/>
      <c r="X61" s="1">
        <f t="shared" ref="X61:X64" si="59">+P61-T61</f>
        <v>302.5</v>
      </c>
      <c r="Y61" s="1"/>
      <c r="Z61" s="5">
        <f t="shared" ref="Z61:Z64" si="60">IF(T61=0,0,X61/T61)</f>
        <v>0.91666666666666663</v>
      </c>
    </row>
    <row r="62" spans="1:26" s="24" customFormat="1" hidden="1" outlineLevel="2" x14ac:dyDescent="0.25">
      <c r="A62" s="27"/>
      <c r="B62" s="11" t="str">
        <f>CONCATENATE("          ", "6309", " - ", "TELEPHONE")</f>
        <v xml:space="preserve">          6309 - TELEPHONE</v>
      </c>
      <c r="C62" s="11"/>
      <c r="D62" s="7">
        <v>101.5</v>
      </c>
      <c r="E62" s="2"/>
      <c r="F62" s="6">
        <f t="shared" si="53"/>
        <v>0</v>
      </c>
      <c r="G62" s="2"/>
      <c r="H62" s="7">
        <v>52.5</v>
      </c>
      <c r="I62" s="2"/>
      <c r="J62" s="6">
        <f t="shared" si="54"/>
        <v>2.1839510794958192E-3</v>
      </c>
      <c r="K62" s="2"/>
      <c r="L62" s="7">
        <f t="shared" si="55"/>
        <v>49</v>
      </c>
      <c r="M62" s="2"/>
      <c r="N62" s="6">
        <f t="shared" si="56"/>
        <v>0.93333333333333335</v>
      </c>
      <c r="O62" s="11"/>
      <c r="P62" s="7">
        <v>632.5</v>
      </c>
      <c r="Q62" s="2"/>
      <c r="R62" s="6">
        <f t="shared" si="57"/>
        <v>0.25540386114105962</v>
      </c>
      <c r="S62" s="2"/>
      <c r="T62" s="7">
        <v>330</v>
      </c>
      <c r="U62" s="2"/>
      <c r="V62" s="6">
        <f t="shared" si="58"/>
        <v>1.7171966525280674E-3</v>
      </c>
      <c r="W62" s="2"/>
      <c r="X62" s="7">
        <f t="shared" si="59"/>
        <v>302.5</v>
      </c>
      <c r="Y62" s="2"/>
      <c r="Z62" s="6">
        <f t="shared" si="60"/>
        <v>0.91666666666666663</v>
      </c>
    </row>
    <row r="63" spans="1:26" s="25" customFormat="1" outlineLevel="1" collapsed="1" x14ac:dyDescent="0.25">
      <c r="A63" s="26"/>
      <c r="B63" s="13" t="str">
        <f>CONCATENATE("     ","Utilities                                         ")</f>
        <v xml:space="preserve">     Utilities                                         </v>
      </c>
      <c r="C63" s="13"/>
      <c r="D63" s="1">
        <f>SUM(OSRRefD22_11x_0)</f>
        <v>50</v>
      </c>
      <c r="E63" s="1"/>
      <c r="F63" s="5">
        <f t="shared" si="53"/>
        <v>0</v>
      </c>
      <c r="G63" s="1"/>
      <c r="H63" s="1">
        <f>SUM(OSRRefH22_11x_0)</f>
        <v>23</v>
      </c>
      <c r="I63" s="1"/>
      <c r="J63" s="5">
        <f t="shared" si="54"/>
        <v>9.5677856816007317E-4</v>
      </c>
      <c r="K63" s="1"/>
      <c r="L63" s="1">
        <f t="shared" si="55"/>
        <v>27</v>
      </c>
      <c r="M63" s="1"/>
      <c r="N63" s="5">
        <f t="shared" si="56"/>
        <v>1.173913043478261</v>
      </c>
      <c r="O63" s="13"/>
      <c r="P63" s="1">
        <f>SUM(OSRRefP22_11x_0)</f>
        <v>300</v>
      </c>
      <c r="Q63" s="1"/>
      <c r="R63" s="5">
        <f t="shared" si="57"/>
        <v>0.1211401712922022</v>
      </c>
      <c r="S63" s="1"/>
      <c r="T63" s="1">
        <f>SUM(OSRRefT22_11x_0)</f>
        <v>-750.88</v>
      </c>
      <c r="U63" s="1"/>
      <c r="V63" s="5">
        <f t="shared" si="58"/>
        <v>-3.9072988559099246E-3</v>
      </c>
      <c r="W63" s="1"/>
      <c r="X63" s="1">
        <f t="shared" si="59"/>
        <v>1050.8800000000001</v>
      </c>
      <c r="Y63" s="1"/>
      <c r="Z63" s="5">
        <f t="shared" si="60"/>
        <v>-1.3995312167057321</v>
      </c>
    </row>
    <row r="64" spans="1:26" s="24" customFormat="1" hidden="1" outlineLevel="2" x14ac:dyDescent="0.25">
      <c r="A64" s="27"/>
      <c r="B64" s="11" t="str">
        <f>CONCATENATE("          ", "6274", " - ", "UTILITIES")</f>
        <v xml:space="preserve">          6274 - UTILITIES</v>
      </c>
      <c r="C64" s="11"/>
      <c r="D64" s="7">
        <v>50</v>
      </c>
      <c r="E64" s="2"/>
      <c r="F64" s="6">
        <f t="shared" si="53"/>
        <v>0</v>
      </c>
      <c r="G64" s="2"/>
      <c r="H64" s="7">
        <v>23</v>
      </c>
      <c r="I64" s="2"/>
      <c r="J64" s="6">
        <f t="shared" si="54"/>
        <v>9.5677856816007317E-4</v>
      </c>
      <c r="K64" s="2"/>
      <c r="L64" s="7">
        <f t="shared" si="55"/>
        <v>27</v>
      </c>
      <c r="M64" s="2"/>
      <c r="N64" s="6">
        <f t="shared" si="56"/>
        <v>1.173913043478261</v>
      </c>
      <c r="O64" s="11"/>
      <c r="P64" s="7">
        <v>300</v>
      </c>
      <c r="Q64" s="2"/>
      <c r="R64" s="6">
        <f t="shared" si="57"/>
        <v>0.1211401712922022</v>
      </c>
      <c r="S64" s="2"/>
      <c r="T64" s="7">
        <v>-750.88</v>
      </c>
      <c r="U64" s="2"/>
      <c r="V64" s="6">
        <f t="shared" si="58"/>
        <v>-3.9072988559099246E-3</v>
      </c>
      <c r="W64" s="2"/>
      <c r="X64" s="7">
        <f t="shared" si="59"/>
        <v>1050.8800000000001</v>
      </c>
      <c r="Y64" s="2"/>
      <c r="Z64" s="6">
        <f t="shared" si="60"/>
        <v>-1.3995312167057321</v>
      </c>
    </row>
    <row r="65" spans="1:26" s="55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9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8" t="s">
        <v>3</v>
      </c>
      <c r="C68" s="28"/>
      <c r="D68" s="20">
        <f>+D20-D22+D66</f>
        <v>-3502.98</v>
      </c>
      <c r="E68" s="14"/>
      <c r="F68" s="21">
        <f>IF(D$12=0,0,D68/D$12)</f>
        <v>0</v>
      </c>
      <c r="G68" s="14"/>
      <c r="H68" s="20">
        <f>+H20-H22+H66</f>
        <v>-2706.49</v>
      </c>
      <c r="I68" s="14"/>
      <c r="J68" s="21">
        <f>IF(H$12=0,0,H68/H$12)</f>
        <v>-0.11258746204085028</v>
      </c>
      <c r="K68" s="15"/>
      <c r="L68" s="20">
        <f>+D68-H68</f>
        <v>-796.49000000000024</v>
      </c>
      <c r="M68" s="15"/>
      <c r="N68" s="21">
        <f>IF(H68=0,0,L68/H68)</f>
        <v>0.29428891294628845</v>
      </c>
      <c r="O68" s="29"/>
      <c r="P68" s="20">
        <f>+P20-P22+P66</f>
        <v>-32959.799999999988</v>
      </c>
      <c r="Q68" s="14"/>
      <c r="R68" s="21">
        <f>IF(P$12=0,0,P68/P$12)</f>
        <v>-13.309186059189082</v>
      </c>
      <c r="S68" s="14"/>
      <c r="T68" s="20">
        <f>+T20-T22+T66</f>
        <v>19162.790000000008</v>
      </c>
      <c r="U68" s="14"/>
      <c r="V68" s="21">
        <f>IF(T$12=0,0,T68/T$12)</f>
        <v>9.9715996488176778E-2</v>
      </c>
      <c r="W68" s="15"/>
      <c r="X68" s="20">
        <f>+P68-T68</f>
        <v>-52122.59</v>
      </c>
      <c r="Y68" s="15"/>
      <c r="Z68" s="21">
        <f>IF(T68=0,0,X68/T68)</f>
        <v>-2.7199896257277763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>
        <v>64.69</v>
      </c>
      <c r="E70" s="4"/>
      <c r="F70" s="12">
        <f>IF(D$12=0,0,D70/D$12)</f>
        <v>0</v>
      </c>
      <c r="G70" s="4"/>
      <c r="H70" s="4">
        <v>2951.91</v>
      </c>
      <c r="I70" s="4"/>
      <c r="J70" s="12">
        <f>IF(H$12=0,0,H70/H$12)</f>
        <v>0.12279670535380006</v>
      </c>
      <c r="K70" s="4"/>
      <c r="L70" s="4">
        <f>+D70-H70</f>
        <v>-2887.22</v>
      </c>
      <c r="M70" s="4"/>
      <c r="N70" s="12">
        <f>IF(H70=0,0,L70/H70)</f>
        <v>-0.97808537523162964</v>
      </c>
      <c r="O70" s="10"/>
      <c r="P70" s="4">
        <v>458.2</v>
      </c>
      <c r="Q70" s="4"/>
      <c r="R70" s="12">
        <f>IF(P$12=0,0,P70/P$12)</f>
        <v>0.18502142162029014</v>
      </c>
      <c r="S70" s="4"/>
      <c r="T70" s="4">
        <v>20756.240000000002</v>
      </c>
      <c r="U70" s="4"/>
      <c r="V70" s="12">
        <f>IF(T$12=0,0,T70/T$12)</f>
        <v>0.10800771468808841</v>
      </c>
      <c r="W70" s="4"/>
      <c r="X70" s="4">
        <f>+P70-T70</f>
        <v>-20298.04</v>
      </c>
      <c r="Y70" s="4"/>
      <c r="Z70" s="12">
        <f>IF(T70=0,0,X70/T70)</f>
        <v>-0.97792471083394672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4</v>
      </c>
      <c r="C72" s="28"/>
      <c r="D72" s="33">
        <f>+D68-D70</f>
        <v>-3567.67</v>
      </c>
      <c r="E72" s="14"/>
      <c r="F72" s="34">
        <f>IF(D$12=0,0,D72/D$12)</f>
        <v>0</v>
      </c>
      <c r="G72" s="14"/>
      <c r="H72" s="33">
        <f>+H68-H70</f>
        <v>-5658.4</v>
      </c>
      <c r="I72" s="14"/>
      <c r="J72" s="34">
        <f>IF(H$12=0,0,H72/H$12)</f>
        <v>-0.23538416739465035</v>
      </c>
      <c r="K72" s="15"/>
      <c r="L72" s="33">
        <f>D72-H72</f>
        <v>2090.7299999999996</v>
      </c>
      <c r="M72" s="15"/>
      <c r="N72" s="34">
        <f>IF(H72=0,0,L72/H72)</f>
        <v>-0.36949137565389506</v>
      </c>
      <c r="O72" s="29"/>
      <c r="P72" s="33">
        <f>+P68-P70</f>
        <v>-33417.999999999985</v>
      </c>
      <c r="Q72" s="14"/>
      <c r="R72" s="34">
        <f>IF(P$12=0,0,P72/P$12)</f>
        <v>-13.49420748080937</v>
      </c>
      <c r="S72" s="14"/>
      <c r="T72" s="33">
        <f>+T68-T70</f>
        <v>-1593.4499999999935</v>
      </c>
      <c r="U72" s="14"/>
      <c r="V72" s="34">
        <f>IF(T$12=0,0,T72/T$12)</f>
        <v>-8.2917181999116289E-3</v>
      </c>
      <c r="W72" s="15"/>
      <c r="X72" s="33">
        <f>P72-T72</f>
        <v>-31824.549999999992</v>
      </c>
      <c r="Y72" s="15"/>
      <c r="Z72" s="34">
        <f>IF(T72=0,0,X72/T72)</f>
        <v>19.972104553013978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5</v>
      </c>
      <c r="C75" s="28"/>
      <c r="D75" s="30">
        <f>SUM(D72:D74)</f>
        <v>-3567.67</v>
      </c>
      <c r="E75" s="14"/>
      <c r="F75" s="32">
        <f>IF(D$12=0,0,D75/D$12)</f>
        <v>0</v>
      </c>
      <c r="G75" s="14"/>
      <c r="H75" s="30">
        <f>SUM(H72:H74)</f>
        <v>-5658.4</v>
      </c>
      <c r="I75" s="14"/>
      <c r="J75" s="32">
        <f>IF(H$12=0,0,H75/H$12)</f>
        <v>-0.23538416739465035</v>
      </c>
      <c r="K75" s="15"/>
      <c r="L75" s="30">
        <f>+D75-H75</f>
        <v>2090.7299999999996</v>
      </c>
      <c r="M75" s="15"/>
      <c r="N75" s="32">
        <f>IF(H75=0,0,L75/H75)</f>
        <v>-0.36949137565389506</v>
      </c>
      <c r="O75" s="29"/>
      <c r="P75" s="30">
        <f>SUM(P72:P74)</f>
        <v>-33417.999999999985</v>
      </c>
      <c r="Q75" s="14"/>
      <c r="R75" s="32">
        <f>IF(P$12=0,0,P75/P$12)</f>
        <v>-13.49420748080937</v>
      </c>
      <c r="S75" s="14"/>
      <c r="T75" s="30">
        <f>SUM(T72:T74)</f>
        <v>-1593.4499999999935</v>
      </c>
      <c r="U75" s="14"/>
      <c r="V75" s="32">
        <f>IF(T$12=0,0,T75/T$12)</f>
        <v>-8.2917181999116289E-3</v>
      </c>
      <c r="W75" s="15"/>
      <c r="X75" s="30">
        <f>+P75-T75</f>
        <v>-31824.549999999992</v>
      </c>
      <c r="Y75" s="15"/>
      <c r="Z75" s="32">
        <f>IF(T75=0,0,X75/T75)</f>
        <v>19.972104553013978</v>
      </c>
    </row>
    <row r="76" spans="1:26" ht="15.75" thickTop="1" x14ac:dyDescent="0.25">
      <c r="A76" s="9"/>
      <c r="C76" s="9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58">
        <v>44209.521884456015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61" t="s">
        <v>313</v>
      </c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7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","322", " - ", "Beach Hut")</f>
        <v>Department 322 - Beach Hut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70553.149999999994</v>
      </c>
      <c r="I12" s="4"/>
      <c r="J12" s="12"/>
      <c r="K12" s="4"/>
      <c r="L12" s="4">
        <f t="shared" ref="L12:L14" si="0">+D12-H12</f>
        <v>-70553.149999999994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485614.97</v>
      </c>
      <c r="U12" s="4"/>
      <c r="V12" s="12"/>
      <c r="W12" s="4"/>
      <c r="X12" s="4">
        <f t="shared" ref="X12:X14" si="2">+P12-T12</f>
        <v>-485614.97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--10073.39</f>
        <v>10073.39</v>
      </c>
      <c r="I13" s="2"/>
      <c r="J13" s="19"/>
      <c r="K13" s="2"/>
      <c r="L13" s="2">
        <f t="shared" si="0"/>
        <v>-10073.39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--63131.47</f>
        <v>63131.47</v>
      </c>
      <c r="U13" s="2"/>
      <c r="V13" s="19"/>
      <c r="W13" s="2"/>
      <c r="X13" s="2">
        <f t="shared" si="2"/>
        <v>-63131.47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--60479.76</f>
        <v>60479.76</v>
      </c>
      <c r="I14" s="2"/>
      <c r="J14" s="19"/>
      <c r="K14" s="2"/>
      <c r="L14" s="2">
        <f t="shared" si="0"/>
        <v>-60479.76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--422483.5</f>
        <v>422483.5</v>
      </c>
      <c r="U14" s="2"/>
      <c r="V14" s="19"/>
      <c r="W14" s="2"/>
      <c r="X14" s="2">
        <f t="shared" si="2"/>
        <v>-422483.5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35676.959999999999</v>
      </c>
      <c r="I16" s="4"/>
      <c r="J16" s="12">
        <f t="shared" ref="J16:J18" si="7">IF(H$12=0,0,H16/H$12)</f>
        <v>0.50567494151572256</v>
      </c>
      <c r="K16" s="4"/>
      <c r="L16" s="4">
        <f t="shared" ref="L16:L18" si="8">+D16-H16</f>
        <v>-35676.959999999999</v>
      </c>
      <c r="M16" s="4"/>
      <c r="N16" s="12">
        <f t="shared" ref="N16:N18" si="9">IF(H16=0,0,L16/H16)</f>
        <v>-1</v>
      </c>
      <c r="O16" s="10"/>
      <c r="P16" s="4">
        <f>SUM(OSRRefP16x_0)</f>
        <v>-1222.33</v>
      </c>
      <c r="Q16" s="4"/>
      <c r="R16" s="12">
        <f t="shared" ref="R16:R18" si="10">IF(P$12=0,0,P16/P$12)</f>
        <v>0</v>
      </c>
      <c r="S16" s="4"/>
      <c r="T16" s="4">
        <f>SUM(OSRRefT16x_0)</f>
        <v>247036.13</v>
      </c>
      <c r="U16" s="4"/>
      <c r="V16" s="12">
        <f t="shared" ref="V16:V18" si="11">IF(T$12=0,0,T16/T$12)</f>
        <v>0.50870781434106127</v>
      </c>
      <c r="W16" s="4"/>
      <c r="X16" s="4">
        <f t="shared" ref="X16:X18" si="12">+P16-T16</f>
        <v>-248258.46</v>
      </c>
      <c r="Y16" s="4"/>
      <c r="Z16" s="12">
        <f t="shared" ref="Z16:Z18" si="13">IF(T16=0,0,X16/T16)</f>
        <v>-1.0049479806860639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27088.449999999997</v>
      </c>
      <c r="I17" s="2"/>
      <c r="J17" s="19">
        <f t="shared" si="7"/>
        <v>0.38394387777158073</v>
      </c>
      <c r="K17" s="2"/>
      <c r="L17" s="2">
        <f t="shared" si="8"/>
        <v>-27088.449999999997</v>
      </c>
      <c r="M17" s="2"/>
      <c r="N17" s="19">
        <f t="shared" si="9"/>
        <v>-1</v>
      </c>
      <c r="O17" s="11"/>
      <c r="P17" s="2">
        <v>-1222.33</v>
      </c>
      <c r="Q17" s="2"/>
      <c r="R17" s="19">
        <f t="shared" si="10"/>
        <v>0</v>
      </c>
      <c r="S17" s="2"/>
      <c r="T17" s="2">
        <v>253238.29</v>
      </c>
      <c r="U17" s="2"/>
      <c r="V17" s="19">
        <f t="shared" si="11"/>
        <v>0.5214795787699873</v>
      </c>
      <c r="W17" s="2"/>
      <c r="X17" s="2">
        <f t="shared" si="12"/>
        <v>-254460.62</v>
      </c>
      <c r="Y17" s="2"/>
      <c r="Z17" s="19">
        <f t="shared" si="13"/>
        <v>-1.0048267977168854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8588.51</v>
      </c>
      <c r="I18" s="2"/>
      <c r="J18" s="19">
        <f t="shared" si="7"/>
        <v>0.12173106374414185</v>
      </c>
      <c r="K18" s="2"/>
      <c r="L18" s="2">
        <f t="shared" si="8"/>
        <v>-8588.51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-6202.16</v>
      </c>
      <c r="U18" s="2"/>
      <c r="V18" s="19">
        <f t="shared" si="11"/>
        <v>-1.277176442892607E-2</v>
      </c>
      <c r="W18" s="2"/>
      <c r="X18" s="2">
        <f t="shared" si="12"/>
        <v>6202.16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34876.189999999995</v>
      </c>
      <c r="I20" s="14"/>
      <c r="J20" s="21">
        <f>IF(H$12=0,0,H20/H$12)</f>
        <v>0.49432505848427744</v>
      </c>
      <c r="K20" s="15"/>
      <c r="L20" s="20">
        <f>+D20-H20</f>
        <v>-34876.189999999995</v>
      </c>
      <c r="M20" s="15"/>
      <c r="N20" s="21">
        <f>IF(H20=0,0,L20/H20)</f>
        <v>-1</v>
      </c>
      <c r="O20" s="29"/>
      <c r="P20" s="20">
        <f>P12-P16</f>
        <v>1222.33</v>
      </c>
      <c r="Q20" s="14"/>
      <c r="R20" s="21">
        <f>IF(P$12=0,0,P20/P$12)</f>
        <v>0</v>
      </c>
      <c r="S20" s="14"/>
      <c r="T20" s="20">
        <f>T12-T16</f>
        <v>238578.83999999997</v>
      </c>
      <c r="U20" s="14"/>
      <c r="V20" s="21">
        <f>IF(T$12=0,0,T20/T$12)</f>
        <v>0.49129218565893878</v>
      </c>
      <c r="W20" s="15"/>
      <c r="X20" s="20">
        <f>+P20-T20</f>
        <v>-237356.50999999998</v>
      </c>
      <c r="Y20" s="15"/>
      <c r="Z20" s="21">
        <f>IF(T20=0,0,X20/T20)</f>
        <v>-0.99487662024008505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2297.69</v>
      </c>
      <c r="E22" s="22"/>
      <c r="F22" s="36">
        <f t="shared" ref="F22:F31" si="14">IF(D$12=0,0,D22/D$12)</f>
        <v>0</v>
      </c>
      <c r="G22" s="22"/>
      <c r="H22" s="22">
        <f>SUM(OSRRefH22x_0)</f>
        <v>28032.560000000001</v>
      </c>
      <c r="I22" s="22"/>
      <c r="J22" s="36">
        <f t="shared" ref="J22:J31" si="15">IF(H$12=0,0,H22/H$12)</f>
        <v>0.39732542062260867</v>
      </c>
      <c r="K22" s="4"/>
      <c r="L22" s="22">
        <f t="shared" ref="L22:L31" si="16">+D22-H22</f>
        <v>-25734.870000000003</v>
      </c>
      <c r="M22" s="4"/>
      <c r="N22" s="36">
        <f t="shared" ref="N22:N31" si="17">IF(H22=0,0,L22/H22)</f>
        <v>-0.91803495649344913</v>
      </c>
      <c r="O22" s="10"/>
      <c r="P22" s="22">
        <f>SUM(OSRRefP22x_0)</f>
        <v>15790.289999999999</v>
      </c>
      <c r="Q22" s="22"/>
      <c r="R22" s="36">
        <f t="shared" ref="R22:R31" si="18">IF(P$12=0,0,P22/P$12)</f>
        <v>0</v>
      </c>
      <c r="S22" s="22"/>
      <c r="T22" s="22">
        <f>SUM(OSRRefT22x_0)</f>
        <v>172971.97999999998</v>
      </c>
      <c r="U22" s="22"/>
      <c r="V22" s="36">
        <f t="shared" ref="V22:V31" si="19">IF(T$12=0,0,T22/T$12)</f>
        <v>0.35619161410942496</v>
      </c>
      <c r="W22" s="4"/>
      <c r="X22" s="22">
        <f t="shared" ref="X22:X31" si="20">+P22-T22</f>
        <v>-157181.68999999997</v>
      </c>
      <c r="Y22" s="4"/>
      <c r="Z22" s="36">
        <f t="shared" ref="Z22:Z31" si="21">IF(T22=0,0,X22/T22)</f>
        <v>-0.90871186188653208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2376.46</v>
      </c>
      <c r="I23" s="1"/>
      <c r="J23" s="5">
        <f t="shared" si="15"/>
        <v>3.3683258649684675E-2</v>
      </c>
      <c r="K23" s="1"/>
      <c r="L23" s="1">
        <f t="shared" si="16"/>
        <v>-2376.46</v>
      </c>
      <c r="M23" s="1"/>
      <c r="N23" s="5">
        <f t="shared" si="17"/>
        <v>-1</v>
      </c>
      <c r="O23" s="13"/>
      <c r="P23" s="1">
        <f>SUM(OSRRefP22_0x_0)</f>
        <v>1595.9699999999998</v>
      </c>
      <c r="Q23" s="1"/>
      <c r="R23" s="5">
        <f t="shared" si="18"/>
        <v>0</v>
      </c>
      <c r="S23" s="1"/>
      <c r="T23" s="1">
        <f>SUM(OSRRefT22_0x_0)</f>
        <v>14444.28</v>
      </c>
      <c r="U23" s="1"/>
      <c r="V23" s="5">
        <f t="shared" si="19"/>
        <v>2.9744305452527549E-2</v>
      </c>
      <c r="W23" s="1"/>
      <c r="X23" s="1">
        <f t="shared" si="20"/>
        <v>-12848.310000000001</v>
      </c>
      <c r="Y23" s="1"/>
      <c r="Z23" s="5">
        <f t="shared" si="21"/>
        <v>-0.88950851132766751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367.84</v>
      </c>
      <c r="I24" s="2"/>
      <c r="J24" s="6">
        <f t="shared" si="15"/>
        <v>5.2136580719641858E-3</v>
      </c>
      <c r="K24" s="2"/>
      <c r="L24" s="7">
        <f t="shared" si="16"/>
        <v>-367.84</v>
      </c>
      <c r="M24" s="2"/>
      <c r="N24" s="6">
        <f t="shared" si="17"/>
        <v>-1</v>
      </c>
      <c r="O24" s="11"/>
      <c r="P24" s="7">
        <v>159.12</v>
      </c>
      <c r="Q24" s="2"/>
      <c r="R24" s="6">
        <f t="shared" si="18"/>
        <v>0</v>
      </c>
      <c r="S24" s="2"/>
      <c r="T24" s="7">
        <v>3555.66</v>
      </c>
      <c r="U24" s="2"/>
      <c r="V24" s="6">
        <f t="shared" si="19"/>
        <v>7.3219736203766535E-3</v>
      </c>
      <c r="W24" s="2"/>
      <c r="X24" s="7">
        <f t="shared" si="20"/>
        <v>-3396.54</v>
      </c>
      <c r="Y24" s="2"/>
      <c r="Z24" s="6">
        <f t="shared" si="21"/>
        <v>-0.95524881456607214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462.86</v>
      </c>
      <c r="I25" s="2"/>
      <c r="J25" s="6">
        <f t="shared" si="15"/>
        <v>6.5604441474264447E-3</v>
      </c>
      <c r="K25" s="2"/>
      <c r="L25" s="7">
        <f t="shared" si="16"/>
        <v>-462.86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1737.45</v>
      </c>
      <c r="U25" s="2"/>
      <c r="V25" s="6">
        <f t="shared" si="19"/>
        <v>3.5778345136271233E-3</v>
      </c>
      <c r="W25" s="2"/>
      <c r="X25" s="7">
        <f t="shared" si="20"/>
        <v>-1737.45</v>
      </c>
      <c r="Y25" s="2"/>
      <c r="Z25" s="6">
        <f t="shared" si="21"/>
        <v>-1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641.14</v>
      </c>
      <c r="I26" s="2"/>
      <c r="J26" s="6">
        <f t="shared" si="15"/>
        <v>9.0873334500302261E-3</v>
      </c>
      <c r="K26" s="2"/>
      <c r="L26" s="7">
        <f t="shared" si="16"/>
        <v>-641.14</v>
      </c>
      <c r="M26" s="2"/>
      <c r="N26" s="6">
        <f t="shared" si="17"/>
        <v>-1</v>
      </c>
      <c r="O26" s="11"/>
      <c r="P26" s="7">
        <v>683.68</v>
      </c>
      <c r="Q26" s="2"/>
      <c r="R26" s="6">
        <f t="shared" si="18"/>
        <v>0</v>
      </c>
      <c r="S26" s="2"/>
      <c r="T26" s="7">
        <v>3846.84</v>
      </c>
      <c r="U26" s="2"/>
      <c r="V26" s="6">
        <f t="shared" si="19"/>
        <v>7.921584460215467E-3</v>
      </c>
      <c r="W26" s="2"/>
      <c r="X26" s="7">
        <f t="shared" si="20"/>
        <v>-3163.1600000000003</v>
      </c>
      <c r="Y26" s="2"/>
      <c r="Z26" s="6">
        <f t="shared" si="21"/>
        <v>-0.8222749061567417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63.34</v>
      </c>
      <c r="I27" s="2"/>
      <c r="J27" s="6">
        <f t="shared" si="15"/>
        <v>8.9776289223089277E-4</v>
      </c>
      <c r="K27" s="2"/>
      <c r="L27" s="7">
        <f t="shared" si="16"/>
        <v>-63.34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282.93</v>
      </c>
      <c r="U27" s="2"/>
      <c r="V27" s="6">
        <f t="shared" si="19"/>
        <v>5.8262207196783911E-4</v>
      </c>
      <c r="W27" s="2"/>
      <c r="X27" s="7">
        <f t="shared" si="20"/>
        <v>-282.93</v>
      </c>
      <c r="Y27" s="2"/>
      <c r="Z27" s="6">
        <f t="shared" si="21"/>
        <v>-1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268.22000000000003</v>
      </c>
      <c r="I28" s="2"/>
      <c r="J28" s="6">
        <f t="shared" si="15"/>
        <v>3.8016729231791927E-3</v>
      </c>
      <c r="K28" s="2"/>
      <c r="L28" s="7">
        <f t="shared" si="16"/>
        <v>-268.22000000000003</v>
      </c>
      <c r="M28" s="2"/>
      <c r="N28" s="6">
        <f t="shared" si="17"/>
        <v>-1</v>
      </c>
      <c r="O28" s="11"/>
      <c r="P28" s="7">
        <v>321.57</v>
      </c>
      <c r="Q28" s="2"/>
      <c r="R28" s="6">
        <f t="shared" si="18"/>
        <v>0</v>
      </c>
      <c r="S28" s="2"/>
      <c r="T28" s="7">
        <v>1475.21</v>
      </c>
      <c r="U28" s="2"/>
      <c r="V28" s="6">
        <f t="shared" si="19"/>
        <v>3.0378182122350965E-3</v>
      </c>
      <c r="W28" s="2"/>
      <c r="X28" s="7">
        <f t="shared" si="20"/>
        <v>-1153.6400000000001</v>
      </c>
      <c r="Y28" s="2"/>
      <c r="Z28" s="6">
        <f t="shared" si="21"/>
        <v>-0.78201747547806755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221.28</v>
      </c>
      <c r="I29" s="2"/>
      <c r="J29" s="6">
        <f t="shared" si="15"/>
        <v>3.1363589010554456E-3</v>
      </c>
      <c r="K29" s="2"/>
      <c r="L29" s="7">
        <f t="shared" si="16"/>
        <v>-221.28</v>
      </c>
      <c r="M29" s="2"/>
      <c r="N29" s="6">
        <f t="shared" si="17"/>
        <v>-1</v>
      </c>
      <c r="O29" s="11"/>
      <c r="P29" s="7">
        <v>239.72</v>
      </c>
      <c r="Q29" s="2"/>
      <c r="R29" s="6">
        <f t="shared" si="18"/>
        <v>0</v>
      </c>
      <c r="S29" s="2"/>
      <c r="T29" s="7">
        <v>1438.32</v>
      </c>
      <c r="U29" s="2"/>
      <c r="V29" s="6">
        <f t="shared" si="19"/>
        <v>2.9618526792944623E-3</v>
      </c>
      <c r="W29" s="2"/>
      <c r="X29" s="7">
        <f t="shared" si="20"/>
        <v>-1198.5999999999999</v>
      </c>
      <c r="Y29" s="2"/>
      <c r="Z29" s="6">
        <f t="shared" si="21"/>
        <v>-0.83333333333333326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177.12</v>
      </c>
      <c r="I30" s="2"/>
      <c r="J30" s="6">
        <f t="shared" si="15"/>
        <v>2.5104477971571791E-3</v>
      </c>
      <c r="K30" s="2"/>
      <c r="L30" s="7">
        <f t="shared" si="16"/>
        <v>-177.12</v>
      </c>
      <c r="M30" s="2"/>
      <c r="N30" s="6">
        <f t="shared" si="17"/>
        <v>-1</v>
      </c>
      <c r="O30" s="11"/>
      <c r="P30" s="7">
        <v>191.88</v>
      </c>
      <c r="Q30" s="2"/>
      <c r="R30" s="6">
        <f t="shared" si="18"/>
        <v>0</v>
      </c>
      <c r="S30" s="2"/>
      <c r="T30" s="7">
        <v>1151.28</v>
      </c>
      <c r="U30" s="2"/>
      <c r="V30" s="6">
        <f t="shared" si="19"/>
        <v>2.370767112059993E-3</v>
      </c>
      <c r="W30" s="2"/>
      <c r="X30" s="7">
        <f t="shared" si="20"/>
        <v>-959.4</v>
      </c>
      <c r="Y30" s="2"/>
      <c r="Z30" s="6">
        <f t="shared" si="21"/>
        <v>-0.83333333333333337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174.66</v>
      </c>
      <c r="I31" s="2"/>
      <c r="J31" s="6">
        <f t="shared" si="15"/>
        <v>2.4755804666411071E-3</v>
      </c>
      <c r="K31" s="2"/>
      <c r="L31" s="7">
        <f t="shared" si="16"/>
        <v>-174.66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956.59</v>
      </c>
      <c r="U31" s="2"/>
      <c r="V31" s="6">
        <f t="shared" si="19"/>
        <v>1.9698527827509108E-3</v>
      </c>
      <c r="W31" s="2"/>
      <c r="X31" s="7">
        <f t="shared" si="20"/>
        <v>-956.59</v>
      </c>
      <c r="Y31" s="2"/>
      <c r="Z31" s="6">
        <f t="shared" si="21"/>
        <v>-1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15140.29</v>
      </c>
      <c r="I32" s="1"/>
      <c r="J32" s="5">
        <f t="shared" ref="J32:J36" si="23">IF(H$12=0,0,H32/H$12)</f>
        <v>0.21459410387771491</v>
      </c>
      <c r="K32" s="1"/>
      <c r="L32" s="1">
        <f t="shared" ref="L32:L36" si="24">+D32-H32</f>
        <v>-15140.29</v>
      </c>
      <c r="M32" s="1"/>
      <c r="N32" s="5">
        <f t="shared" ref="N32:N36" si="25">IF(H32=0,0,L32/H32)</f>
        <v>-1</v>
      </c>
      <c r="O32" s="13"/>
      <c r="P32" s="1">
        <f>SUM(OSRRefP22_1x_0)</f>
        <v>2080</v>
      </c>
      <c r="Q32" s="1"/>
      <c r="R32" s="5">
        <f t="shared" ref="R32:R36" si="26">IF(P$12=0,0,P32/P$12)</f>
        <v>0</v>
      </c>
      <c r="S32" s="1"/>
      <c r="T32" s="1">
        <f>SUM(OSRRefT22_1x_0)</f>
        <v>100402.89</v>
      </c>
      <c r="U32" s="1"/>
      <c r="V32" s="5">
        <f t="shared" ref="V32:V36" si="27">IF(T$12=0,0,T32/T$12)</f>
        <v>0.20675410809514377</v>
      </c>
      <c r="W32" s="1"/>
      <c r="X32" s="1">
        <f t="shared" ref="X32:X36" si="28">+P32-T32</f>
        <v>-98322.89</v>
      </c>
      <c r="Y32" s="1"/>
      <c r="Z32" s="5">
        <f t="shared" ref="Z32:Z36" si="29">IF(T32=0,0,X32/T32)</f>
        <v>-0.97928346484847195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3264</v>
      </c>
      <c r="I33" s="2"/>
      <c r="J33" s="6">
        <f t="shared" si="23"/>
        <v>4.626299463595885E-2</v>
      </c>
      <c r="K33" s="2"/>
      <c r="L33" s="7">
        <f t="shared" si="24"/>
        <v>-3264</v>
      </c>
      <c r="M33" s="2"/>
      <c r="N33" s="6">
        <f t="shared" si="25"/>
        <v>-1</v>
      </c>
      <c r="O33" s="11"/>
      <c r="P33" s="7">
        <v>2080</v>
      </c>
      <c r="Q33" s="2"/>
      <c r="R33" s="6">
        <f t="shared" si="26"/>
        <v>0</v>
      </c>
      <c r="S33" s="2"/>
      <c r="T33" s="7">
        <v>22080</v>
      </c>
      <c r="U33" s="2"/>
      <c r="V33" s="6">
        <f t="shared" si="27"/>
        <v>4.5468120556497675E-2</v>
      </c>
      <c r="W33" s="2"/>
      <c r="X33" s="7">
        <f t="shared" si="28"/>
        <v>-20000</v>
      </c>
      <c r="Y33" s="2"/>
      <c r="Z33" s="6">
        <f t="shared" si="29"/>
        <v>-0.90579710144927539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969.5</v>
      </c>
      <c r="I34" s="2"/>
      <c r="J34" s="6">
        <f t="shared" si="23"/>
        <v>1.3741413388346235E-2</v>
      </c>
      <c r="K34" s="2"/>
      <c r="L34" s="7">
        <f t="shared" si="24"/>
        <v>-969.5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7924</v>
      </c>
      <c r="U34" s="2"/>
      <c r="V34" s="6">
        <f t="shared" si="27"/>
        <v>1.6317454134496718E-2</v>
      </c>
      <c r="W34" s="2"/>
      <c r="X34" s="7">
        <f t="shared" si="28"/>
        <v>-7924</v>
      </c>
      <c r="Y34" s="2"/>
      <c r="Z34" s="6">
        <f t="shared" si="29"/>
        <v>-1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22"/>
        <v>0</v>
      </c>
      <c r="G35" s="2"/>
      <c r="H35" s="7">
        <v>10537.79</v>
      </c>
      <c r="I35" s="2"/>
      <c r="J35" s="6">
        <f t="shared" si="23"/>
        <v>0.14935959627599904</v>
      </c>
      <c r="K35" s="2"/>
      <c r="L35" s="7">
        <f t="shared" si="24"/>
        <v>-10537.79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68553.89</v>
      </c>
      <c r="U35" s="2"/>
      <c r="V35" s="6">
        <f t="shared" si="27"/>
        <v>0.14116922713482247</v>
      </c>
      <c r="W35" s="2"/>
      <c r="X35" s="7">
        <f t="shared" si="28"/>
        <v>-68553.89</v>
      </c>
      <c r="Y35" s="2"/>
      <c r="Z35" s="6">
        <f t="shared" si="29"/>
        <v>-1</v>
      </c>
    </row>
    <row r="36" spans="1:26" s="24" customFormat="1" hidden="1" outlineLevel="2" x14ac:dyDescent="0.2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22"/>
        <v>0</v>
      </c>
      <c r="G36" s="2"/>
      <c r="H36" s="7">
        <v>369</v>
      </c>
      <c r="I36" s="2"/>
      <c r="J36" s="6">
        <f t="shared" si="23"/>
        <v>5.2300995774107895E-3</v>
      </c>
      <c r="K36" s="2"/>
      <c r="L36" s="7">
        <f t="shared" si="24"/>
        <v>-369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1845</v>
      </c>
      <c r="U36" s="2"/>
      <c r="V36" s="6">
        <f t="shared" si="27"/>
        <v>3.7993062693269116E-3</v>
      </c>
      <c r="W36" s="2"/>
      <c r="X36" s="7">
        <f t="shared" si="28"/>
        <v>-1845</v>
      </c>
      <c r="Y36" s="2"/>
      <c r="Z36" s="6">
        <f t="shared" si="29"/>
        <v>-1</v>
      </c>
    </row>
    <row r="37" spans="1:26" s="25" customFormat="1" outlineLevel="1" collapsed="1" x14ac:dyDescent="0.25">
      <c r="A37" s="26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51" si="30">IF(D$12=0,0,D37/D$12)</f>
        <v>0</v>
      </c>
      <c r="G37" s="1"/>
      <c r="H37" s="1">
        <f>SUM(OSRRefH22_2x_0)</f>
        <v>0</v>
      </c>
      <c r="I37" s="1"/>
      <c r="J37" s="5">
        <f t="shared" ref="J37:J51" si="31">IF(H$12=0,0,H37/H$12)</f>
        <v>0</v>
      </c>
      <c r="K37" s="1"/>
      <c r="L37" s="1">
        <f t="shared" ref="L37:L51" si="32">+D37-H37</f>
        <v>0</v>
      </c>
      <c r="M37" s="1"/>
      <c r="N37" s="5">
        <f t="shared" ref="N37:N51" si="33">IF(H37=0,0,L37/H37)</f>
        <v>0</v>
      </c>
      <c r="O37" s="13"/>
      <c r="P37" s="1">
        <f>SUM(OSRRefP22_2x_0)</f>
        <v>0</v>
      </c>
      <c r="Q37" s="1"/>
      <c r="R37" s="5">
        <f t="shared" ref="R37:R51" si="34">IF(P$12=0,0,P37/P$12)</f>
        <v>0</v>
      </c>
      <c r="S37" s="1"/>
      <c r="T37" s="1">
        <f>SUM(OSRRefT22_2x_0)</f>
        <v>150</v>
      </c>
      <c r="U37" s="1"/>
      <c r="V37" s="5">
        <f t="shared" ref="V37:V51" si="35">IF(T$12=0,0,T37/T$12)</f>
        <v>3.0888668856316354E-4</v>
      </c>
      <c r="W37" s="1"/>
      <c r="X37" s="1">
        <f t="shared" ref="X37:X51" si="36">+P37-T37</f>
        <v>-150</v>
      </c>
      <c r="Y37" s="1"/>
      <c r="Z37" s="5">
        <f t="shared" ref="Z37:Z51" si="37">IF(T37=0,0,X37/T37)</f>
        <v>-1</v>
      </c>
    </row>
    <row r="38" spans="1:26" s="24" customFormat="1" hidden="1" outlineLevel="2" x14ac:dyDescent="0.25">
      <c r="A38" s="27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30"/>
        <v>0</v>
      </c>
      <c r="G38" s="2"/>
      <c r="H38" s="7"/>
      <c r="I38" s="2"/>
      <c r="J38" s="6">
        <f t="shared" si="31"/>
        <v>0</v>
      </c>
      <c r="K38" s="2"/>
      <c r="L38" s="7">
        <f t="shared" si="32"/>
        <v>0</v>
      </c>
      <c r="M38" s="2"/>
      <c r="N38" s="6">
        <f t="shared" si="33"/>
        <v>0</v>
      </c>
      <c r="O38" s="11"/>
      <c r="P38" s="7"/>
      <c r="Q38" s="2"/>
      <c r="R38" s="6">
        <f t="shared" si="34"/>
        <v>0</v>
      </c>
      <c r="S38" s="2"/>
      <c r="T38" s="7">
        <v>150</v>
      </c>
      <c r="U38" s="2"/>
      <c r="V38" s="6">
        <f t="shared" si="35"/>
        <v>3.0888668856316354E-4</v>
      </c>
      <c r="W38" s="2"/>
      <c r="X38" s="7">
        <f t="shared" si="36"/>
        <v>-150</v>
      </c>
      <c r="Y38" s="2"/>
      <c r="Z38" s="6">
        <f t="shared" si="37"/>
        <v>-1</v>
      </c>
    </row>
    <row r="39" spans="1:26" s="25" customFormat="1" outlineLevel="1" collapsed="1" x14ac:dyDescent="0.25">
      <c r="A39" s="26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16.18</v>
      </c>
      <c r="I39" s="1"/>
      <c r="J39" s="5">
        <f t="shared" si="31"/>
        <v>2.2933065355692839E-4</v>
      </c>
      <c r="K39" s="1"/>
      <c r="L39" s="1">
        <f t="shared" si="32"/>
        <v>-16.18</v>
      </c>
      <c r="M39" s="1"/>
      <c r="N39" s="5">
        <f t="shared" si="33"/>
        <v>-1</v>
      </c>
      <c r="O39" s="13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-21.9</v>
      </c>
      <c r="U39" s="1"/>
      <c r="V39" s="5">
        <f t="shared" si="35"/>
        <v>-4.5097456530221875E-5</v>
      </c>
      <c r="W39" s="1"/>
      <c r="X39" s="1">
        <f t="shared" si="36"/>
        <v>21.9</v>
      </c>
      <c r="Y39" s="1"/>
      <c r="Z39" s="5">
        <f t="shared" si="37"/>
        <v>-1</v>
      </c>
    </row>
    <row r="40" spans="1:26" s="24" customFormat="1" hidden="1" outlineLevel="2" x14ac:dyDescent="0.25">
      <c r="A40" s="27"/>
      <c r="B40" s="11" t="str">
        <f>CONCATENATE("          ", "6272", " - ", "CASH (OVER/SHORT)")</f>
        <v xml:space="preserve">          6272 - CASH (OVER/SHORT)</v>
      </c>
      <c r="C40" s="11"/>
      <c r="D40" s="7"/>
      <c r="E40" s="2"/>
      <c r="F40" s="6">
        <f t="shared" si="30"/>
        <v>0</v>
      </c>
      <c r="G40" s="2"/>
      <c r="H40" s="7">
        <v>16.18</v>
      </c>
      <c r="I40" s="2"/>
      <c r="J40" s="6">
        <f t="shared" si="31"/>
        <v>2.2933065355692839E-4</v>
      </c>
      <c r="K40" s="2"/>
      <c r="L40" s="7">
        <f t="shared" si="32"/>
        <v>-16.18</v>
      </c>
      <c r="M40" s="2"/>
      <c r="N40" s="6">
        <f t="shared" si="33"/>
        <v>-1</v>
      </c>
      <c r="O40" s="11"/>
      <c r="P40" s="7"/>
      <c r="Q40" s="2"/>
      <c r="R40" s="6">
        <f t="shared" si="34"/>
        <v>0</v>
      </c>
      <c r="S40" s="2"/>
      <c r="T40" s="7">
        <v>-21.9</v>
      </c>
      <c r="U40" s="2"/>
      <c r="V40" s="6">
        <f t="shared" si="35"/>
        <v>-4.5097456530221875E-5</v>
      </c>
      <c r="W40" s="2"/>
      <c r="X40" s="7">
        <f t="shared" si="36"/>
        <v>21.9</v>
      </c>
      <c r="Y40" s="2"/>
      <c r="Z40" s="6">
        <f t="shared" si="37"/>
        <v>-1</v>
      </c>
    </row>
    <row r="41" spans="1:26" s="25" customFormat="1" outlineLevel="1" collapsed="1" x14ac:dyDescent="0.25">
      <c r="A41" s="26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2447.3200000000002</v>
      </c>
      <c r="I41" s="1"/>
      <c r="J41" s="5">
        <f t="shared" si="31"/>
        <v>3.4687607853086652E-2</v>
      </c>
      <c r="K41" s="1"/>
      <c r="L41" s="1">
        <f t="shared" si="32"/>
        <v>-2447.3200000000002</v>
      </c>
      <c r="M41" s="1"/>
      <c r="N41" s="5">
        <f t="shared" si="33"/>
        <v>-1</v>
      </c>
      <c r="O41" s="13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16783.560000000001</v>
      </c>
      <c r="U41" s="1"/>
      <c r="V41" s="5">
        <f t="shared" si="35"/>
        <v>3.4561455138007798E-2</v>
      </c>
      <c r="W41" s="1"/>
      <c r="X41" s="1">
        <f t="shared" si="36"/>
        <v>-16783.560000000001</v>
      </c>
      <c r="Y41" s="1"/>
      <c r="Z41" s="5">
        <f t="shared" si="37"/>
        <v>-1</v>
      </c>
    </row>
    <row r="42" spans="1:26" s="24" customFormat="1" hidden="1" outlineLevel="2" x14ac:dyDescent="0.25">
      <c r="A42" s="27"/>
      <c r="B42" s="11" t="str">
        <f>CONCATENATE("          ", "6381", " - ", "BANK/CREDIT CARD FEES")</f>
        <v xml:space="preserve">          6381 - BANK/CREDIT CARD FEES</v>
      </c>
      <c r="C42" s="11"/>
      <c r="D42" s="7"/>
      <c r="E42" s="2"/>
      <c r="F42" s="6">
        <f t="shared" si="30"/>
        <v>0</v>
      </c>
      <c r="G42" s="2"/>
      <c r="H42" s="7">
        <v>2447.3200000000002</v>
      </c>
      <c r="I42" s="2"/>
      <c r="J42" s="6">
        <f t="shared" si="31"/>
        <v>3.4687607853086652E-2</v>
      </c>
      <c r="K42" s="2"/>
      <c r="L42" s="7">
        <f t="shared" si="32"/>
        <v>-2447.3200000000002</v>
      </c>
      <c r="M42" s="2"/>
      <c r="N42" s="6">
        <f t="shared" si="33"/>
        <v>-1</v>
      </c>
      <c r="O42" s="11"/>
      <c r="P42" s="7"/>
      <c r="Q42" s="2"/>
      <c r="R42" s="6">
        <f t="shared" si="34"/>
        <v>0</v>
      </c>
      <c r="S42" s="2"/>
      <c r="T42" s="7">
        <v>16783.560000000001</v>
      </c>
      <c r="U42" s="2"/>
      <c r="V42" s="6">
        <f t="shared" si="35"/>
        <v>3.4561455138007798E-2</v>
      </c>
      <c r="W42" s="2"/>
      <c r="X42" s="7">
        <f t="shared" si="36"/>
        <v>-16783.560000000001</v>
      </c>
      <c r="Y42" s="2"/>
      <c r="Z42" s="6">
        <f t="shared" si="37"/>
        <v>-1</v>
      </c>
    </row>
    <row r="43" spans="1:26" s="25" customFormat="1" outlineLevel="1" collapsed="1" x14ac:dyDescent="0.25">
      <c r="A43" s="26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2017.34</v>
      </c>
      <c r="E43" s="1"/>
      <c r="F43" s="5">
        <f t="shared" si="30"/>
        <v>0</v>
      </c>
      <c r="G43" s="1"/>
      <c r="H43" s="1">
        <f>SUM(OSRRefH22_5x_0)</f>
        <v>1857.58</v>
      </c>
      <c r="I43" s="1"/>
      <c r="J43" s="5">
        <f t="shared" si="31"/>
        <v>2.6328803178880037E-2</v>
      </c>
      <c r="K43" s="1"/>
      <c r="L43" s="1">
        <f t="shared" si="32"/>
        <v>159.76</v>
      </c>
      <c r="M43" s="1"/>
      <c r="N43" s="5">
        <f t="shared" si="33"/>
        <v>8.6004371278760539E-2</v>
      </c>
      <c r="O43" s="13"/>
      <c r="P43" s="1">
        <f>SUM(OSRRefP22_5x_0)</f>
        <v>12104.04</v>
      </c>
      <c r="Q43" s="1"/>
      <c r="R43" s="5">
        <f t="shared" si="34"/>
        <v>0</v>
      </c>
      <c r="S43" s="1"/>
      <c r="T43" s="1">
        <f>SUM(OSRRefT22_5x_0)</f>
        <v>11145.48</v>
      </c>
      <c r="U43" s="1"/>
      <c r="V43" s="5">
        <f t="shared" si="35"/>
        <v>2.2951269397646454E-2</v>
      </c>
      <c r="W43" s="1"/>
      <c r="X43" s="1">
        <f t="shared" si="36"/>
        <v>958.56000000000131</v>
      </c>
      <c r="Y43" s="1"/>
      <c r="Z43" s="5">
        <f t="shared" si="37"/>
        <v>8.6004371278760663E-2</v>
      </c>
    </row>
    <row r="44" spans="1:26" s="24" customFormat="1" hidden="1" outlineLevel="2" x14ac:dyDescent="0.25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2017.34</v>
      </c>
      <c r="E44" s="2"/>
      <c r="F44" s="6">
        <f t="shared" si="30"/>
        <v>0</v>
      </c>
      <c r="G44" s="2"/>
      <c r="H44" s="7">
        <v>1857.58</v>
      </c>
      <c r="I44" s="2"/>
      <c r="J44" s="6">
        <f t="shared" si="31"/>
        <v>2.6328803178880037E-2</v>
      </c>
      <c r="K44" s="2"/>
      <c r="L44" s="7">
        <f t="shared" si="32"/>
        <v>159.76</v>
      </c>
      <c r="M44" s="2"/>
      <c r="N44" s="6">
        <f t="shared" si="33"/>
        <v>8.6004371278760539E-2</v>
      </c>
      <c r="O44" s="11"/>
      <c r="P44" s="7">
        <v>12104.04</v>
      </c>
      <c r="Q44" s="2"/>
      <c r="R44" s="6">
        <f t="shared" si="34"/>
        <v>0</v>
      </c>
      <c r="S44" s="2"/>
      <c r="T44" s="7">
        <v>11145.48</v>
      </c>
      <c r="U44" s="2"/>
      <c r="V44" s="6">
        <f t="shared" si="35"/>
        <v>2.2951269397646454E-2</v>
      </c>
      <c r="W44" s="2"/>
      <c r="X44" s="7">
        <f t="shared" si="36"/>
        <v>958.56000000000131</v>
      </c>
      <c r="Y44" s="2"/>
      <c r="Z44" s="6">
        <f t="shared" si="37"/>
        <v>8.6004371278760663E-2</v>
      </c>
    </row>
    <row r="45" spans="1:26" s="25" customFormat="1" outlineLevel="1" collapsed="1" x14ac:dyDescent="0.25">
      <c r="A45" s="26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si="30"/>
        <v>0</v>
      </c>
      <c r="G45" s="1"/>
      <c r="H45" s="1">
        <f>SUM(OSRRefH22_6x_0)</f>
        <v>187</v>
      </c>
      <c r="I45" s="1"/>
      <c r="J45" s="5">
        <f t="shared" si="31"/>
        <v>2.6504840676851425E-3</v>
      </c>
      <c r="K45" s="1"/>
      <c r="L45" s="1">
        <f t="shared" si="32"/>
        <v>-187</v>
      </c>
      <c r="M45" s="1"/>
      <c r="N45" s="5">
        <f t="shared" si="33"/>
        <v>-1</v>
      </c>
      <c r="O45" s="13"/>
      <c r="P45" s="1">
        <f>SUM(OSRRefP22_6x_0)</f>
        <v>0</v>
      </c>
      <c r="Q45" s="1"/>
      <c r="R45" s="5">
        <f t="shared" si="34"/>
        <v>0</v>
      </c>
      <c r="S45" s="1"/>
      <c r="T45" s="1">
        <f>SUM(OSRRefT22_6x_0)</f>
        <v>1193.53</v>
      </c>
      <c r="U45" s="1"/>
      <c r="V45" s="5">
        <f t="shared" si="35"/>
        <v>2.4577701960052838E-3</v>
      </c>
      <c r="W45" s="1"/>
      <c r="X45" s="1">
        <f t="shared" si="36"/>
        <v>-1193.53</v>
      </c>
      <c r="Y45" s="1"/>
      <c r="Z45" s="5">
        <f t="shared" si="37"/>
        <v>-1</v>
      </c>
    </row>
    <row r="46" spans="1:26" s="24" customFormat="1" hidden="1" outlineLevel="2" x14ac:dyDescent="0.25">
      <c r="A46" s="27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30"/>
        <v>0</v>
      </c>
      <c r="G46" s="2"/>
      <c r="H46" s="7">
        <v>187</v>
      </c>
      <c r="I46" s="2"/>
      <c r="J46" s="6">
        <f t="shared" si="31"/>
        <v>2.6504840676851425E-3</v>
      </c>
      <c r="K46" s="2"/>
      <c r="L46" s="7">
        <f t="shared" si="32"/>
        <v>-187</v>
      </c>
      <c r="M46" s="2"/>
      <c r="N46" s="6">
        <f t="shared" si="33"/>
        <v>-1</v>
      </c>
      <c r="O46" s="11"/>
      <c r="P46" s="7"/>
      <c r="Q46" s="2"/>
      <c r="R46" s="6">
        <f t="shared" si="34"/>
        <v>0</v>
      </c>
      <c r="S46" s="2"/>
      <c r="T46" s="7">
        <v>1193.53</v>
      </c>
      <c r="U46" s="2"/>
      <c r="V46" s="6">
        <f t="shared" si="35"/>
        <v>2.4577701960052838E-3</v>
      </c>
      <c r="W46" s="2"/>
      <c r="X46" s="7">
        <f t="shared" si="36"/>
        <v>-1193.53</v>
      </c>
      <c r="Y46" s="2"/>
      <c r="Z46" s="6">
        <f t="shared" si="37"/>
        <v>-1</v>
      </c>
    </row>
    <row r="47" spans="1:26" s="25" customFormat="1" outlineLevel="1" collapsed="1" x14ac:dyDescent="0.25">
      <c r="A47" s="26"/>
      <c r="B47" s="13" t="str">
        <f>CONCATENATE("     ","Rent                                              ")</f>
        <v xml:space="preserve">     Rent                                              </v>
      </c>
      <c r="C47" s="13"/>
      <c r="D47" s="1">
        <f>SUM(OSRRefD22_7x_0)</f>
        <v>0</v>
      </c>
      <c r="E47" s="1"/>
      <c r="F47" s="5">
        <f t="shared" si="30"/>
        <v>0</v>
      </c>
      <c r="G47" s="1"/>
      <c r="H47" s="1">
        <f>SUM(OSRRefH22_7x_0)</f>
        <v>1150</v>
      </c>
      <c r="I47" s="1"/>
      <c r="J47" s="5">
        <f t="shared" si="31"/>
        <v>1.6299768330684031E-2</v>
      </c>
      <c r="K47" s="1"/>
      <c r="L47" s="1">
        <f t="shared" si="32"/>
        <v>-1150</v>
      </c>
      <c r="M47" s="1"/>
      <c r="N47" s="5">
        <f t="shared" si="33"/>
        <v>-1</v>
      </c>
      <c r="O47" s="13"/>
      <c r="P47" s="1">
        <f>SUM(OSRRefP22_7x_0)</f>
        <v>0</v>
      </c>
      <c r="Q47" s="1"/>
      <c r="R47" s="5">
        <f t="shared" si="34"/>
        <v>0</v>
      </c>
      <c r="S47" s="1"/>
      <c r="T47" s="1">
        <f>SUM(OSRRefT22_7x_0)</f>
        <v>6900</v>
      </c>
      <c r="U47" s="1"/>
      <c r="V47" s="5">
        <f t="shared" si="35"/>
        <v>1.4208787673905524E-2</v>
      </c>
      <c r="W47" s="1"/>
      <c r="X47" s="1">
        <f t="shared" si="36"/>
        <v>-6900</v>
      </c>
      <c r="Y47" s="1"/>
      <c r="Z47" s="5">
        <f t="shared" si="37"/>
        <v>-1</v>
      </c>
    </row>
    <row r="48" spans="1:26" s="24" customFormat="1" hidden="1" outlineLevel="2" x14ac:dyDescent="0.25">
      <c r="A48" s="27"/>
      <c r="B48" s="11" t="str">
        <f>CONCATENATE("          ", "6273", " - ", "RENT")</f>
        <v xml:space="preserve">          6273 - RENT</v>
      </c>
      <c r="C48" s="11"/>
      <c r="D48" s="7"/>
      <c r="E48" s="2"/>
      <c r="F48" s="6">
        <f t="shared" si="30"/>
        <v>0</v>
      </c>
      <c r="G48" s="2"/>
      <c r="H48" s="7">
        <v>1150</v>
      </c>
      <c r="I48" s="2"/>
      <c r="J48" s="6">
        <f t="shared" si="31"/>
        <v>1.6299768330684031E-2</v>
      </c>
      <c r="K48" s="2"/>
      <c r="L48" s="7">
        <f t="shared" si="32"/>
        <v>-1150</v>
      </c>
      <c r="M48" s="2"/>
      <c r="N48" s="6">
        <f t="shared" si="33"/>
        <v>-1</v>
      </c>
      <c r="O48" s="11"/>
      <c r="P48" s="7"/>
      <c r="Q48" s="2"/>
      <c r="R48" s="6">
        <f t="shared" si="34"/>
        <v>0</v>
      </c>
      <c r="S48" s="2"/>
      <c r="T48" s="7">
        <v>6900</v>
      </c>
      <c r="U48" s="2"/>
      <c r="V48" s="6">
        <f t="shared" si="35"/>
        <v>1.4208787673905524E-2</v>
      </c>
      <c r="W48" s="2"/>
      <c r="X48" s="7">
        <f t="shared" si="36"/>
        <v>-6900</v>
      </c>
      <c r="Y48" s="2"/>
      <c r="Z48" s="6">
        <f t="shared" si="37"/>
        <v>-1</v>
      </c>
    </row>
    <row r="49" spans="1:26" s="25" customFormat="1" outlineLevel="1" collapsed="1" x14ac:dyDescent="0.25">
      <c r="A49" s="26"/>
      <c r="B49" s="13" t="str">
        <f>CONCATENATE("     ","Repair and Maintenance                            ")</f>
        <v xml:space="preserve">     Repair and Maintenance                            </v>
      </c>
      <c r="C49" s="13"/>
      <c r="D49" s="1">
        <f>SUM(OSRRefD22_8x_0)</f>
        <v>72.349999999999994</v>
      </c>
      <c r="E49" s="1"/>
      <c r="F49" s="5">
        <f t="shared" si="30"/>
        <v>0</v>
      </c>
      <c r="G49" s="1"/>
      <c r="H49" s="1">
        <f>SUM(OSRRefH22_8x_0)</f>
        <v>2651.96</v>
      </c>
      <c r="I49" s="1"/>
      <c r="J49" s="5">
        <f t="shared" si="31"/>
        <v>3.7588116193252891E-2</v>
      </c>
      <c r="K49" s="1"/>
      <c r="L49" s="1">
        <f t="shared" si="32"/>
        <v>-2579.61</v>
      </c>
      <c r="M49" s="1"/>
      <c r="N49" s="5">
        <f t="shared" si="33"/>
        <v>-0.97271829137694388</v>
      </c>
      <c r="O49" s="13"/>
      <c r="P49" s="1">
        <f>SUM(OSRRefP22_8x_0)</f>
        <v>223.3</v>
      </c>
      <c r="Q49" s="1"/>
      <c r="R49" s="5">
        <f t="shared" si="34"/>
        <v>0</v>
      </c>
      <c r="S49" s="1"/>
      <c r="T49" s="1">
        <f>SUM(OSRRefT22_8x_0)</f>
        <v>5561.64</v>
      </c>
      <c r="U49" s="1"/>
      <c r="V49" s="5">
        <f t="shared" si="35"/>
        <v>1.1452777083869553E-2</v>
      </c>
      <c r="W49" s="1"/>
      <c r="X49" s="1">
        <f t="shared" si="36"/>
        <v>-5338.34</v>
      </c>
      <c r="Y49" s="1"/>
      <c r="Z49" s="5">
        <f t="shared" si="37"/>
        <v>-0.95984997231032565</v>
      </c>
    </row>
    <row r="50" spans="1:26" s="24" customFormat="1" hidden="1" outlineLevel="2" x14ac:dyDescent="0.25">
      <c r="A50" s="27"/>
      <c r="B50" s="11" t="str">
        <f>CONCATENATE("          ", "6373", " - ", "MAINTENANCE CONTRACTS")</f>
        <v xml:space="preserve">          6373 - MAINTENANCE CONTRACTS</v>
      </c>
      <c r="C50" s="11"/>
      <c r="D50" s="7">
        <v>72.349999999999994</v>
      </c>
      <c r="E50" s="2"/>
      <c r="F50" s="6">
        <f t="shared" si="30"/>
        <v>0</v>
      </c>
      <c r="G50" s="2"/>
      <c r="H50" s="7">
        <v>71.349999999999994</v>
      </c>
      <c r="I50" s="2"/>
      <c r="J50" s="6">
        <f t="shared" si="31"/>
        <v>1.0112943220820048E-3</v>
      </c>
      <c r="K50" s="2"/>
      <c r="L50" s="7">
        <f t="shared" si="32"/>
        <v>1</v>
      </c>
      <c r="M50" s="2"/>
      <c r="N50" s="6">
        <f t="shared" si="33"/>
        <v>1.4015416958654521E-2</v>
      </c>
      <c r="O50" s="11"/>
      <c r="P50" s="7">
        <v>223.3</v>
      </c>
      <c r="Q50" s="2"/>
      <c r="R50" s="6">
        <f t="shared" si="34"/>
        <v>0</v>
      </c>
      <c r="S50" s="2"/>
      <c r="T50" s="7">
        <v>139.83000000000001</v>
      </c>
      <c r="U50" s="2"/>
      <c r="V50" s="6">
        <f t="shared" si="35"/>
        <v>2.8794417107858109E-4</v>
      </c>
      <c r="W50" s="2"/>
      <c r="X50" s="7">
        <f t="shared" si="36"/>
        <v>83.47</v>
      </c>
      <c r="Y50" s="2"/>
      <c r="Z50" s="6">
        <f t="shared" si="37"/>
        <v>0.59693914038475282</v>
      </c>
    </row>
    <row r="51" spans="1:26" s="24" customFormat="1" hidden="1" outlineLevel="2" x14ac:dyDescent="0.25">
      <c r="A51" s="27"/>
      <c r="B51" s="11" t="str">
        <f>CONCATENATE("          ", "6375", " - ", "OUTSIDE REPAIRS &amp; MAINTENANCE")</f>
        <v xml:space="preserve">          6375 - OUTSIDE REPAIRS &amp; MAINTENANCE</v>
      </c>
      <c r="C51" s="11"/>
      <c r="D51" s="7"/>
      <c r="E51" s="2"/>
      <c r="F51" s="6">
        <f t="shared" si="30"/>
        <v>0</v>
      </c>
      <c r="G51" s="2"/>
      <c r="H51" s="7">
        <v>2580.61</v>
      </c>
      <c r="I51" s="2"/>
      <c r="J51" s="6">
        <f t="shared" si="31"/>
        <v>3.6576821871170888E-2</v>
      </c>
      <c r="K51" s="2"/>
      <c r="L51" s="7">
        <f t="shared" si="32"/>
        <v>-2580.61</v>
      </c>
      <c r="M51" s="2"/>
      <c r="N51" s="6">
        <f t="shared" si="33"/>
        <v>-1</v>
      </c>
      <c r="O51" s="11"/>
      <c r="P51" s="7"/>
      <c r="Q51" s="2"/>
      <c r="R51" s="6">
        <f t="shared" si="34"/>
        <v>0</v>
      </c>
      <c r="S51" s="2"/>
      <c r="T51" s="7">
        <v>5421.81</v>
      </c>
      <c r="U51" s="2"/>
      <c r="V51" s="6">
        <f t="shared" si="35"/>
        <v>1.1164832912790973E-2</v>
      </c>
      <c r="W51" s="2"/>
      <c r="X51" s="7">
        <f t="shared" si="36"/>
        <v>-5421.81</v>
      </c>
      <c r="Y51" s="2"/>
      <c r="Z51" s="6">
        <f t="shared" si="37"/>
        <v>-1</v>
      </c>
    </row>
    <row r="52" spans="1:26" s="25" customFormat="1" outlineLevel="1" collapsed="1" x14ac:dyDescent="0.25">
      <c r="A52" s="26"/>
      <c r="B52" s="13" t="str">
        <f>CONCATENATE("     ","Services                                          ")</f>
        <v xml:space="preserve">     Services                                          </v>
      </c>
      <c r="C52" s="13"/>
      <c r="D52" s="1">
        <f>SUM(OSRRefD22_9x_0)</f>
        <v>0</v>
      </c>
      <c r="E52" s="1"/>
      <c r="F52" s="5">
        <f t="shared" ref="F52:F55" si="38">IF(D$12=0,0,D52/D$12)</f>
        <v>0</v>
      </c>
      <c r="G52" s="1"/>
      <c r="H52" s="1">
        <f>SUM(OSRRefH22_9x_0)</f>
        <v>425.26</v>
      </c>
      <c r="I52" s="1"/>
      <c r="J52" s="5">
        <f t="shared" ref="J52:J55" si="39">IF(H$12=0,0,H52/H$12)</f>
        <v>6.0275125915710357E-3</v>
      </c>
      <c r="K52" s="1"/>
      <c r="L52" s="1">
        <f t="shared" ref="L52:L55" si="40">+D52-H52</f>
        <v>-425.26</v>
      </c>
      <c r="M52" s="1"/>
      <c r="N52" s="5">
        <f t="shared" ref="N52:N55" si="41">IF(H52=0,0,L52/H52)</f>
        <v>-1</v>
      </c>
      <c r="O52" s="13"/>
      <c r="P52" s="1">
        <f>SUM(OSRRefP22_9x_0)</f>
        <v>-1053.52</v>
      </c>
      <c r="Q52" s="1"/>
      <c r="R52" s="5">
        <f t="shared" ref="R52:R55" si="42">IF(P$12=0,0,P52/P$12)</f>
        <v>0</v>
      </c>
      <c r="S52" s="1"/>
      <c r="T52" s="1">
        <f>SUM(OSRRefT22_9x_0)</f>
        <v>2927.8599999999997</v>
      </c>
      <c r="U52" s="1"/>
      <c r="V52" s="5">
        <f t="shared" ref="V52:V55" si="43">IF(T$12=0,0,T52/T$12)</f>
        <v>6.0291798665102932E-3</v>
      </c>
      <c r="W52" s="1"/>
      <c r="X52" s="1">
        <f t="shared" ref="X52:X55" si="44">+P52-T52</f>
        <v>-3981.3799999999997</v>
      </c>
      <c r="Y52" s="1"/>
      <c r="Z52" s="5">
        <f t="shared" ref="Z52:Z55" si="45">IF(T52=0,0,X52/T52)</f>
        <v>-1.3598259479619927</v>
      </c>
    </row>
    <row r="53" spans="1:26" s="24" customFormat="1" hidden="1" outlineLevel="2" x14ac:dyDescent="0.25">
      <c r="A53" s="27"/>
      <c r="B53" s="11" t="str">
        <f>CONCATENATE("          ", "6282", " - ", "JANITORIAL/EXTERMINATOR EXPENS")</f>
        <v xml:space="preserve">          6282 - JANITORIAL/EXTERMINATOR EXPENS</v>
      </c>
      <c r="C53" s="11"/>
      <c r="D53" s="7"/>
      <c r="E53" s="2"/>
      <c r="F53" s="6">
        <f t="shared" si="38"/>
        <v>0</v>
      </c>
      <c r="G53" s="2"/>
      <c r="H53" s="7">
        <v>116.81</v>
      </c>
      <c r="I53" s="2"/>
      <c r="J53" s="6">
        <f t="shared" si="39"/>
        <v>1.6556312510497407E-3</v>
      </c>
      <c r="K53" s="2"/>
      <c r="L53" s="7">
        <f t="shared" si="40"/>
        <v>-116.81</v>
      </c>
      <c r="M53" s="2"/>
      <c r="N53" s="6">
        <f t="shared" si="41"/>
        <v>-1</v>
      </c>
      <c r="O53" s="11"/>
      <c r="P53" s="7">
        <v>-567.28</v>
      </c>
      <c r="Q53" s="2"/>
      <c r="R53" s="6">
        <f t="shared" si="42"/>
        <v>0</v>
      </c>
      <c r="S53" s="2"/>
      <c r="T53" s="7">
        <v>817.67</v>
      </c>
      <c r="U53" s="2"/>
      <c r="V53" s="6">
        <f t="shared" si="43"/>
        <v>1.6837825242496129E-3</v>
      </c>
      <c r="W53" s="2"/>
      <c r="X53" s="7">
        <f t="shared" si="44"/>
        <v>-1384.9499999999998</v>
      </c>
      <c r="Y53" s="2"/>
      <c r="Z53" s="6">
        <f t="shared" si="45"/>
        <v>-1.6937762177895728</v>
      </c>
    </row>
    <row r="54" spans="1:26" s="24" customFormat="1" hidden="1" outlineLevel="2" x14ac:dyDescent="0.25">
      <c r="A54" s="27"/>
      <c r="B54" s="11" t="str">
        <f>CONCATENATE("          ", "6285", " - ", "JANITORIAL SERVICES")</f>
        <v xml:space="preserve">          6285 - JANITORIAL SERVICES</v>
      </c>
      <c r="C54" s="11"/>
      <c r="D54" s="7"/>
      <c r="E54" s="2"/>
      <c r="F54" s="6">
        <f t="shared" si="38"/>
        <v>0</v>
      </c>
      <c r="G54" s="2"/>
      <c r="H54" s="7">
        <v>75.680000000000007</v>
      </c>
      <c r="I54" s="2"/>
      <c r="J54" s="6">
        <f t="shared" si="39"/>
        <v>1.0726664932749284E-3</v>
      </c>
      <c r="K54" s="2"/>
      <c r="L54" s="7">
        <f t="shared" si="40"/>
        <v>-75.680000000000007</v>
      </c>
      <c r="M54" s="2"/>
      <c r="N54" s="6">
        <f t="shared" si="41"/>
        <v>-1</v>
      </c>
      <c r="O54" s="11"/>
      <c r="P54" s="7">
        <v>-486.24</v>
      </c>
      <c r="Q54" s="2"/>
      <c r="R54" s="6">
        <f t="shared" si="42"/>
        <v>0</v>
      </c>
      <c r="S54" s="2"/>
      <c r="T54" s="7">
        <v>354.08</v>
      </c>
      <c r="U54" s="2"/>
      <c r="V54" s="6">
        <f t="shared" si="43"/>
        <v>7.2913732457629958E-4</v>
      </c>
      <c r="W54" s="2"/>
      <c r="X54" s="7">
        <f t="shared" si="44"/>
        <v>-840.31999999999994</v>
      </c>
      <c r="Y54" s="2"/>
      <c r="Z54" s="6">
        <f t="shared" si="45"/>
        <v>-2.3732489832806145</v>
      </c>
    </row>
    <row r="55" spans="1:26" s="24" customFormat="1" hidden="1" outlineLevel="2" x14ac:dyDescent="0.25">
      <c r="A55" s="27"/>
      <c r="B55" s="11" t="str">
        <f>CONCATENATE("          ", "6286", " - ", "LAUNDRY EXPENSE")</f>
        <v xml:space="preserve">          6286 - LAUNDRY EXPENSE</v>
      </c>
      <c r="C55" s="11"/>
      <c r="D55" s="7"/>
      <c r="E55" s="2"/>
      <c r="F55" s="6">
        <f t="shared" si="38"/>
        <v>0</v>
      </c>
      <c r="G55" s="2"/>
      <c r="H55" s="7">
        <v>232.77</v>
      </c>
      <c r="I55" s="2"/>
      <c r="J55" s="6">
        <f t="shared" si="39"/>
        <v>3.2992148472463672E-3</v>
      </c>
      <c r="K55" s="2"/>
      <c r="L55" s="7">
        <f t="shared" si="40"/>
        <v>-232.77</v>
      </c>
      <c r="M55" s="2"/>
      <c r="N55" s="6">
        <f t="shared" si="41"/>
        <v>-1</v>
      </c>
      <c r="O55" s="11"/>
      <c r="P55" s="7"/>
      <c r="Q55" s="2"/>
      <c r="R55" s="6">
        <f t="shared" si="42"/>
        <v>0</v>
      </c>
      <c r="S55" s="2"/>
      <c r="T55" s="7">
        <v>1756.11</v>
      </c>
      <c r="U55" s="2"/>
      <c r="V55" s="6">
        <f t="shared" si="43"/>
        <v>3.6162600176843805E-3</v>
      </c>
      <c r="W55" s="2"/>
      <c r="X55" s="7">
        <f t="shared" si="44"/>
        <v>-1756.11</v>
      </c>
      <c r="Y55" s="2"/>
      <c r="Z55" s="6">
        <f t="shared" si="45"/>
        <v>-1</v>
      </c>
    </row>
    <row r="56" spans="1:26" s="25" customFormat="1" outlineLevel="1" collapsed="1" x14ac:dyDescent="0.25">
      <c r="A56" s="26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SUM(OSRRefD22_10x_0)</f>
        <v>0</v>
      </c>
      <c r="E56" s="1"/>
      <c r="F56" s="5">
        <f t="shared" ref="F56:F61" si="46">IF(D$12=0,0,D56/D$12)</f>
        <v>0</v>
      </c>
      <c r="G56" s="1"/>
      <c r="H56" s="1">
        <f>SUM(OSRRefH22_10x_0)</f>
        <v>1287.51</v>
      </c>
      <c r="I56" s="1"/>
      <c r="J56" s="5">
        <f t="shared" ref="J56:J61" si="47">IF(H$12=0,0,H56/H$12)</f>
        <v>1.8248795411686086E-2</v>
      </c>
      <c r="K56" s="1"/>
      <c r="L56" s="1">
        <f t="shared" ref="L56:L61" si="48">+D56-H56</f>
        <v>-1287.51</v>
      </c>
      <c r="M56" s="1"/>
      <c r="N56" s="5">
        <f t="shared" ref="N56:N61" si="49">IF(H56=0,0,L56/H56)</f>
        <v>-1</v>
      </c>
      <c r="O56" s="13"/>
      <c r="P56" s="1">
        <f>SUM(OSRRefP22_10x_0)</f>
        <v>131.30000000000001</v>
      </c>
      <c r="Q56" s="1"/>
      <c r="R56" s="5">
        <f t="shared" ref="R56:R61" si="50">IF(P$12=0,0,P56/P$12)</f>
        <v>0</v>
      </c>
      <c r="S56" s="1"/>
      <c r="T56" s="1">
        <f>SUM(OSRRefT22_10x_0)</f>
        <v>12068.64</v>
      </c>
      <c r="U56" s="1"/>
      <c r="V56" s="5">
        <f t="shared" ref="V56:V61" si="51">IF(T$12=0,0,T56/T$12)</f>
        <v>2.4852281633739585E-2</v>
      </c>
      <c r="W56" s="1"/>
      <c r="X56" s="1">
        <f t="shared" ref="X56:X61" si="52">+P56-T56</f>
        <v>-11937.34</v>
      </c>
      <c r="Y56" s="1"/>
      <c r="Z56" s="5">
        <f t="shared" ref="Z56:Z61" si="53">IF(T56=0,0,X56/T56)</f>
        <v>-0.98912056370891843</v>
      </c>
    </row>
    <row r="57" spans="1:26" s="24" customFormat="1" hidden="1" outlineLevel="2" x14ac:dyDescent="0.25">
      <c r="A57" s="27"/>
      <c r="B57" s="11" t="str">
        <f>CONCATENATE("          ", "6234", " - ", "EXPENDABLE SUPPLIES &amp; EQUIPMEN")</f>
        <v xml:space="preserve">          6234 - EXPENDABLE SUPPLIES &amp; EQUIPMEN</v>
      </c>
      <c r="C57" s="11"/>
      <c r="D57" s="7"/>
      <c r="E57" s="2"/>
      <c r="F57" s="6">
        <f t="shared" si="46"/>
        <v>0</v>
      </c>
      <c r="G57" s="2"/>
      <c r="H57" s="7"/>
      <c r="I57" s="2"/>
      <c r="J57" s="6">
        <f t="shared" si="47"/>
        <v>0</v>
      </c>
      <c r="K57" s="2"/>
      <c r="L57" s="7">
        <f t="shared" si="48"/>
        <v>0</v>
      </c>
      <c r="M57" s="2"/>
      <c r="N57" s="6">
        <f t="shared" si="49"/>
        <v>0</v>
      </c>
      <c r="O57" s="11"/>
      <c r="P57" s="7"/>
      <c r="Q57" s="2"/>
      <c r="R57" s="6">
        <f t="shared" si="50"/>
        <v>0</v>
      </c>
      <c r="S57" s="2"/>
      <c r="T57" s="7">
        <v>354.71</v>
      </c>
      <c r="U57" s="2"/>
      <c r="V57" s="6">
        <f t="shared" si="51"/>
        <v>7.304346486682649E-4</v>
      </c>
      <c r="W57" s="2"/>
      <c r="X57" s="7">
        <f t="shared" si="52"/>
        <v>-354.71</v>
      </c>
      <c r="Y57" s="2"/>
      <c r="Z57" s="6">
        <f t="shared" si="53"/>
        <v>-1</v>
      </c>
    </row>
    <row r="58" spans="1:26" s="24" customFormat="1" hidden="1" outlineLevel="2" x14ac:dyDescent="0.25">
      <c r="A58" s="27"/>
      <c r="B58" s="11" t="str">
        <f>CONCATENATE("          ", "6237", " - ", "JANITORIAL SUPPLIES")</f>
        <v xml:space="preserve">          6237 - JANITORIAL SUPPLIES</v>
      </c>
      <c r="C58" s="11"/>
      <c r="D58" s="7"/>
      <c r="E58" s="2"/>
      <c r="F58" s="6">
        <f t="shared" si="46"/>
        <v>0</v>
      </c>
      <c r="G58" s="2"/>
      <c r="H58" s="7">
        <v>57.1</v>
      </c>
      <c r="I58" s="2"/>
      <c r="J58" s="6">
        <f t="shared" si="47"/>
        <v>8.0931893189744198E-4</v>
      </c>
      <c r="K58" s="2"/>
      <c r="L58" s="7">
        <f t="shared" si="48"/>
        <v>-57.1</v>
      </c>
      <c r="M58" s="2"/>
      <c r="N58" s="6">
        <f t="shared" si="49"/>
        <v>-1</v>
      </c>
      <c r="O58" s="11"/>
      <c r="P58" s="7"/>
      <c r="Q58" s="2"/>
      <c r="R58" s="6">
        <f t="shared" si="50"/>
        <v>0</v>
      </c>
      <c r="S58" s="2"/>
      <c r="T58" s="7">
        <v>1241.78</v>
      </c>
      <c r="U58" s="2"/>
      <c r="V58" s="6">
        <f t="shared" si="51"/>
        <v>2.5571287474931014E-3</v>
      </c>
      <c r="W58" s="2"/>
      <c r="X58" s="7">
        <f t="shared" si="52"/>
        <v>-1241.78</v>
      </c>
      <c r="Y58" s="2"/>
      <c r="Z58" s="6">
        <f t="shared" si="53"/>
        <v>-1</v>
      </c>
    </row>
    <row r="59" spans="1:26" s="24" customFormat="1" hidden="1" outlineLevel="2" x14ac:dyDescent="0.25">
      <c r="A59" s="27"/>
      <c r="B59" s="11" t="str">
        <f>CONCATENATE("          ", "6241", " - ", "OFFICE EXPENSE")</f>
        <v xml:space="preserve">          6241 - OFFICE EXPENSE</v>
      </c>
      <c r="C59" s="11"/>
      <c r="D59" s="7"/>
      <c r="E59" s="2"/>
      <c r="F59" s="6">
        <f t="shared" si="46"/>
        <v>0</v>
      </c>
      <c r="G59" s="2"/>
      <c r="H59" s="7">
        <v>95</v>
      </c>
      <c r="I59" s="2"/>
      <c r="J59" s="6">
        <f t="shared" si="47"/>
        <v>1.3465026012304201E-3</v>
      </c>
      <c r="K59" s="2"/>
      <c r="L59" s="7">
        <f t="shared" si="48"/>
        <v>-95</v>
      </c>
      <c r="M59" s="2"/>
      <c r="N59" s="6">
        <f t="shared" si="49"/>
        <v>-1</v>
      </c>
      <c r="O59" s="11"/>
      <c r="P59" s="7">
        <v>131.30000000000001</v>
      </c>
      <c r="Q59" s="2"/>
      <c r="R59" s="6">
        <f t="shared" si="50"/>
        <v>0</v>
      </c>
      <c r="S59" s="2"/>
      <c r="T59" s="7">
        <v>1102.25</v>
      </c>
      <c r="U59" s="2"/>
      <c r="V59" s="6">
        <f t="shared" si="51"/>
        <v>2.2698023497916466E-3</v>
      </c>
      <c r="W59" s="2"/>
      <c r="X59" s="7">
        <f t="shared" si="52"/>
        <v>-970.95</v>
      </c>
      <c r="Y59" s="2"/>
      <c r="Z59" s="6">
        <f t="shared" si="53"/>
        <v>-0.88088001814470407</v>
      </c>
    </row>
    <row r="60" spans="1:26" s="24" customFormat="1" hidden="1" outlineLevel="2" x14ac:dyDescent="0.25">
      <c r="A60" s="27"/>
      <c r="B60" s="11" t="str">
        <f>CONCATENATE("          ", "6243", " - ", "PAPER SUPPLIES")</f>
        <v xml:space="preserve">          6243 - PAPER SUPPLIES</v>
      </c>
      <c r="C60" s="11"/>
      <c r="D60" s="7"/>
      <c r="E60" s="2"/>
      <c r="F60" s="6">
        <f t="shared" si="46"/>
        <v>0</v>
      </c>
      <c r="G60" s="2"/>
      <c r="H60" s="7">
        <v>334.75</v>
      </c>
      <c r="I60" s="2"/>
      <c r="J60" s="6">
        <f t="shared" si="47"/>
        <v>4.7446499553882434E-3</v>
      </c>
      <c r="K60" s="2"/>
      <c r="L60" s="7">
        <f t="shared" si="48"/>
        <v>-334.75</v>
      </c>
      <c r="M60" s="2"/>
      <c r="N60" s="6">
        <f t="shared" si="49"/>
        <v>-1</v>
      </c>
      <c r="O60" s="11"/>
      <c r="P60" s="7"/>
      <c r="Q60" s="2"/>
      <c r="R60" s="6">
        <f t="shared" si="50"/>
        <v>0</v>
      </c>
      <c r="S60" s="2"/>
      <c r="T60" s="7">
        <v>1971.29</v>
      </c>
      <c r="U60" s="2"/>
      <c r="V60" s="6">
        <f t="shared" si="51"/>
        <v>4.0593682686511914E-3</v>
      </c>
      <c r="W60" s="2"/>
      <c r="X60" s="7">
        <f t="shared" si="52"/>
        <v>-1971.29</v>
      </c>
      <c r="Y60" s="2"/>
      <c r="Z60" s="6">
        <f t="shared" si="53"/>
        <v>-1</v>
      </c>
    </row>
    <row r="61" spans="1:26" s="24" customFormat="1" hidden="1" outlineLevel="2" x14ac:dyDescent="0.25">
      <c r="A61" s="27"/>
      <c r="B61" s="11" t="str">
        <f>CONCATENATE("          ", "6247", " - ", "STORE SUPPLIES")</f>
        <v xml:space="preserve">          6247 - STORE SUPPLIES</v>
      </c>
      <c r="C61" s="11"/>
      <c r="D61" s="7"/>
      <c r="E61" s="2"/>
      <c r="F61" s="6">
        <f t="shared" si="46"/>
        <v>0</v>
      </c>
      <c r="G61" s="2"/>
      <c r="H61" s="7">
        <v>800.66</v>
      </c>
      <c r="I61" s="2"/>
      <c r="J61" s="6">
        <f t="shared" si="47"/>
        <v>1.134832392316998E-2</v>
      </c>
      <c r="K61" s="2"/>
      <c r="L61" s="7">
        <f t="shared" si="48"/>
        <v>-800.66</v>
      </c>
      <c r="M61" s="2"/>
      <c r="N61" s="6">
        <f t="shared" si="49"/>
        <v>-1</v>
      </c>
      <c r="O61" s="11"/>
      <c r="P61" s="7"/>
      <c r="Q61" s="2"/>
      <c r="R61" s="6">
        <f t="shared" si="50"/>
        <v>0</v>
      </c>
      <c r="S61" s="2"/>
      <c r="T61" s="7">
        <v>7398.61</v>
      </c>
      <c r="U61" s="2"/>
      <c r="V61" s="6">
        <f t="shared" si="51"/>
        <v>1.5235547619135382E-2</v>
      </c>
      <c r="W61" s="2"/>
      <c r="X61" s="7">
        <f t="shared" si="52"/>
        <v>-7398.61</v>
      </c>
      <c r="Y61" s="2"/>
      <c r="Z61" s="6">
        <f t="shared" si="53"/>
        <v>-1</v>
      </c>
    </row>
    <row r="62" spans="1:26" s="25" customFormat="1" outlineLevel="1" collapsed="1" x14ac:dyDescent="0.25">
      <c r="A62" s="26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SUM(OSRRefD22_11x_0)</f>
        <v>0</v>
      </c>
      <c r="E62" s="1"/>
      <c r="F62" s="5">
        <f t="shared" ref="F62:F65" si="54">IF(D$12=0,0,D62/D$12)</f>
        <v>0</v>
      </c>
      <c r="G62" s="1"/>
      <c r="H62" s="1">
        <f>SUM(OSRRefH22_11x_0)</f>
        <v>36</v>
      </c>
      <c r="I62" s="1"/>
      <c r="J62" s="5">
        <f t="shared" ref="J62:J65" si="55">IF(H$12=0,0,H62/H$12)</f>
        <v>5.1025361730836969E-4</v>
      </c>
      <c r="K62" s="1"/>
      <c r="L62" s="1">
        <f t="shared" ref="L62:L65" si="56">+D62-H62</f>
        <v>-36</v>
      </c>
      <c r="M62" s="1"/>
      <c r="N62" s="5">
        <f t="shared" ref="N62:N65" si="57">IF(H62=0,0,L62/H62)</f>
        <v>-1</v>
      </c>
      <c r="O62" s="13"/>
      <c r="P62" s="1">
        <f>SUM(OSRRefP22_11x_0)</f>
        <v>85.2</v>
      </c>
      <c r="Q62" s="1"/>
      <c r="R62" s="5">
        <f t="shared" ref="R62:R65" si="58">IF(P$12=0,0,P62/P$12)</f>
        <v>0</v>
      </c>
      <c r="S62" s="1"/>
      <c r="T62" s="1">
        <f>SUM(OSRRefT22_11x_0)</f>
        <v>231</v>
      </c>
      <c r="U62" s="1"/>
      <c r="V62" s="5">
        <f t="shared" ref="V62:V65" si="59">IF(T$12=0,0,T62/T$12)</f>
        <v>4.7568550038727187E-4</v>
      </c>
      <c r="W62" s="1"/>
      <c r="X62" s="1">
        <f t="shared" ref="X62:X65" si="60">+P62-T62</f>
        <v>-145.80000000000001</v>
      </c>
      <c r="Y62" s="1"/>
      <c r="Z62" s="5">
        <f t="shared" ref="Z62:Z65" si="61">IF(T62=0,0,X62/T62)</f>
        <v>-0.63116883116883127</v>
      </c>
    </row>
    <row r="63" spans="1:26" s="24" customFormat="1" hidden="1" outlineLevel="2" x14ac:dyDescent="0.25">
      <c r="A63" s="27"/>
      <c r="B63" s="11" t="str">
        <f>CONCATENATE("          ", "6309", " - ", "TELEPHONE")</f>
        <v xml:space="preserve">          6309 - TELEPHONE</v>
      </c>
      <c r="C63" s="11"/>
      <c r="D63" s="7"/>
      <c r="E63" s="2"/>
      <c r="F63" s="6">
        <f t="shared" si="54"/>
        <v>0</v>
      </c>
      <c r="G63" s="2"/>
      <c r="H63" s="7">
        <v>36</v>
      </c>
      <c r="I63" s="2"/>
      <c r="J63" s="6">
        <f t="shared" si="55"/>
        <v>5.1025361730836969E-4</v>
      </c>
      <c r="K63" s="2"/>
      <c r="L63" s="7">
        <f t="shared" si="56"/>
        <v>-36</v>
      </c>
      <c r="M63" s="2"/>
      <c r="N63" s="6">
        <f t="shared" si="57"/>
        <v>-1</v>
      </c>
      <c r="O63" s="11"/>
      <c r="P63" s="7">
        <v>85.2</v>
      </c>
      <c r="Q63" s="2"/>
      <c r="R63" s="6">
        <f t="shared" si="58"/>
        <v>0</v>
      </c>
      <c r="S63" s="2"/>
      <c r="T63" s="7">
        <v>231</v>
      </c>
      <c r="U63" s="2"/>
      <c r="V63" s="6">
        <f t="shared" si="59"/>
        <v>4.7568550038727187E-4</v>
      </c>
      <c r="W63" s="2"/>
      <c r="X63" s="7">
        <f t="shared" si="60"/>
        <v>-145.80000000000001</v>
      </c>
      <c r="Y63" s="2"/>
      <c r="Z63" s="6">
        <f t="shared" si="61"/>
        <v>-0.63116883116883127</v>
      </c>
    </row>
    <row r="64" spans="1:26" s="25" customFormat="1" outlineLevel="1" collapsed="1" x14ac:dyDescent="0.25">
      <c r="A64" s="26"/>
      <c r="B64" s="13" t="str">
        <f>CONCATENATE("     ","Utilities                                         ")</f>
        <v xml:space="preserve">     Utilities                                         </v>
      </c>
      <c r="C64" s="13"/>
      <c r="D64" s="1">
        <f>SUM(OSRRefD22_12x_0)</f>
        <v>208</v>
      </c>
      <c r="E64" s="1"/>
      <c r="F64" s="5">
        <f t="shared" si="54"/>
        <v>0</v>
      </c>
      <c r="G64" s="1"/>
      <c r="H64" s="1">
        <f>SUM(OSRRefH22_12x_0)</f>
        <v>457</v>
      </c>
      <c r="I64" s="1"/>
      <c r="J64" s="5">
        <f t="shared" si="55"/>
        <v>6.4773861974979155E-3</v>
      </c>
      <c r="K64" s="1"/>
      <c r="L64" s="1">
        <f t="shared" si="56"/>
        <v>-249</v>
      </c>
      <c r="M64" s="1"/>
      <c r="N64" s="5">
        <f t="shared" si="57"/>
        <v>-0.5448577680525164</v>
      </c>
      <c r="O64" s="13"/>
      <c r="P64" s="1">
        <f>SUM(OSRRefP22_12x_0)</f>
        <v>624</v>
      </c>
      <c r="Q64" s="1"/>
      <c r="R64" s="5">
        <f t="shared" si="58"/>
        <v>0</v>
      </c>
      <c r="S64" s="1"/>
      <c r="T64" s="1">
        <f>SUM(OSRRefT22_12x_0)</f>
        <v>1185</v>
      </c>
      <c r="U64" s="1"/>
      <c r="V64" s="5">
        <f t="shared" si="59"/>
        <v>2.4402048396489919E-3</v>
      </c>
      <c r="W64" s="1"/>
      <c r="X64" s="1">
        <f t="shared" si="60"/>
        <v>-561</v>
      </c>
      <c r="Y64" s="1"/>
      <c r="Z64" s="5">
        <f t="shared" si="61"/>
        <v>-0.47341772151898737</v>
      </c>
    </row>
    <row r="65" spans="1:26" s="24" customFormat="1" hidden="1" outlineLevel="2" x14ac:dyDescent="0.25">
      <c r="A65" s="27"/>
      <c r="B65" s="11" t="str">
        <f>CONCATENATE("          ", "6274", " - ", "UTILITIES")</f>
        <v xml:space="preserve">          6274 - UTILITIES</v>
      </c>
      <c r="C65" s="11"/>
      <c r="D65" s="7">
        <v>208</v>
      </c>
      <c r="E65" s="2"/>
      <c r="F65" s="6">
        <f t="shared" si="54"/>
        <v>0</v>
      </c>
      <c r="G65" s="2"/>
      <c r="H65" s="7">
        <v>457</v>
      </c>
      <c r="I65" s="2"/>
      <c r="J65" s="6">
        <f t="shared" si="55"/>
        <v>6.4773861974979155E-3</v>
      </c>
      <c r="K65" s="2"/>
      <c r="L65" s="7">
        <f t="shared" si="56"/>
        <v>-249</v>
      </c>
      <c r="M65" s="2"/>
      <c r="N65" s="6">
        <f t="shared" si="57"/>
        <v>-0.5448577680525164</v>
      </c>
      <c r="O65" s="11"/>
      <c r="P65" s="7">
        <v>624</v>
      </c>
      <c r="Q65" s="2"/>
      <c r="R65" s="6">
        <f t="shared" si="58"/>
        <v>0</v>
      </c>
      <c r="S65" s="2"/>
      <c r="T65" s="7">
        <v>1185</v>
      </c>
      <c r="U65" s="2"/>
      <c r="V65" s="6">
        <f t="shared" si="59"/>
        <v>2.4402048396489919E-3</v>
      </c>
      <c r="W65" s="2"/>
      <c r="X65" s="7">
        <f t="shared" si="60"/>
        <v>-561</v>
      </c>
      <c r="Y65" s="2"/>
      <c r="Z65" s="6">
        <f t="shared" si="61"/>
        <v>-0.47341772151898737</v>
      </c>
    </row>
    <row r="66" spans="1:26" s="55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9" t="s">
        <v>0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8" t="s">
        <v>3</v>
      </c>
      <c r="C69" s="28"/>
      <c r="D69" s="20">
        <f>+D20-D22+D67</f>
        <v>-2297.69</v>
      </c>
      <c r="E69" s="14"/>
      <c r="F69" s="21">
        <f>IF(D$12=0,0,D69/D$12)</f>
        <v>0</v>
      </c>
      <c r="G69" s="14"/>
      <c r="H69" s="20">
        <f>+H20-H22+H67</f>
        <v>6843.6299999999937</v>
      </c>
      <c r="I69" s="14"/>
      <c r="J69" s="21">
        <f>IF(H$12=0,0,H69/H$12)</f>
        <v>9.699963786166875E-2</v>
      </c>
      <c r="K69" s="15"/>
      <c r="L69" s="20">
        <f>+D69-H69</f>
        <v>-9141.3199999999943</v>
      </c>
      <c r="M69" s="15"/>
      <c r="N69" s="21">
        <f>IF(H69=0,0,L69/H69)</f>
        <v>-1.3357414120868607</v>
      </c>
      <c r="O69" s="29"/>
      <c r="P69" s="20">
        <f>+P20-P22+P67</f>
        <v>-14567.96</v>
      </c>
      <c r="Q69" s="14"/>
      <c r="R69" s="21">
        <f>IF(P$12=0,0,P69/P$12)</f>
        <v>0</v>
      </c>
      <c r="S69" s="14"/>
      <c r="T69" s="20">
        <f>+T20-T22+T67</f>
        <v>65606.859999999986</v>
      </c>
      <c r="U69" s="14"/>
      <c r="V69" s="21">
        <f>IF(T$12=0,0,T69/T$12)</f>
        <v>0.13510057154951377</v>
      </c>
      <c r="W69" s="15"/>
      <c r="X69" s="20">
        <f>+P69-T69</f>
        <v>-80174.819999999978</v>
      </c>
      <c r="Y69" s="15"/>
      <c r="Z69" s="21">
        <f>IF(T69=0,0,X69/T69)</f>
        <v>-1.2220493405720072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/>
      <c r="E71" s="4"/>
      <c r="F71" s="12">
        <f>IF(D$12=0,0,D71/D$12)</f>
        <v>0</v>
      </c>
      <c r="G71" s="4"/>
      <c r="H71" s="4">
        <v>8497.92</v>
      </c>
      <c r="I71" s="4"/>
      <c r="J71" s="12">
        <f>IF(H$12=0,0,H71/H$12)</f>
        <v>0.1204470672110317</v>
      </c>
      <c r="K71" s="4"/>
      <c r="L71" s="4">
        <f>+D71-H71</f>
        <v>-8497.92</v>
      </c>
      <c r="M71" s="4"/>
      <c r="N71" s="12">
        <f>IF(H71=0,0,L71/H71)</f>
        <v>-1</v>
      </c>
      <c r="O71" s="10"/>
      <c r="P71" s="4"/>
      <c r="Q71" s="4"/>
      <c r="R71" s="12">
        <f>IF(P$12=0,0,P71/P$12)</f>
        <v>0</v>
      </c>
      <c r="S71" s="4"/>
      <c r="T71" s="4">
        <v>52450.16</v>
      </c>
      <c r="U71" s="4"/>
      <c r="V71" s="12">
        <f>IF(T$12=0,0,T71/T$12)</f>
        <v>0.10800770824672067</v>
      </c>
      <c r="W71" s="4"/>
      <c r="X71" s="4">
        <f>+P71-T71</f>
        <v>-52450.16</v>
      </c>
      <c r="Y71" s="4"/>
      <c r="Z71" s="12">
        <f>IF(T71=0,0,X71/T71)</f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8" t="s">
        <v>4</v>
      </c>
      <c r="C73" s="28"/>
      <c r="D73" s="33">
        <f>+D69-D71</f>
        <v>-2297.69</v>
      </c>
      <c r="E73" s="14"/>
      <c r="F73" s="34">
        <f>IF(D$12=0,0,D73/D$12)</f>
        <v>0</v>
      </c>
      <c r="G73" s="14"/>
      <c r="H73" s="33">
        <f>+H69-H71</f>
        <v>-1654.2900000000063</v>
      </c>
      <c r="I73" s="14"/>
      <c r="J73" s="34">
        <f>IF(H$12=0,0,H73/H$12)</f>
        <v>-2.3447429349362947E-2</v>
      </c>
      <c r="K73" s="15"/>
      <c r="L73" s="33">
        <f>D73-H73</f>
        <v>-643.39999999999372</v>
      </c>
      <c r="M73" s="15"/>
      <c r="N73" s="34">
        <f>IF(H73=0,0,L73/H73)</f>
        <v>0.38892818066964757</v>
      </c>
      <c r="O73" s="29"/>
      <c r="P73" s="33">
        <f>+P69-P71</f>
        <v>-14567.96</v>
      </c>
      <c r="Q73" s="14"/>
      <c r="R73" s="34">
        <f>IF(P$12=0,0,P73/P$12)</f>
        <v>0</v>
      </c>
      <c r="S73" s="14"/>
      <c r="T73" s="33">
        <f>+T69-T71</f>
        <v>13156.699999999983</v>
      </c>
      <c r="U73" s="14"/>
      <c r="V73" s="34">
        <f>IF(T$12=0,0,T73/T$12)</f>
        <v>2.7092863302793122E-2</v>
      </c>
      <c r="W73" s="15"/>
      <c r="X73" s="33">
        <f>P73-T73</f>
        <v>-27724.659999999982</v>
      </c>
      <c r="Y73" s="15"/>
      <c r="Z73" s="34">
        <f>IF(T73=0,0,X73/T73)</f>
        <v>-2.107265499707375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8" t="s">
        <v>5</v>
      </c>
      <c r="C76" s="28"/>
      <c r="D76" s="30">
        <f>SUM(D73:D75)</f>
        <v>-2297.69</v>
      </c>
      <c r="E76" s="14"/>
      <c r="F76" s="32">
        <f>IF(D$12=0,0,D76/D$12)</f>
        <v>0</v>
      </c>
      <c r="G76" s="14"/>
      <c r="H76" s="30">
        <f>SUM(H73:H75)</f>
        <v>-1654.2900000000063</v>
      </c>
      <c r="I76" s="14"/>
      <c r="J76" s="32">
        <f>IF(H$12=0,0,H76/H$12)</f>
        <v>-2.3447429349362947E-2</v>
      </c>
      <c r="K76" s="15"/>
      <c r="L76" s="30">
        <f>+D76-H76</f>
        <v>-643.39999999999372</v>
      </c>
      <c r="M76" s="15"/>
      <c r="N76" s="32">
        <f>IF(H76=0,0,L76/H76)</f>
        <v>0.38892818066964757</v>
      </c>
      <c r="O76" s="29"/>
      <c r="P76" s="30">
        <f>SUM(P73:P75)</f>
        <v>-14567.96</v>
      </c>
      <c r="Q76" s="14"/>
      <c r="R76" s="32">
        <f>IF(P$12=0,0,P76/P$12)</f>
        <v>0</v>
      </c>
      <c r="S76" s="14"/>
      <c r="T76" s="30">
        <f>SUM(T73:T75)</f>
        <v>13156.699999999983</v>
      </c>
      <c r="U76" s="14"/>
      <c r="V76" s="32">
        <f>IF(T$12=0,0,T76/T$12)</f>
        <v>2.7092863302793122E-2</v>
      </c>
      <c r="W76" s="15"/>
      <c r="X76" s="30">
        <f>+P76-T76</f>
        <v>-27724.659999999982</v>
      </c>
      <c r="Y76" s="15"/>
      <c r="Z76" s="32">
        <f>IF(T76=0,0,X76/T76)</f>
        <v>-2.107265499707375</v>
      </c>
    </row>
    <row r="77" spans="1:26" ht="15.75" thickTop="1" x14ac:dyDescent="0.25">
      <c r="A77" s="9"/>
      <c r="C77" s="9"/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58">
        <v>44209.521898182873</v>
      </c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61" t="s">
        <v>313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7"/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4:24" x14ac:dyDescent="0.25"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","323", " - ", "Library Copy Center")</f>
        <v>Department 323 - Library Copy Center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SUM(0)</f>
        <v>0</v>
      </c>
      <c r="E18" s="22"/>
      <c r="F18" s="36">
        <f>IF(D$12=0,0,D18/D$12)</f>
        <v>0</v>
      </c>
      <c r="G18" s="22"/>
      <c r="H18" s="22">
        <f>SUM(0)</f>
        <v>0</v>
      </c>
      <c r="I18" s="22"/>
      <c r="J18" s="36">
        <f>IF(H$12=0,0,H18/H$12)</f>
        <v>0</v>
      </c>
      <c r="K18" s="4"/>
      <c r="L18" s="22">
        <f>+D18-H18</f>
        <v>0</v>
      </c>
      <c r="M18" s="4"/>
      <c r="N18" s="36">
        <f>IF(H18=0,0,L18/H18)</f>
        <v>0</v>
      </c>
      <c r="O18" s="10"/>
      <c r="P18" s="22">
        <f>SUM(0)</f>
        <v>0</v>
      </c>
      <c r="Q18" s="22"/>
      <c r="R18" s="36">
        <f>IF(P$12=0,0,P18/P$12)</f>
        <v>0</v>
      </c>
      <c r="S18" s="22"/>
      <c r="T18" s="22">
        <f>SUM(0)</f>
        <v>0</v>
      </c>
      <c r="U18" s="22"/>
      <c r="V18" s="36">
        <f>IF(T$12=0,0,T18/T$12)</f>
        <v>0</v>
      </c>
      <c r="W18" s="4"/>
      <c r="X18" s="22">
        <f>+P18-T18</f>
        <v>0</v>
      </c>
      <c r="Y18" s="4"/>
      <c r="Z18" s="36">
        <f>IF(T18=0,0,X18/T18)</f>
        <v>0</v>
      </c>
    </row>
    <row r="19" spans="1:26" s="55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1">
        <f>IF(D$12=0,0,D22/D$12)</f>
        <v>0</v>
      </c>
      <c r="G22" s="14"/>
      <c r="H22" s="20">
        <f>+H16-H18+H20</f>
        <v>0</v>
      </c>
      <c r="I22" s="14"/>
      <c r="J22" s="21">
        <f>IF(H$12=0,0,H22/H$12)</f>
        <v>0</v>
      </c>
      <c r="K22" s="15"/>
      <c r="L22" s="20">
        <f>+D22-H22</f>
        <v>0</v>
      </c>
      <c r="M22" s="15"/>
      <c r="N22" s="21">
        <f>IF(H22=0,0,L22/H22)</f>
        <v>0</v>
      </c>
      <c r="O22" s="29"/>
      <c r="P22" s="20">
        <f>+P16-P18+P20</f>
        <v>0</v>
      </c>
      <c r="Q22" s="14"/>
      <c r="R22" s="21">
        <f>IF(P$12=0,0,P22/P$12)</f>
        <v>0</v>
      </c>
      <c r="S22" s="14"/>
      <c r="T22" s="20">
        <f>+T16-T18+T20</f>
        <v>0</v>
      </c>
      <c r="U22" s="14"/>
      <c r="V22" s="21">
        <f>IF(T$12=0,0,T22/T$12)</f>
        <v>0</v>
      </c>
      <c r="W22" s="15"/>
      <c r="X22" s="20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3">
        <f>+D22-D24</f>
        <v>0</v>
      </c>
      <c r="E26" s="14"/>
      <c r="F26" s="34">
        <f>IF(D$12=0,0,D26/D$12)</f>
        <v>0</v>
      </c>
      <c r="G26" s="14"/>
      <c r="H26" s="33">
        <f>+H22-H24</f>
        <v>0</v>
      </c>
      <c r="I26" s="14"/>
      <c r="J26" s="34">
        <f>IF(H$12=0,0,H26/H$12)</f>
        <v>0</v>
      </c>
      <c r="K26" s="15"/>
      <c r="L26" s="33">
        <f>D26-H26</f>
        <v>0</v>
      </c>
      <c r="M26" s="15"/>
      <c r="N26" s="34">
        <f>IF(H26=0,0,L26/H26)</f>
        <v>0</v>
      </c>
      <c r="O26" s="29"/>
      <c r="P26" s="33">
        <f>+P22-P24</f>
        <v>0</v>
      </c>
      <c r="Q26" s="14"/>
      <c r="R26" s="34">
        <f>IF(P$12=0,0,P26/P$12)</f>
        <v>0</v>
      </c>
      <c r="S26" s="14"/>
      <c r="T26" s="33">
        <f>+T22-T24</f>
        <v>0</v>
      </c>
      <c r="U26" s="14"/>
      <c r="V26" s="34">
        <f>IF(T$12=0,0,T26/T$12)</f>
        <v>0</v>
      </c>
      <c r="W26" s="15"/>
      <c r="X26" s="33">
        <f>P26-T26</f>
        <v>0</v>
      </c>
      <c r="Y26" s="15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8" t="s">
        <v>5</v>
      </c>
      <c r="C29" s="28"/>
      <c r="D29" s="30">
        <f>SUM(D26:D28)</f>
        <v>0</v>
      </c>
      <c r="E29" s="14"/>
      <c r="F29" s="32">
        <f>IF(D$12=0,0,D29/D$12)</f>
        <v>0</v>
      </c>
      <c r="G29" s="14"/>
      <c r="H29" s="30">
        <f>SUM(H26:H28)</f>
        <v>0</v>
      </c>
      <c r="I29" s="14"/>
      <c r="J29" s="32">
        <f>IF(H$12=0,0,H29/H$12)</f>
        <v>0</v>
      </c>
      <c r="K29" s="15"/>
      <c r="L29" s="30">
        <f>+D29-H29</f>
        <v>0</v>
      </c>
      <c r="M29" s="15"/>
      <c r="N29" s="32">
        <f>IF(H29=0,0,L29/H29)</f>
        <v>0</v>
      </c>
      <c r="O29" s="29"/>
      <c r="P29" s="30">
        <f>SUM(P26:P28)</f>
        <v>0</v>
      </c>
      <c r="Q29" s="14"/>
      <c r="R29" s="32">
        <f>IF(P$12=0,0,P29/P$12)</f>
        <v>0</v>
      </c>
      <c r="S29" s="14"/>
      <c r="T29" s="30">
        <f>SUM(T26:T28)</f>
        <v>0</v>
      </c>
      <c r="U29" s="14"/>
      <c r="V29" s="32">
        <f>IF(T$12=0,0,T29/T$12)</f>
        <v>0</v>
      </c>
      <c r="W29" s="15"/>
      <c r="X29" s="30">
        <f>+P29-T29</f>
        <v>0</v>
      </c>
      <c r="Y29" s="15"/>
      <c r="Z29" s="32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3"/>
      <c r="K30" s="17"/>
      <c r="L30" s="17"/>
      <c r="M30" s="17"/>
      <c r="P30" s="17"/>
      <c r="Q30" s="17"/>
      <c r="R30" s="43"/>
      <c r="S30" s="17"/>
      <c r="T30" s="17"/>
      <c r="U30" s="17"/>
      <c r="V30" s="43"/>
      <c r="W30" s="17"/>
      <c r="X30" s="17"/>
    </row>
    <row r="31" spans="1:26" x14ac:dyDescent="0.25">
      <c r="A31" s="9"/>
      <c r="B31" s="58">
        <v>44209.521910613425</v>
      </c>
      <c r="D31" s="17"/>
      <c r="E31" s="17"/>
      <c r="G31" s="17"/>
      <c r="H31" s="17"/>
      <c r="I31" s="17"/>
      <c r="J31" s="43"/>
      <c r="K31" s="17"/>
      <c r="L31" s="17"/>
      <c r="M31" s="17"/>
      <c r="P31" s="17"/>
      <c r="Q31" s="17"/>
      <c r="R31" s="43"/>
      <c r="S31" s="17"/>
      <c r="T31" s="17"/>
      <c r="U31" s="17"/>
      <c r="V31" s="43"/>
      <c r="W31" s="17"/>
      <c r="X31" s="17"/>
    </row>
    <row r="32" spans="1:26" x14ac:dyDescent="0.25">
      <c r="A32" s="9"/>
      <c r="B32" s="61" t="s">
        <v>313</v>
      </c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7"/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","325", " - ", "Outpost C-Store")</f>
        <v>Department 325 - Outpost C-Store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49164.08</v>
      </c>
      <c r="I12" s="4"/>
      <c r="J12" s="12"/>
      <c r="K12" s="4"/>
      <c r="L12" s="4">
        <f t="shared" ref="L12:L14" si="0">+D12-H12</f>
        <v>-49164.08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402676.04</v>
      </c>
      <c r="U12" s="4"/>
      <c r="V12" s="12"/>
      <c r="W12" s="4"/>
      <c r="X12" s="4">
        <f t="shared" ref="X12:X14" si="2">+P12-T12</f>
        <v>-402676.04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--10286.44</f>
        <v>10286.44</v>
      </c>
      <c r="I13" s="2"/>
      <c r="J13" s="19"/>
      <c r="K13" s="2"/>
      <c r="L13" s="2">
        <f t="shared" si="0"/>
        <v>-10286.44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--72901.99</f>
        <v>72901.990000000005</v>
      </c>
      <c r="U13" s="2"/>
      <c r="V13" s="19"/>
      <c r="W13" s="2"/>
      <c r="X13" s="2">
        <f t="shared" si="2"/>
        <v>-72901.990000000005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--38877.64</f>
        <v>38877.64</v>
      </c>
      <c r="I14" s="2"/>
      <c r="J14" s="19"/>
      <c r="K14" s="2"/>
      <c r="L14" s="2">
        <f t="shared" si="0"/>
        <v>-38877.64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--329774.05</f>
        <v>329774.05</v>
      </c>
      <c r="U14" s="2"/>
      <c r="V14" s="19"/>
      <c r="W14" s="2"/>
      <c r="X14" s="2">
        <f t="shared" si="2"/>
        <v>-329774.05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-206.63</v>
      </c>
      <c r="E16" s="4"/>
      <c r="F16" s="12">
        <f t="shared" ref="F16:F18" si="6">IF(D$12=0,0,D16/D$12)</f>
        <v>0</v>
      </c>
      <c r="G16" s="4"/>
      <c r="H16" s="4">
        <f>SUM(OSRRefH16x_0)</f>
        <v>24297.27</v>
      </c>
      <c r="I16" s="4"/>
      <c r="J16" s="12">
        <f t="shared" ref="J16:J18" si="7">IF(H$12=0,0,H16/H$12)</f>
        <v>0.4942077630660433</v>
      </c>
      <c r="K16" s="4"/>
      <c r="L16" s="4">
        <f t="shared" ref="L16:L18" si="8">+D16-H16</f>
        <v>-24503.9</v>
      </c>
      <c r="M16" s="4"/>
      <c r="N16" s="12">
        <f t="shared" ref="N16:N18" si="9">IF(H16=0,0,L16/H16)</f>
        <v>-1.0085042475965407</v>
      </c>
      <c r="O16" s="10"/>
      <c r="P16" s="4">
        <f>SUM(OSRRefP16x_0)</f>
        <v>10641.24</v>
      </c>
      <c r="Q16" s="4"/>
      <c r="R16" s="12">
        <f t="shared" ref="R16:R18" si="10">IF(P$12=0,0,P16/P$12)</f>
        <v>0</v>
      </c>
      <c r="S16" s="4"/>
      <c r="T16" s="4">
        <f>SUM(OSRRefT16x_0)</f>
        <v>183549.88</v>
      </c>
      <c r="U16" s="4"/>
      <c r="V16" s="12">
        <f t="shared" ref="V16:V18" si="11">IF(T$12=0,0,T16/T$12)</f>
        <v>0.45582518393694349</v>
      </c>
      <c r="W16" s="4"/>
      <c r="X16" s="4">
        <f t="shared" ref="X16:X18" si="12">+P16-T16</f>
        <v>-172908.64</v>
      </c>
      <c r="Y16" s="4"/>
      <c r="Z16" s="12">
        <f t="shared" ref="Z16:Z18" si="13">IF(T16=0,0,X16/T16)</f>
        <v>-0.9420253502753585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-206.63</v>
      </c>
      <c r="E17" s="2"/>
      <c r="F17" s="19">
        <f t="shared" si="6"/>
        <v>0</v>
      </c>
      <c r="G17" s="2"/>
      <c r="H17" s="2">
        <v>17701.98</v>
      </c>
      <c r="I17" s="2"/>
      <c r="J17" s="19">
        <f t="shared" si="7"/>
        <v>0.36005921396271423</v>
      </c>
      <c r="K17" s="2"/>
      <c r="L17" s="2">
        <f t="shared" si="8"/>
        <v>-17908.61</v>
      </c>
      <c r="M17" s="2"/>
      <c r="N17" s="19">
        <f t="shared" si="9"/>
        <v>-1.0116727055391543</v>
      </c>
      <c r="O17" s="11"/>
      <c r="P17" s="2">
        <v>-987.76</v>
      </c>
      <c r="Q17" s="2"/>
      <c r="R17" s="19">
        <f t="shared" si="10"/>
        <v>0</v>
      </c>
      <c r="S17" s="2"/>
      <c r="T17" s="2">
        <v>187179.32</v>
      </c>
      <c r="U17" s="2"/>
      <c r="V17" s="19">
        <f t="shared" si="11"/>
        <v>0.46483848405780492</v>
      </c>
      <c r="W17" s="2"/>
      <c r="X17" s="2">
        <f t="shared" si="12"/>
        <v>-188167.08000000002</v>
      </c>
      <c r="Y17" s="2"/>
      <c r="Z17" s="19">
        <f t="shared" si="13"/>
        <v>-1.0052770786858292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6595.29</v>
      </c>
      <c r="I18" s="2"/>
      <c r="J18" s="19">
        <f t="shared" si="7"/>
        <v>0.1341485491033291</v>
      </c>
      <c r="K18" s="2"/>
      <c r="L18" s="2">
        <f t="shared" si="8"/>
        <v>-6595.29</v>
      </c>
      <c r="M18" s="2"/>
      <c r="N18" s="19">
        <f t="shared" si="9"/>
        <v>-1</v>
      </c>
      <c r="O18" s="11"/>
      <c r="P18" s="2">
        <v>11629</v>
      </c>
      <c r="Q18" s="2"/>
      <c r="R18" s="19">
        <f t="shared" si="10"/>
        <v>0</v>
      </c>
      <c r="S18" s="2"/>
      <c r="T18" s="2">
        <v>-3629.44</v>
      </c>
      <c r="U18" s="2"/>
      <c r="V18" s="19">
        <f t="shared" si="11"/>
        <v>-9.0133001208614252E-3</v>
      </c>
      <c r="W18" s="2"/>
      <c r="X18" s="2">
        <f t="shared" si="12"/>
        <v>15258.44</v>
      </c>
      <c r="Y18" s="2"/>
      <c r="Z18" s="19">
        <f t="shared" si="13"/>
        <v>-4.2040755598659851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206.63</v>
      </c>
      <c r="E20" s="14"/>
      <c r="F20" s="21">
        <f>IF(D$12=0,0,D20/D$12)</f>
        <v>0</v>
      </c>
      <c r="G20" s="14"/>
      <c r="H20" s="20">
        <f>H12-H16</f>
        <v>24866.81</v>
      </c>
      <c r="I20" s="14"/>
      <c r="J20" s="21">
        <f>IF(H$12=0,0,H20/H$12)</f>
        <v>0.5057922369339567</v>
      </c>
      <c r="K20" s="15"/>
      <c r="L20" s="20">
        <f>+D20-H20</f>
        <v>-24660.18</v>
      </c>
      <c r="M20" s="15"/>
      <c r="N20" s="21">
        <f>IF(H20=0,0,L20/H20)</f>
        <v>-0.99169053047013267</v>
      </c>
      <c r="O20" s="29"/>
      <c r="P20" s="20">
        <f>P12-P16</f>
        <v>-10641.24</v>
      </c>
      <c r="Q20" s="14"/>
      <c r="R20" s="21">
        <f>IF(P$12=0,0,P20/P$12)</f>
        <v>0</v>
      </c>
      <c r="S20" s="14"/>
      <c r="T20" s="20">
        <f>T12-T16</f>
        <v>219126.15999999997</v>
      </c>
      <c r="U20" s="14"/>
      <c r="V20" s="21">
        <f>IF(T$12=0,0,T20/T$12)</f>
        <v>0.54417481606305651</v>
      </c>
      <c r="W20" s="15"/>
      <c r="X20" s="20">
        <f>+P20-T20</f>
        <v>-229767.39999999997</v>
      </c>
      <c r="Y20" s="15"/>
      <c r="Z20" s="21">
        <f>IF(T20=0,0,X20/T20)</f>
        <v>-1.0485621616332801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11292.42</v>
      </c>
      <c r="E22" s="22"/>
      <c r="F22" s="36">
        <f t="shared" ref="F22:F31" si="14">IF(D$12=0,0,D22/D$12)</f>
        <v>0</v>
      </c>
      <c r="G22" s="22"/>
      <c r="H22" s="22">
        <f>SUM(OSRRefH22x_0)</f>
        <v>29416.209999999995</v>
      </c>
      <c r="I22" s="22"/>
      <c r="J22" s="36">
        <f t="shared" ref="J22:J31" si="15">IF(H$12=0,0,H22/H$12)</f>
        <v>0.5983272747095032</v>
      </c>
      <c r="K22" s="4"/>
      <c r="L22" s="22">
        <f t="shared" ref="L22:L31" si="16">+D22-H22</f>
        <v>-18123.789999999994</v>
      </c>
      <c r="M22" s="4"/>
      <c r="N22" s="36">
        <f t="shared" ref="N22:N31" si="17">IF(H22=0,0,L22/H22)</f>
        <v>-0.61611574026701588</v>
      </c>
      <c r="O22" s="10"/>
      <c r="P22" s="22">
        <f>SUM(OSRRefP22x_0)</f>
        <v>68530.01999999999</v>
      </c>
      <c r="Q22" s="22"/>
      <c r="R22" s="36">
        <f t="shared" ref="R22:R31" si="18">IF(P$12=0,0,P22/P$12)</f>
        <v>0</v>
      </c>
      <c r="S22" s="22"/>
      <c r="T22" s="22">
        <f>SUM(OSRRefT22x_0)</f>
        <v>180618.15000000002</v>
      </c>
      <c r="U22" s="22"/>
      <c r="V22" s="36">
        <f t="shared" ref="V22:V31" si="19">IF(T$12=0,0,T22/T$12)</f>
        <v>0.44854456699236445</v>
      </c>
      <c r="W22" s="4"/>
      <c r="X22" s="22">
        <f t="shared" ref="X22:X31" si="20">+P22-T22</f>
        <v>-112088.13000000003</v>
      </c>
      <c r="Y22" s="4"/>
      <c r="Z22" s="36">
        <f t="shared" ref="Z22:Z31" si="21">IF(T22=0,0,X22/T22)</f>
        <v>-0.62058065593075784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3660.7</v>
      </c>
      <c r="I23" s="1"/>
      <c r="J23" s="5">
        <f t="shared" si="15"/>
        <v>7.4458832546037676E-2</v>
      </c>
      <c r="K23" s="1"/>
      <c r="L23" s="1">
        <f t="shared" si="16"/>
        <v>-3660.7</v>
      </c>
      <c r="M23" s="1"/>
      <c r="N23" s="5">
        <f t="shared" si="17"/>
        <v>-1</v>
      </c>
      <c r="O23" s="13"/>
      <c r="P23" s="1">
        <f>SUM(OSRRefP22_0x_0)</f>
        <v>2889.72</v>
      </c>
      <c r="Q23" s="1"/>
      <c r="R23" s="5">
        <f t="shared" si="18"/>
        <v>0</v>
      </c>
      <c r="S23" s="1"/>
      <c r="T23" s="1">
        <f>SUM(OSRRefT22_0x_0)</f>
        <v>22709.360000000001</v>
      </c>
      <c r="U23" s="1"/>
      <c r="V23" s="5">
        <f t="shared" si="19"/>
        <v>5.6396104421807668E-2</v>
      </c>
      <c r="W23" s="1"/>
      <c r="X23" s="1">
        <f t="shared" si="20"/>
        <v>-19819.64</v>
      </c>
      <c r="Y23" s="1"/>
      <c r="Z23" s="5">
        <f t="shared" si="21"/>
        <v>-0.87275202823857645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498.19</v>
      </c>
      <c r="I24" s="2"/>
      <c r="J24" s="6">
        <f t="shared" si="15"/>
        <v>1.0133211076053899E-2</v>
      </c>
      <c r="K24" s="2"/>
      <c r="L24" s="7">
        <f t="shared" si="16"/>
        <v>-498.19</v>
      </c>
      <c r="M24" s="2"/>
      <c r="N24" s="6">
        <f t="shared" si="17"/>
        <v>-1</v>
      </c>
      <c r="O24" s="11"/>
      <c r="P24" s="7">
        <v>159.12</v>
      </c>
      <c r="Q24" s="2"/>
      <c r="R24" s="6">
        <f t="shared" si="18"/>
        <v>0</v>
      </c>
      <c r="S24" s="2"/>
      <c r="T24" s="7">
        <v>3522.33</v>
      </c>
      <c r="U24" s="2"/>
      <c r="V24" s="6">
        <f t="shared" si="19"/>
        <v>8.7473046571134461E-3</v>
      </c>
      <c r="W24" s="2"/>
      <c r="X24" s="7">
        <f t="shared" si="20"/>
        <v>-3363.21</v>
      </c>
      <c r="Y24" s="2"/>
      <c r="Z24" s="6">
        <f t="shared" si="21"/>
        <v>-0.95482535707897898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283.2</v>
      </c>
      <c r="I25" s="2"/>
      <c r="J25" s="6">
        <f t="shared" si="15"/>
        <v>5.7603030505198102E-3</v>
      </c>
      <c r="K25" s="2"/>
      <c r="L25" s="7">
        <f t="shared" si="16"/>
        <v>-283.2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1074.33</v>
      </c>
      <c r="U25" s="2"/>
      <c r="V25" s="6">
        <f t="shared" si="19"/>
        <v>2.6679759739367658E-3</v>
      </c>
      <c r="W25" s="2"/>
      <c r="X25" s="7">
        <f t="shared" si="20"/>
        <v>-1074.33</v>
      </c>
      <c r="Y25" s="2"/>
      <c r="Z25" s="6">
        <f t="shared" si="21"/>
        <v>-1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1815.82</v>
      </c>
      <c r="I26" s="2"/>
      <c r="J26" s="6">
        <f t="shared" si="15"/>
        <v>3.693387530082938E-2</v>
      </c>
      <c r="K26" s="2"/>
      <c r="L26" s="7">
        <f t="shared" si="16"/>
        <v>-1815.82</v>
      </c>
      <c r="M26" s="2"/>
      <c r="N26" s="6">
        <f t="shared" si="17"/>
        <v>-1</v>
      </c>
      <c r="O26" s="11"/>
      <c r="P26" s="7">
        <v>1915.63</v>
      </c>
      <c r="Q26" s="2"/>
      <c r="R26" s="6">
        <f t="shared" si="18"/>
        <v>0</v>
      </c>
      <c r="S26" s="2"/>
      <c r="T26" s="7">
        <v>11362.57</v>
      </c>
      <c r="U26" s="2"/>
      <c r="V26" s="6">
        <f t="shared" si="19"/>
        <v>2.8217646125654756E-2</v>
      </c>
      <c r="W26" s="2"/>
      <c r="X26" s="7">
        <f t="shared" si="20"/>
        <v>-9446.9399999999987</v>
      </c>
      <c r="Y26" s="2"/>
      <c r="Z26" s="6">
        <f t="shared" si="21"/>
        <v>-0.83140873939610482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38.75</v>
      </c>
      <c r="I27" s="2"/>
      <c r="J27" s="6">
        <f t="shared" si="15"/>
        <v>7.8817705934902064E-4</v>
      </c>
      <c r="K27" s="2"/>
      <c r="L27" s="7">
        <f t="shared" si="16"/>
        <v>-38.75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183.27</v>
      </c>
      <c r="U27" s="2"/>
      <c r="V27" s="6">
        <f t="shared" si="19"/>
        <v>4.5513013389125419E-4</v>
      </c>
      <c r="W27" s="2"/>
      <c r="X27" s="7">
        <f t="shared" si="20"/>
        <v>-183.27</v>
      </c>
      <c r="Y27" s="2"/>
      <c r="Z27" s="6">
        <f t="shared" si="21"/>
        <v>-1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392.49</v>
      </c>
      <c r="I28" s="2"/>
      <c r="J28" s="6">
        <f t="shared" si="15"/>
        <v>7.9832674586812168E-3</v>
      </c>
      <c r="K28" s="2"/>
      <c r="L28" s="7">
        <f t="shared" si="16"/>
        <v>-392.49</v>
      </c>
      <c r="M28" s="2"/>
      <c r="N28" s="6">
        <f t="shared" si="17"/>
        <v>-1</v>
      </c>
      <c r="O28" s="11"/>
      <c r="P28" s="7">
        <v>458.89</v>
      </c>
      <c r="Q28" s="2"/>
      <c r="R28" s="6">
        <f t="shared" si="18"/>
        <v>0</v>
      </c>
      <c r="S28" s="2"/>
      <c r="T28" s="7">
        <v>2635.56</v>
      </c>
      <c r="U28" s="2"/>
      <c r="V28" s="6">
        <f t="shared" si="19"/>
        <v>6.5451125425788929E-3</v>
      </c>
      <c r="W28" s="2"/>
      <c r="X28" s="7">
        <f t="shared" si="20"/>
        <v>-2176.67</v>
      </c>
      <c r="Y28" s="2"/>
      <c r="Z28" s="6">
        <f t="shared" si="21"/>
        <v>-0.82588520086812678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280.8</v>
      </c>
      <c r="I29" s="2"/>
      <c r="J29" s="6">
        <f t="shared" si="15"/>
        <v>5.7114869229730322E-3</v>
      </c>
      <c r="K29" s="2"/>
      <c r="L29" s="7">
        <f t="shared" si="16"/>
        <v>-280.8</v>
      </c>
      <c r="M29" s="2"/>
      <c r="N29" s="6">
        <f t="shared" si="17"/>
        <v>-1</v>
      </c>
      <c r="O29" s="11"/>
      <c r="P29" s="7">
        <v>152.1</v>
      </c>
      <c r="Q29" s="2"/>
      <c r="R29" s="6">
        <f t="shared" si="18"/>
        <v>0</v>
      </c>
      <c r="S29" s="2"/>
      <c r="T29" s="7">
        <v>1825.2</v>
      </c>
      <c r="U29" s="2"/>
      <c r="V29" s="6">
        <f t="shared" si="19"/>
        <v>4.5326759446626128E-3</v>
      </c>
      <c r="W29" s="2"/>
      <c r="X29" s="7">
        <f t="shared" si="20"/>
        <v>-1673.1000000000001</v>
      </c>
      <c r="Y29" s="2"/>
      <c r="Z29" s="6">
        <f t="shared" si="21"/>
        <v>-0.91666666666666674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177.12</v>
      </c>
      <c r="I30" s="2"/>
      <c r="J30" s="6">
        <f t="shared" si="15"/>
        <v>3.6026302129522204E-3</v>
      </c>
      <c r="K30" s="2"/>
      <c r="L30" s="7">
        <f t="shared" si="16"/>
        <v>-177.12</v>
      </c>
      <c r="M30" s="2"/>
      <c r="N30" s="6">
        <f t="shared" si="17"/>
        <v>-1</v>
      </c>
      <c r="O30" s="11"/>
      <c r="P30" s="7">
        <v>203.98</v>
      </c>
      <c r="Q30" s="2"/>
      <c r="R30" s="6">
        <f t="shared" si="18"/>
        <v>0</v>
      </c>
      <c r="S30" s="2"/>
      <c r="T30" s="7">
        <v>1151.28</v>
      </c>
      <c r="U30" s="2"/>
      <c r="V30" s="6">
        <f t="shared" si="19"/>
        <v>2.8590725189410328E-3</v>
      </c>
      <c r="W30" s="2"/>
      <c r="X30" s="7">
        <f t="shared" si="20"/>
        <v>-947.3</v>
      </c>
      <c r="Y30" s="2"/>
      <c r="Z30" s="6">
        <f t="shared" si="21"/>
        <v>-0.82282329233548746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174.33</v>
      </c>
      <c r="I31" s="2"/>
      <c r="J31" s="6">
        <f t="shared" si="15"/>
        <v>3.5458814646790911E-3</v>
      </c>
      <c r="K31" s="2"/>
      <c r="L31" s="7">
        <f t="shared" si="16"/>
        <v>-174.33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954.82</v>
      </c>
      <c r="U31" s="2"/>
      <c r="V31" s="6">
        <f t="shared" si="19"/>
        <v>2.3711865250289044E-3</v>
      </c>
      <c r="W31" s="2"/>
      <c r="X31" s="7">
        <f t="shared" si="20"/>
        <v>-954.82</v>
      </c>
      <c r="Y31" s="2"/>
      <c r="Z31" s="6">
        <f t="shared" si="21"/>
        <v>-1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9320.94</v>
      </c>
      <c r="I32" s="1"/>
      <c r="J32" s="5">
        <f t="shared" ref="J32:J37" si="23">IF(H$12=0,0,H32/H$12)</f>
        <v>0.18958841495661061</v>
      </c>
      <c r="K32" s="1"/>
      <c r="L32" s="1">
        <f t="shared" ref="L32:L37" si="24">+D32-H32</f>
        <v>-9320.94</v>
      </c>
      <c r="M32" s="1"/>
      <c r="N32" s="5">
        <f t="shared" ref="N32:N37" si="25">IF(H32=0,0,L32/H32)</f>
        <v>-1</v>
      </c>
      <c r="O32" s="13"/>
      <c r="P32" s="1">
        <f>SUM(OSRRefP22_1x_0)</f>
        <v>884</v>
      </c>
      <c r="Q32" s="1"/>
      <c r="R32" s="5">
        <f t="shared" ref="R32:R37" si="26">IF(P$12=0,0,P32/P$12)</f>
        <v>0</v>
      </c>
      <c r="S32" s="1"/>
      <c r="T32" s="1">
        <f>SUM(OSRRefT22_1x_0)</f>
        <v>62491.570000000007</v>
      </c>
      <c r="U32" s="1"/>
      <c r="V32" s="5">
        <f t="shared" ref="V32:V37" si="27">IF(T$12=0,0,T32/T$12)</f>
        <v>0.15519068380626772</v>
      </c>
      <c r="W32" s="1"/>
      <c r="X32" s="1">
        <f t="shared" ref="X32:X37" si="28">+P32-T32</f>
        <v>-61607.570000000007</v>
      </c>
      <c r="Y32" s="1"/>
      <c r="Z32" s="5">
        <f t="shared" ref="Z32:Z37" si="29">IF(T32=0,0,X32/T32)</f>
        <v>-0.98585409199992891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3648</v>
      </c>
      <c r="I33" s="2"/>
      <c r="J33" s="6">
        <f t="shared" si="23"/>
        <v>7.4200513871102644E-2</v>
      </c>
      <c r="K33" s="2"/>
      <c r="L33" s="7">
        <f t="shared" si="24"/>
        <v>-3648</v>
      </c>
      <c r="M33" s="2"/>
      <c r="N33" s="6">
        <f t="shared" si="25"/>
        <v>-1</v>
      </c>
      <c r="O33" s="11"/>
      <c r="P33" s="7">
        <v>884</v>
      </c>
      <c r="Q33" s="2"/>
      <c r="R33" s="6">
        <f t="shared" si="26"/>
        <v>0</v>
      </c>
      <c r="S33" s="2"/>
      <c r="T33" s="7">
        <v>22080</v>
      </c>
      <c r="U33" s="2"/>
      <c r="V33" s="6">
        <f t="shared" si="27"/>
        <v>5.4833160671789664E-2</v>
      </c>
      <c r="W33" s="2"/>
      <c r="X33" s="7">
        <f t="shared" si="28"/>
        <v>-21196</v>
      </c>
      <c r="Y33" s="2"/>
      <c r="Z33" s="6">
        <f t="shared" si="29"/>
        <v>-0.95996376811594208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2"/>
        <v>0</v>
      </c>
      <c r="G34" s="2"/>
      <c r="H34" s="7"/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254.64</v>
      </c>
      <c r="U34" s="2"/>
      <c r="V34" s="6">
        <f t="shared" si="27"/>
        <v>6.3236938557357418E-4</v>
      </c>
      <c r="W34" s="2"/>
      <c r="X34" s="7">
        <f t="shared" si="28"/>
        <v>-254.64</v>
      </c>
      <c r="Y34" s="2"/>
      <c r="Z34" s="6">
        <f t="shared" si="29"/>
        <v>-1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2"/>
        <v>0</v>
      </c>
      <c r="G35" s="2"/>
      <c r="H35" s="7">
        <v>2672.19</v>
      </c>
      <c r="I35" s="2"/>
      <c r="J35" s="6">
        <f t="shared" si="23"/>
        <v>5.4352486612177023E-2</v>
      </c>
      <c r="K35" s="2"/>
      <c r="L35" s="7">
        <f t="shared" si="24"/>
        <v>-2672.19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13975.54</v>
      </c>
      <c r="U35" s="2"/>
      <c r="V35" s="6">
        <f t="shared" si="27"/>
        <v>3.4706658980752869E-2</v>
      </c>
      <c r="W35" s="2"/>
      <c r="X35" s="7">
        <f t="shared" si="28"/>
        <v>-13975.54</v>
      </c>
      <c r="Y35" s="2"/>
      <c r="Z35" s="6">
        <f t="shared" si="29"/>
        <v>-1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2"/>
        <v>0</v>
      </c>
      <c r="G36" s="2"/>
      <c r="H36" s="7">
        <v>2688.75</v>
      </c>
      <c r="I36" s="2"/>
      <c r="J36" s="6">
        <f t="shared" si="23"/>
        <v>5.4689317892249789E-2</v>
      </c>
      <c r="K36" s="2"/>
      <c r="L36" s="7">
        <f t="shared" si="24"/>
        <v>-2688.75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23862.390000000003</v>
      </c>
      <c r="U36" s="2"/>
      <c r="V36" s="6">
        <f t="shared" si="27"/>
        <v>5.9259522866073694E-2</v>
      </c>
      <c r="W36" s="2"/>
      <c r="X36" s="7">
        <f t="shared" si="28"/>
        <v>-23862.390000000003</v>
      </c>
      <c r="Y36" s="2"/>
      <c r="Z36" s="6">
        <f t="shared" si="29"/>
        <v>-1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2"/>
        <v>0</v>
      </c>
      <c r="G37" s="2"/>
      <c r="H37" s="7">
        <v>312</v>
      </c>
      <c r="I37" s="2"/>
      <c r="J37" s="6">
        <f t="shared" si="23"/>
        <v>6.3460965810811466E-3</v>
      </c>
      <c r="K37" s="2"/>
      <c r="L37" s="7">
        <f t="shared" si="24"/>
        <v>-312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2319</v>
      </c>
      <c r="U37" s="2"/>
      <c r="V37" s="6">
        <f t="shared" si="27"/>
        <v>5.7589719020779088E-3</v>
      </c>
      <c r="W37" s="2"/>
      <c r="X37" s="7">
        <f t="shared" si="28"/>
        <v>-2319</v>
      </c>
      <c r="Y37" s="2"/>
      <c r="Z37" s="6">
        <f t="shared" si="29"/>
        <v>-1</v>
      </c>
    </row>
    <row r="38" spans="1:26" s="25" customFormat="1" outlineLevel="1" collapsed="1" x14ac:dyDescent="0.25">
      <c r="A38" s="26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46" si="30">IF(D$12=0,0,D38/D$12)</f>
        <v>0</v>
      </c>
      <c r="G38" s="1"/>
      <c r="H38" s="1">
        <f>SUM(OSRRefH22_2x_0)</f>
        <v>77.06</v>
      </c>
      <c r="I38" s="1"/>
      <c r="J38" s="5">
        <f t="shared" ref="J38:J46" si="31">IF(H$12=0,0,H38/H$12)</f>
        <v>1.5674044953144653E-3</v>
      </c>
      <c r="K38" s="1"/>
      <c r="L38" s="1">
        <f t="shared" ref="L38:L46" si="32">+D38-H38</f>
        <v>-77.06</v>
      </c>
      <c r="M38" s="1"/>
      <c r="N38" s="5">
        <f t="shared" ref="N38:N46" si="33">IF(H38=0,0,L38/H38)</f>
        <v>-1</v>
      </c>
      <c r="O38" s="13"/>
      <c r="P38" s="1">
        <f>SUM(OSRRefP22_2x_0)</f>
        <v>0</v>
      </c>
      <c r="Q38" s="1"/>
      <c r="R38" s="5">
        <f t="shared" ref="R38:R46" si="34">IF(P$12=0,0,P38/P$12)</f>
        <v>0</v>
      </c>
      <c r="S38" s="1"/>
      <c r="T38" s="1">
        <f>SUM(OSRRefT22_2x_0)</f>
        <v>717.02</v>
      </c>
      <c r="U38" s="1"/>
      <c r="V38" s="5">
        <f t="shared" ref="V38:V46" si="35">IF(T$12=0,0,T38/T$12)</f>
        <v>1.7806373580111696E-3</v>
      </c>
      <c r="W38" s="1"/>
      <c r="X38" s="1">
        <f t="shared" ref="X38:X46" si="36">+P38-T38</f>
        <v>-717.02</v>
      </c>
      <c r="Y38" s="1"/>
      <c r="Z38" s="5">
        <f t="shared" ref="Z38:Z46" si="37">IF(T38=0,0,X38/T38)</f>
        <v>-1</v>
      </c>
    </row>
    <row r="39" spans="1:26" s="24" customFormat="1" hidden="1" outlineLevel="2" x14ac:dyDescent="0.25">
      <c r="A39" s="27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30"/>
        <v>0</v>
      </c>
      <c r="G39" s="2"/>
      <c r="H39" s="7">
        <v>77.06</v>
      </c>
      <c r="I39" s="2"/>
      <c r="J39" s="6">
        <f t="shared" si="31"/>
        <v>1.5674044953144653E-3</v>
      </c>
      <c r="K39" s="2"/>
      <c r="L39" s="7">
        <f t="shared" si="32"/>
        <v>-77.06</v>
      </c>
      <c r="M39" s="2"/>
      <c r="N39" s="6">
        <f t="shared" si="33"/>
        <v>-1</v>
      </c>
      <c r="O39" s="11"/>
      <c r="P39" s="7"/>
      <c r="Q39" s="2"/>
      <c r="R39" s="6">
        <f t="shared" si="34"/>
        <v>0</v>
      </c>
      <c r="S39" s="2"/>
      <c r="T39" s="7">
        <v>717.02</v>
      </c>
      <c r="U39" s="2"/>
      <c r="V39" s="6">
        <f t="shared" si="35"/>
        <v>1.7806373580111696E-3</v>
      </c>
      <c r="W39" s="2"/>
      <c r="X39" s="7">
        <f t="shared" si="36"/>
        <v>-717.02</v>
      </c>
      <c r="Y39" s="2"/>
      <c r="Z39" s="6">
        <f t="shared" si="37"/>
        <v>-1</v>
      </c>
    </row>
    <row r="40" spans="1:26" s="25" customFormat="1" outlineLevel="1" collapsed="1" x14ac:dyDescent="0.25">
      <c r="A40" s="26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0.69</v>
      </c>
      <c r="I40" s="1"/>
      <c r="J40" s="5">
        <f t="shared" si="31"/>
        <v>1.403463666969869E-5</v>
      </c>
      <c r="K40" s="1"/>
      <c r="L40" s="1">
        <f t="shared" si="32"/>
        <v>-0.69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-52.08</v>
      </c>
      <c r="U40" s="1"/>
      <c r="V40" s="5">
        <f t="shared" si="35"/>
        <v>-1.2933473767150387E-4</v>
      </c>
      <c r="W40" s="1"/>
      <c r="X40" s="1">
        <f t="shared" si="36"/>
        <v>52.08</v>
      </c>
      <c r="Y40" s="1"/>
      <c r="Z40" s="5">
        <f t="shared" si="37"/>
        <v>-1</v>
      </c>
    </row>
    <row r="41" spans="1:26" s="24" customFormat="1" hidden="1" outlineLevel="2" x14ac:dyDescent="0.25">
      <c r="A41" s="27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30"/>
        <v>0</v>
      </c>
      <c r="G41" s="2"/>
      <c r="H41" s="7">
        <v>0.69</v>
      </c>
      <c r="I41" s="2"/>
      <c r="J41" s="6">
        <f t="shared" si="31"/>
        <v>1.403463666969869E-5</v>
      </c>
      <c r="K41" s="2"/>
      <c r="L41" s="7">
        <f t="shared" si="32"/>
        <v>-0.69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-52.08</v>
      </c>
      <c r="U41" s="2"/>
      <c r="V41" s="6">
        <f t="shared" si="35"/>
        <v>-1.2933473767150387E-4</v>
      </c>
      <c r="W41" s="2"/>
      <c r="X41" s="7">
        <f t="shared" si="36"/>
        <v>52.08</v>
      </c>
      <c r="Y41" s="2"/>
      <c r="Z41" s="6">
        <f t="shared" si="37"/>
        <v>-1</v>
      </c>
    </row>
    <row r="42" spans="1:26" s="25" customFormat="1" outlineLevel="1" collapsed="1" x14ac:dyDescent="0.25">
      <c r="A42" s="26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1749.2</v>
      </c>
      <c r="I42" s="1"/>
      <c r="J42" s="5">
        <f t="shared" si="31"/>
        <v>3.5578820960343406E-2</v>
      </c>
      <c r="K42" s="1"/>
      <c r="L42" s="1">
        <f t="shared" si="32"/>
        <v>-1749.2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14336.16</v>
      </c>
      <c r="U42" s="1"/>
      <c r="V42" s="5">
        <f t="shared" si="35"/>
        <v>3.5602217604007433E-2</v>
      </c>
      <c r="W42" s="1"/>
      <c r="X42" s="1">
        <f t="shared" si="36"/>
        <v>-14336.16</v>
      </c>
      <c r="Y42" s="1"/>
      <c r="Z42" s="5">
        <f t="shared" si="37"/>
        <v>-1</v>
      </c>
    </row>
    <row r="43" spans="1:26" s="24" customFormat="1" hidden="1" outlineLevel="2" x14ac:dyDescent="0.25">
      <c r="A43" s="27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30"/>
        <v>0</v>
      </c>
      <c r="G43" s="2"/>
      <c r="H43" s="7">
        <v>1749.2</v>
      </c>
      <c r="I43" s="2"/>
      <c r="J43" s="6">
        <f t="shared" si="31"/>
        <v>3.5578820960343406E-2</v>
      </c>
      <c r="K43" s="2"/>
      <c r="L43" s="7">
        <f t="shared" si="32"/>
        <v>-1749.2</v>
      </c>
      <c r="M43" s="2"/>
      <c r="N43" s="6">
        <f t="shared" si="33"/>
        <v>-1</v>
      </c>
      <c r="O43" s="11"/>
      <c r="P43" s="7"/>
      <c r="Q43" s="2"/>
      <c r="R43" s="6">
        <f t="shared" si="34"/>
        <v>0</v>
      </c>
      <c r="S43" s="2"/>
      <c r="T43" s="7">
        <v>14336.16</v>
      </c>
      <c r="U43" s="2"/>
      <c r="V43" s="6">
        <f t="shared" si="35"/>
        <v>3.5602217604007433E-2</v>
      </c>
      <c r="W43" s="2"/>
      <c r="X43" s="7">
        <f t="shared" si="36"/>
        <v>-14336.16</v>
      </c>
      <c r="Y43" s="2"/>
      <c r="Z43" s="6">
        <f t="shared" si="37"/>
        <v>-1</v>
      </c>
    </row>
    <row r="44" spans="1:26" s="25" customFormat="1" outlineLevel="1" collapsed="1" x14ac:dyDescent="0.25">
      <c r="A44" s="26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5471.21</v>
      </c>
      <c r="E44" s="1"/>
      <c r="F44" s="5">
        <f t="shared" si="30"/>
        <v>0</v>
      </c>
      <c r="G44" s="1"/>
      <c r="H44" s="1">
        <f>SUM(OSRRefH22_5x_0)</f>
        <v>5564.79</v>
      </c>
      <c r="I44" s="1"/>
      <c r="J44" s="5">
        <f t="shared" si="31"/>
        <v>0.11318812433793127</v>
      </c>
      <c r="K44" s="1"/>
      <c r="L44" s="1">
        <f t="shared" si="32"/>
        <v>-93.579999999999927</v>
      </c>
      <c r="M44" s="1"/>
      <c r="N44" s="5">
        <f t="shared" si="33"/>
        <v>-1.6816447700631995E-2</v>
      </c>
      <c r="O44" s="13"/>
      <c r="P44" s="1">
        <f>SUM(OSRRefP22_5x_0)</f>
        <v>33272.759999999995</v>
      </c>
      <c r="Q44" s="1"/>
      <c r="R44" s="5">
        <f t="shared" si="34"/>
        <v>0</v>
      </c>
      <c r="S44" s="1"/>
      <c r="T44" s="1">
        <f>SUM(OSRRefT22_5x_0)</f>
        <v>32671.64</v>
      </c>
      <c r="U44" s="1"/>
      <c r="V44" s="5">
        <f t="shared" si="35"/>
        <v>8.1136290105564765E-2</v>
      </c>
      <c r="W44" s="1"/>
      <c r="X44" s="1">
        <f t="shared" si="36"/>
        <v>601.11999999999534</v>
      </c>
      <c r="Y44" s="1"/>
      <c r="Z44" s="5">
        <f t="shared" si="37"/>
        <v>1.8398831524833015E-2</v>
      </c>
    </row>
    <row r="45" spans="1:26" s="24" customFormat="1" hidden="1" outlineLevel="2" x14ac:dyDescent="0.25">
      <c r="A45" s="27"/>
      <c r="B45" s="11" t="str">
        <f>CONCATENATE("          ", "6321", " - ", "BUILDING DEPRECIATION")</f>
        <v xml:space="preserve">          6321 - BUILDING DEPRECIATION</v>
      </c>
      <c r="C45" s="11"/>
      <c r="D45" s="7">
        <v>5080.51</v>
      </c>
      <c r="E45" s="2"/>
      <c r="F45" s="6">
        <f t="shared" si="30"/>
        <v>0</v>
      </c>
      <c r="G45" s="2"/>
      <c r="H45" s="7">
        <v>5080.51</v>
      </c>
      <c r="I45" s="2"/>
      <c r="J45" s="6">
        <f t="shared" si="31"/>
        <v>0.10333784340111724</v>
      </c>
      <c r="K45" s="2"/>
      <c r="L45" s="7">
        <f t="shared" si="32"/>
        <v>0</v>
      </c>
      <c r="M45" s="2"/>
      <c r="N45" s="6">
        <f t="shared" si="33"/>
        <v>0</v>
      </c>
      <c r="O45" s="11"/>
      <c r="P45" s="7">
        <v>30483.059999999998</v>
      </c>
      <c r="Q45" s="2"/>
      <c r="R45" s="6">
        <f t="shared" si="34"/>
        <v>0</v>
      </c>
      <c r="S45" s="2"/>
      <c r="T45" s="7">
        <v>30483.059999999998</v>
      </c>
      <c r="U45" s="2"/>
      <c r="V45" s="6">
        <f t="shared" si="35"/>
        <v>7.5701201392563602E-2</v>
      </c>
      <c r="W45" s="2"/>
      <c r="X45" s="7">
        <f t="shared" si="36"/>
        <v>0</v>
      </c>
      <c r="Y45" s="2"/>
      <c r="Z45" s="6">
        <f t="shared" si="37"/>
        <v>0</v>
      </c>
    </row>
    <row r="46" spans="1:26" s="24" customFormat="1" hidden="1" outlineLevel="2" x14ac:dyDescent="0.2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390.7</v>
      </c>
      <c r="E46" s="2"/>
      <c r="F46" s="6">
        <f t="shared" si="30"/>
        <v>0</v>
      </c>
      <c r="G46" s="2"/>
      <c r="H46" s="7">
        <v>484.28</v>
      </c>
      <c r="I46" s="2"/>
      <c r="J46" s="6">
        <f t="shared" si="31"/>
        <v>9.8502809368140303E-3</v>
      </c>
      <c r="K46" s="2"/>
      <c r="L46" s="7">
        <f t="shared" si="32"/>
        <v>-93.579999999999984</v>
      </c>
      <c r="M46" s="2"/>
      <c r="N46" s="6">
        <f t="shared" si="33"/>
        <v>-0.19323531841083669</v>
      </c>
      <c r="O46" s="11"/>
      <c r="P46" s="7">
        <v>2789.7</v>
      </c>
      <c r="Q46" s="2"/>
      <c r="R46" s="6">
        <f t="shared" si="34"/>
        <v>0</v>
      </c>
      <c r="S46" s="2"/>
      <c r="T46" s="7">
        <v>2188.58</v>
      </c>
      <c r="U46" s="2"/>
      <c r="V46" s="6">
        <f t="shared" si="35"/>
        <v>5.4350887130011514E-3</v>
      </c>
      <c r="W46" s="2"/>
      <c r="X46" s="7">
        <f t="shared" si="36"/>
        <v>601.11999999999989</v>
      </c>
      <c r="Y46" s="2"/>
      <c r="Z46" s="6">
        <f t="shared" si="37"/>
        <v>0.27466210967842158</v>
      </c>
    </row>
    <row r="47" spans="1:26" s="25" customFormat="1" outlineLevel="1" collapsed="1" x14ac:dyDescent="0.25">
      <c r="A47" s="26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0</v>
      </c>
      <c r="E47" s="1"/>
      <c r="F47" s="5">
        <f t="shared" ref="F47:F60" si="38">IF(D$12=0,0,D47/D$12)</f>
        <v>0</v>
      </c>
      <c r="G47" s="1"/>
      <c r="H47" s="1">
        <f>SUM(OSRRefH22_6x_0)</f>
        <v>12.63</v>
      </c>
      <c r="I47" s="1"/>
      <c r="J47" s="5">
        <f t="shared" ref="J47:J60" si="39">IF(H$12=0,0,H47/H$12)</f>
        <v>2.5689487121491951E-4</v>
      </c>
      <c r="K47" s="1"/>
      <c r="L47" s="1">
        <f t="shared" ref="L47:L60" si="40">+D47-H47</f>
        <v>-12.63</v>
      </c>
      <c r="M47" s="1"/>
      <c r="N47" s="5">
        <f t="shared" ref="N47:N60" si="41">IF(H47=0,0,L47/H47)</f>
        <v>-1</v>
      </c>
      <c r="O47" s="13"/>
      <c r="P47" s="1">
        <f>SUM(OSRRefP22_6x_0)</f>
        <v>0</v>
      </c>
      <c r="Q47" s="1"/>
      <c r="R47" s="5">
        <f t="shared" ref="R47:R60" si="42">IF(P$12=0,0,P47/P$12)</f>
        <v>0</v>
      </c>
      <c r="S47" s="1"/>
      <c r="T47" s="1">
        <f>SUM(OSRRefT22_6x_0)</f>
        <v>74.569999999999993</v>
      </c>
      <c r="U47" s="1"/>
      <c r="V47" s="5">
        <f t="shared" ref="V47:V60" si="43">IF(T$12=0,0,T47/T$12)</f>
        <v>1.8518608656228962E-4</v>
      </c>
      <c r="W47" s="1"/>
      <c r="X47" s="1">
        <f t="shared" ref="X47:X60" si="44">+P47-T47</f>
        <v>-74.569999999999993</v>
      </c>
      <c r="Y47" s="1"/>
      <c r="Z47" s="5">
        <f t="shared" ref="Z47:Z60" si="45">IF(T47=0,0,X47/T47)</f>
        <v>-1</v>
      </c>
    </row>
    <row r="48" spans="1:26" s="24" customFormat="1" hidden="1" outlineLevel="2" x14ac:dyDescent="0.25">
      <c r="A48" s="27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38"/>
        <v>0</v>
      </c>
      <c r="G48" s="2"/>
      <c r="H48" s="7">
        <v>12.63</v>
      </c>
      <c r="I48" s="2"/>
      <c r="J48" s="6">
        <f t="shared" si="39"/>
        <v>2.5689487121491951E-4</v>
      </c>
      <c r="K48" s="2"/>
      <c r="L48" s="7">
        <f t="shared" si="40"/>
        <v>-12.63</v>
      </c>
      <c r="M48" s="2"/>
      <c r="N48" s="6">
        <f t="shared" si="41"/>
        <v>-1</v>
      </c>
      <c r="O48" s="11"/>
      <c r="P48" s="7"/>
      <c r="Q48" s="2"/>
      <c r="R48" s="6">
        <f t="shared" si="42"/>
        <v>0</v>
      </c>
      <c r="S48" s="2"/>
      <c r="T48" s="7">
        <v>74.569999999999993</v>
      </c>
      <c r="U48" s="2"/>
      <c r="V48" s="6">
        <f t="shared" si="43"/>
        <v>1.8518608656228962E-4</v>
      </c>
      <c r="W48" s="2"/>
      <c r="X48" s="7">
        <f t="shared" si="44"/>
        <v>-74.569999999999993</v>
      </c>
      <c r="Y48" s="2"/>
      <c r="Z48" s="6">
        <f t="shared" si="45"/>
        <v>-1</v>
      </c>
    </row>
    <row r="49" spans="1:26" s="25" customFormat="1" outlineLevel="1" collapsed="1" x14ac:dyDescent="0.25">
      <c r="A49" s="26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76.150000000000006</v>
      </c>
      <c r="E49" s="1"/>
      <c r="F49" s="5">
        <f t="shared" si="38"/>
        <v>0</v>
      </c>
      <c r="G49" s="1"/>
      <c r="H49" s="1">
        <f>SUM(OSRRefH22_7x_0)</f>
        <v>95.04</v>
      </c>
      <c r="I49" s="1"/>
      <c r="J49" s="5">
        <f t="shared" si="39"/>
        <v>1.933118650852411E-3</v>
      </c>
      <c r="K49" s="1"/>
      <c r="L49" s="1">
        <f t="shared" si="40"/>
        <v>-18.89</v>
      </c>
      <c r="M49" s="1"/>
      <c r="N49" s="5">
        <f t="shared" si="41"/>
        <v>-0.1987584175084175</v>
      </c>
      <c r="O49" s="13"/>
      <c r="P49" s="1">
        <f>SUM(OSRRefP22_7x_0)</f>
        <v>76.150000000000006</v>
      </c>
      <c r="Q49" s="1"/>
      <c r="R49" s="5">
        <f t="shared" si="42"/>
        <v>0</v>
      </c>
      <c r="S49" s="1"/>
      <c r="T49" s="1">
        <f>SUM(OSRRefT22_7x_0)</f>
        <v>668.97</v>
      </c>
      <c r="U49" s="1"/>
      <c r="V49" s="5">
        <f t="shared" si="43"/>
        <v>1.6613106655166273E-3</v>
      </c>
      <c r="W49" s="1"/>
      <c r="X49" s="1">
        <f t="shared" si="44"/>
        <v>-592.82000000000005</v>
      </c>
      <c r="Y49" s="1"/>
      <c r="Z49" s="5">
        <f t="shared" si="45"/>
        <v>-0.88616828856301477</v>
      </c>
    </row>
    <row r="50" spans="1:26" s="24" customFormat="1" hidden="1" outlineLevel="2" x14ac:dyDescent="0.25">
      <c r="A50" s="27"/>
      <c r="B50" s="11" t="str">
        <f>CONCATENATE("          ", "6351", " - ", "EQUIPMENT RENTAL")</f>
        <v xml:space="preserve">          6351 - EQUIPMENT RENTAL</v>
      </c>
      <c r="C50" s="11"/>
      <c r="D50" s="7">
        <v>76.150000000000006</v>
      </c>
      <c r="E50" s="2"/>
      <c r="F50" s="6">
        <f t="shared" si="38"/>
        <v>0</v>
      </c>
      <c r="G50" s="2"/>
      <c r="H50" s="7">
        <v>95.04</v>
      </c>
      <c r="I50" s="2"/>
      <c r="J50" s="6">
        <f t="shared" si="39"/>
        <v>1.933118650852411E-3</v>
      </c>
      <c r="K50" s="2"/>
      <c r="L50" s="7">
        <f t="shared" si="40"/>
        <v>-18.89</v>
      </c>
      <c r="M50" s="2"/>
      <c r="N50" s="6">
        <f t="shared" si="41"/>
        <v>-0.1987584175084175</v>
      </c>
      <c r="O50" s="11"/>
      <c r="P50" s="7">
        <v>76.150000000000006</v>
      </c>
      <c r="Q50" s="2"/>
      <c r="R50" s="6">
        <f t="shared" si="42"/>
        <v>0</v>
      </c>
      <c r="S50" s="2"/>
      <c r="T50" s="7">
        <v>668.97</v>
      </c>
      <c r="U50" s="2"/>
      <c r="V50" s="6">
        <f t="shared" si="43"/>
        <v>1.6613106655166273E-3</v>
      </c>
      <c r="W50" s="2"/>
      <c r="X50" s="7">
        <f t="shared" si="44"/>
        <v>-592.82000000000005</v>
      </c>
      <c r="Y50" s="2"/>
      <c r="Z50" s="6">
        <f t="shared" si="45"/>
        <v>-0.88616828856301477</v>
      </c>
    </row>
    <row r="51" spans="1:26" s="25" customFormat="1" outlineLevel="1" collapsed="1" x14ac:dyDescent="0.25">
      <c r="A51" s="26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160</v>
      </c>
      <c r="E51" s="1"/>
      <c r="F51" s="5">
        <f t="shared" si="38"/>
        <v>0</v>
      </c>
      <c r="G51" s="1"/>
      <c r="H51" s="1">
        <f>SUM(OSRRefH22_8x_0)</f>
        <v>187</v>
      </c>
      <c r="I51" s="1"/>
      <c r="J51" s="5">
        <f t="shared" si="39"/>
        <v>3.8035899380197899E-3</v>
      </c>
      <c r="K51" s="1"/>
      <c r="L51" s="1">
        <f t="shared" si="40"/>
        <v>-27</v>
      </c>
      <c r="M51" s="1"/>
      <c r="N51" s="5">
        <f t="shared" si="41"/>
        <v>-0.14438502673796791</v>
      </c>
      <c r="O51" s="13"/>
      <c r="P51" s="1">
        <f>SUM(OSRRefP22_8x_0)</f>
        <v>914.55</v>
      </c>
      <c r="Q51" s="1"/>
      <c r="R51" s="5">
        <f t="shared" si="42"/>
        <v>0</v>
      </c>
      <c r="S51" s="1"/>
      <c r="T51" s="1">
        <f>SUM(OSRRefT22_8x_0)</f>
        <v>1241.23</v>
      </c>
      <c r="U51" s="1"/>
      <c r="V51" s="5">
        <f t="shared" si="43"/>
        <v>3.0824530806451761E-3</v>
      </c>
      <c r="W51" s="1"/>
      <c r="X51" s="1">
        <f t="shared" si="44"/>
        <v>-326.68000000000006</v>
      </c>
      <c r="Y51" s="1"/>
      <c r="Z51" s="5">
        <f t="shared" si="45"/>
        <v>-0.26319054486275717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7">
        <v>160</v>
      </c>
      <c r="E52" s="2"/>
      <c r="F52" s="6">
        <f t="shared" si="38"/>
        <v>0</v>
      </c>
      <c r="G52" s="2"/>
      <c r="H52" s="7">
        <v>187</v>
      </c>
      <c r="I52" s="2"/>
      <c r="J52" s="6">
        <f t="shared" si="39"/>
        <v>3.8035899380197899E-3</v>
      </c>
      <c r="K52" s="2"/>
      <c r="L52" s="7">
        <f t="shared" si="40"/>
        <v>-27</v>
      </c>
      <c r="M52" s="2"/>
      <c r="N52" s="6">
        <f t="shared" si="41"/>
        <v>-0.14438502673796791</v>
      </c>
      <c r="O52" s="11"/>
      <c r="P52" s="7">
        <v>914.55</v>
      </c>
      <c r="Q52" s="2"/>
      <c r="R52" s="6">
        <f t="shared" si="42"/>
        <v>0</v>
      </c>
      <c r="S52" s="2"/>
      <c r="T52" s="7">
        <v>1241.23</v>
      </c>
      <c r="U52" s="2"/>
      <c r="V52" s="6">
        <f t="shared" si="43"/>
        <v>3.0824530806451761E-3</v>
      </c>
      <c r="W52" s="2"/>
      <c r="X52" s="7">
        <f t="shared" si="44"/>
        <v>-326.68000000000006</v>
      </c>
      <c r="Y52" s="2"/>
      <c r="Z52" s="6">
        <f t="shared" si="45"/>
        <v>-0.26319054486275717</v>
      </c>
    </row>
    <row r="53" spans="1:26" s="25" customFormat="1" outlineLevel="1" collapsed="1" x14ac:dyDescent="0.25">
      <c r="A53" s="26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SUM(OSRRefD22_9x_0)</f>
        <v>243.54</v>
      </c>
      <c r="E53" s="1"/>
      <c r="F53" s="5">
        <f t="shared" si="38"/>
        <v>0</v>
      </c>
      <c r="G53" s="1"/>
      <c r="H53" s="1">
        <f>SUM(OSRRefH22_9x_0)</f>
        <v>243.54</v>
      </c>
      <c r="I53" s="1"/>
      <c r="J53" s="5">
        <f t="shared" si="39"/>
        <v>4.9536165428093028E-3</v>
      </c>
      <c r="K53" s="1"/>
      <c r="L53" s="1">
        <f t="shared" si="40"/>
        <v>0</v>
      </c>
      <c r="M53" s="1"/>
      <c r="N53" s="5">
        <f t="shared" si="41"/>
        <v>0</v>
      </c>
      <c r="O53" s="13"/>
      <c r="P53" s="1">
        <f>SUM(OSRRefP22_9x_0)</f>
        <v>1461.24</v>
      </c>
      <c r="Q53" s="1"/>
      <c r="R53" s="5">
        <f t="shared" si="42"/>
        <v>0</v>
      </c>
      <c r="S53" s="1"/>
      <c r="T53" s="1">
        <f>SUM(OSRRefT22_9x_0)</f>
        <v>1461.24</v>
      </c>
      <c r="U53" s="1"/>
      <c r="V53" s="5">
        <f t="shared" si="43"/>
        <v>3.6288228125020802E-3</v>
      </c>
      <c r="W53" s="1"/>
      <c r="X53" s="1">
        <f t="shared" si="44"/>
        <v>0</v>
      </c>
      <c r="Y53" s="1"/>
      <c r="Z53" s="5">
        <f t="shared" si="45"/>
        <v>0</v>
      </c>
    </row>
    <row r="54" spans="1:26" s="24" customFormat="1" hidden="1" outlineLevel="2" x14ac:dyDescent="0.25">
      <c r="A54" s="27"/>
      <c r="B54" s="11" t="str">
        <f>CONCATENATE("          ", "6314", " - ", "LIABILITY INSURANCE")</f>
        <v xml:space="preserve">          6314 - LIABILITY INSURANCE</v>
      </c>
      <c r="C54" s="11"/>
      <c r="D54" s="7">
        <v>243.54</v>
      </c>
      <c r="E54" s="2"/>
      <c r="F54" s="6">
        <f t="shared" si="38"/>
        <v>0</v>
      </c>
      <c r="G54" s="2"/>
      <c r="H54" s="7">
        <v>243.54</v>
      </c>
      <c r="I54" s="2"/>
      <c r="J54" s="6">
        <f t="shared" si="39"/>
        <v>4.9536165428093028E-3</v>
      </c>
      <c r="K54" s="2"/>
      <c r="L54" s="7">
        <f t="shared" si="40"/>
        <v>0</v>
      </c>
      <c r="M54" s="2"/>
      <c r="N54" s="6">
        <f t="shared" si="41"/>
        <v>0</v>
      </c>
      <c r="O54" s="11"/>
      <c r="P54" s="7">
        <v>1461.24</v>
      </c>
      <c r="Q54" s="2"/>
      <c r="R54" s="6">
        <f t="shared" si="42"/>
        <v>0</v>
      </c>
      <c r="S54" s="2"/>
      <c r="T54" s="7">
        <v>1461.24</v>
      </c>
      <c r="U54" s="2"/>
      <c r="V54" s="6">
        <f t="shared" si="43"/>
        <v>3.6288228125020802E-3</v>
      </c>
      <c r="W54" s="2"/>
      <c r="X54" s="7">
        <f t="shared" si="44"/>
        <v>0</v>
      </c>
      <c r="Y54" s="2"/>
      <c r="Z54" s="6">
        <f t="shared" si="45"/>
        <v>0</v>
      </c>
    </row>
    <row r="55" spans="1:26" s="25" customFormat="1" outlineLevel="1" collapsed="1" x14ac:dyDescent="0.25">
      <c r="A55" s="26"/>
      <c r="B55" s="13" t="str">
        <f>CONCATENATE("     ","Interest                                          ")</f>
        <v xml:space="preserve">     Interest                                          </v>
      </c>
      <c r="C55" s="13"/>
      <c r="D55" s="1">
        <f>SUM(OSRRefD22_10x_0)</f>
        <v>4044</v>
      </c>
      <c r="E55" s="1"/>
      <c r="F55" s="5">
        <f t="shared" si="38"/>
        <v>0</v>
      </c>
      <c r="G55" s="1"/>
      <c r="H55" s="1">
        <f>SUM(OSRRefH22_10x_0)</f>
        <v>4175</v>
      </c>
      <c r="I55" s="1"/>
      <c r="J55" s="5">
        <f t="shared" si="39"/>
        <v>8.4919721878249324E-2</v>
      </c>
      <c r="K55" s="1"/>
      <c r="L55" s="1">
        <f t="shared" si="40"/>
        <v>-131</v>
      </c>
      <c r="M55" s="1"/>
      <c r="N55" s="5">
        <f t="shared" si="41"/>
        <v>-3.1377245508982035E-2</v>
      </c>
      <c r="O55" s="13"/>
      <c r="P55" s="1">
        <f>SUM(OSRRefP22_10x_0)</f>
        <v>24001.85</v>
      </c>
      <c r="Q55" s="1"/>
      <c r="R55" s="5">
        <f t="shared" si="42"/>
        <v>0</v>
      </c>
      <c r="S55" s="1"/>
      <c r="T55" s="1">
        <f>SUM(OSRRefT22_10x_0)</f>
        <v>24843.95</v>
      </c>
      <c r="U55" s="1"/>
      <c r="V55" s="5">
        <f t="shared" si="43"/>
        <v>6.1697115130068335E-2</v>
      </c>
      <c r="W55" s="1"/>
      <c r="X55" s="1">
        <f t="shared" si="44"/>
        <v>-842.10000000000218</v>
      </c>
      <c r="Y55" s="1"/>
      <c r="Z55" s="5">
        <f t="shared" si="45"/>
        <v>-3.3895576186556572E-2</v>
      </c>
    </row>
    <row r="56" spans="1:26" s="24" customFormat="1" hidden="1" outlineLevel="2" x14ac:dyDescent="0.25">
      <c r="A56" s="27"/>
      <c r="B56" s="11" t="str">
        <f>CONCATENATE("          ", "6401", " - ", "INTEREST EXPENSE")</f>
        <v xml:space="preserve">          6401 - INTEREST EXPENSE</v>
      </c>
      <c r="C56" s="11"/>
      <c r="D56" s="7">
        <v>4044</v>
      </c>
      <c r="E56" s="2"/>
      <c r="F56" s="6">
        <f t="shared" si="38"/>
        <v>0</v>
      </c>
      <c r="G56" s="2"/>
      <c r="H56" s="7">
        <v>4175</v>
      </c>
      <c r="I56" s="2"/>
      <c r="J56" s="6">
        <f t="shared" si="39"/>
        <v>8.4919721878249324E-2</v>
      </c>
      <c r="K56" s="2"/>
      <c r="L56" s="7">
        <f t="shared" si="40"/>
        <v>-131</v>
      </c>
      <c r="M56" s="2"/>
      <c r="N56" s="6">
        <f t="shared" si="41"/>
        <v>-3.1377245508982035E-2</v>
      </c>
      <c r="O56" s="11"/>
      <c r="P56" s="7">
        <v>24001.85</v>
      </c>
      <c r="Q56" s="2"/>
      <c r="R56" s="6">
        <f t="shared" si="42"/>
        <v>0</v>
      </c>
      <c r="S56" s="2"/>
      <c r="T56" s="7">
        <v>24843.95</v>
      </c>
      <c r="U56" s="2"/>
      <c r="V56" s="6">
        <f t="shared" si="43"/>
        <v>6.1697115130068335E-2</v>
      </c>
      <c r="W56" s="2"/>
      <c r="X56" s="7">
        <f t="shared" si="44"/>
        <v>-842.10000000000218</v>
      </c>
      <c r="Y56" s="2"/>
      <c r="Z56" s="6">
        <f t="shared" si="45"/>
        <v>-3.3895576186556572E-2</v>
      </c>
    </row>
    <row r="57" spans="1:26" s="25" customFormat="1" outlineLevel="1" collapsed="1" x14ac:dyDescent="0.25">
      <c r="A57" s="26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SUM(OSRRefD22_11x_0)</f>
        <v>108.52</v>
      </c>
      <c r="E57" s="1"/>
      <c r="F57" s="5">
        <f t="shared" si="38"/>
        <v>0</v>
      </c>
      <c r="G57" s="1"/>
      <c r="H57" s="1">
        <f>SUM(OSRRefH22_11x_0)</f>
        <v>292.89999999999998</v>
      </c>
      <c r="I57" s="1"/>
      <c r="J57" s="5">
        <f t="shared" si="39"/>
        <v>5.9576015660213711E-3</v>
      </c>
      <c r="K57" s="1"/>
      <c r="L57" s="1">
        <f t="shared" si="40"/>
        <v>-184.38</v>
      </c>
      <c r="M57" s="1"/>
      <c r="N57" s="5">
        <f t="shared" si="41"/>
        <v>-0.62949812222601575</v>
      </c>
      <c r="O57" s="13"/>
      <c r="P57" s="1">
        <f>SUM(OSRRefP22_11x_0)</f>
        <v>295.64</v>
      </c>
      <c r="Q57" s="1"/>
      <c r="R57" s="5">
        <f t="shared" si="42"/>
        <v>0</v>
      </c>
      <c r="S57" s="1"/>
      <c r="T57" s="1">
        <f>SUM(OSRRefT22_11x_0)</f>
        <v>916.99</v>
      </c>
      <c r="U57" s="1"/>
      <c r="V57" s="5">
        <f t="shared" si="43"/>
        <v>2.2772400364322646E-3</v>
      </c>
      <c r="W57" s="1"/>
      <c r="X57" s="1">
        <f t="shared" si="44"/>
        <v>-621.35</v>
      </c>
      <c r="Y57" s="1"/>
      <c r="Z57" s="5">
        <f t="shared" si="45"/>
        <v>-0.67759735656877396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38"/>
        <v>0</v>
      </c>
      <c r="G58" s="2"/>
      <c r="H58" s="7"/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/>
      <c r="Q58" s="2"/>
      <c r="R58" s="6">
        <f t="shared" si="42"/>
        <v>0</v>
      </c>
      <c r="S58" s="2"/>
      <c r="T58" s="7">
        <v>437.31</v>
      </c>
      <c r="U58" s="2"/>
      <c r="V58" s="6">
        <f t="shared" si="43"/>
        <v>1.0860094879248342E-3</v>
      </c>
      <c r="W58" s="2"/>
      <c r="X58" s="7">
        <f t="shared" si="44"/>
        <v>-437.31</v>
      </c>
      <c r="Y58" s="2"/>
      <c r="Z58" s="6">
        <f t="shared" si="45"/>
        <v>-1</v>
      </c>
    </row>
    <row r="59" spans="1:26" s="24" customFormat="1" hidden="1" outlineLevel="2" x14ac:dyDescent="0.25">
      <c r="A59" s="27"/>
      <c r="B59" s="11" t="str">
        <f>CONCATENATE("          ", "6373", " - ", "MAINTENANCE CONTRACTS")</f>
        <v xml:space="preserve">          6373 - MAINTENANCE CONTRACTS</v>
      </c>
      <c r="C59" s="11"/>
      <c r="D59" s="7">
        <v>108.52</v>
      </c>
      <c r="E59" s="2"/>
      <c r="F59" s="6">
        <f t="shared" si="38"/>
        <v>0</v>
      </c>
      <c r="G59" s="2"/>
      <c r="H59" s="7">
        <v>107.03</v>
      </c>
      <c r="I59" s="2"/>
      <c r="J59" s="6">
        <f t="shared" si="39"/>
        <v>2.1769958880548564E-3</v>
      </c>
      <c r="K59" s="2"/>
      <c r="L59" s="7">
        <f t="shared" si="40"/>
        <v>1.4899999999999949</v>
      </c>
      <c r="M59" s="2"/>
      <c r="N59" s="6">
        <f t="shared" si="41"/>
        <v>1.392133046809301E-2</v>
      </c>
      <c r="O59" s="11"/>
      <c r="P59" s="7">
        <v>295.64</v>
      </c>
      <c r="Q59" s="2"/>
      <c r="R59" s="6">
        <f t="shared" si="42"/>
        <v>0</v>
      </c>
      <c r="S59" s="2"/>
      <c r="T59" s="7">
        <v>209.74</v>
      </c>
      <c r="U59" s="2"/>
      <c r="V59" s="6">
        <f t="shared" si="43"/>
        <v>5.2086535866400206E-4</v>
      </c>
      <c r="W59" s="2"/>
      <c r="X59" s="7">
        <f t="shared" si="44"/>
        <v>85.899999999999977</v>
      </c>
      <c r="Y59" s="2"/>
      <c r="Z59" s="6">
        <f t="shared" si="45"/>
        <v>0.40955468675502993</v>
      </c>
    </row>
    <row r="60" spans="1:26" s="24" customFormat="1" hidden="1" outlineLevel="2" x14ac:dyDescent="0.25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7"/>
      <c r="E60" s="2"/>
      <c r="F60" s="6">
        <f t="shared" si="38"/>
        <v>0</v>
      </c>
      <c r="G60" s="2"/>
      <c r="H60" s="7">
        <v>185.87</v>
      </c>
      <c r="I60" s="2"/>
      <c r="J60" s="6">
        <f t="shared" si="39"/>
        <v>3.7806056779665152E-3</v>
      </c>
      <c r="K60" s="2"/>
      <c r="L60" s="7">
        <f t="shared" si="40"/>
        <v>-185.87</v>
      </c>
      <c r="M60" s="2"/>
      <c r="N60" s="6">
        <f t="shared" si="41"/>
        <v>-1</v>
      </c>
      <c r="O60" s="11"/>
      <c r="P60" s="7"/>
      <c r="Q60" s="2"/>
      <c r="R60" s="6">
        <f t="shared" si="42"/>
        <v>0</v>
      </c>
      <c r="S60" s="2"/>
      <c r="T60" s="7">
        <v>269.94</v>
      </c>
      <c r="U60" s="2"/>
      <c r="V60" s="6">
        <f t="shared" si="43"/>
        <v>6.7036518984342854E-4</v>
      </c>
      <c r="W60" s="2"/>
      <c r="X60" s="7">
        <f t="shared" si="44"/>
        <v>-269.94</v>
      </c>
      <c r="Y60" s="2"/>
      <c r="Z60" s="6">
        <f t="shared" si="45"/>
        <v>-1</v>
      </c>
    </row>
    <row r="61" spans="1:26" s="25" customFormat="1" outlineLevel="1" collapsed="1" x14ac:dyDescent="0.25">
      <c r="A61" s="26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SUM(OSRRefD22_12x_0)</f>
        <v>289</v>
      </c>
      <c r="E61" s="1"/>
      <c r="F61" s="5">
        <f t="shared" ref="F61:F64" si="46">IF(D$12=0,0,D61/D$12)</f>
        <v>0</v>
      </c>
      <c r="G61" s="1"/>
      <c r="H61" s="1">
        <f>SUM(OSRRefH22_12x_0)</f>
        <v>1675.63</v>
      </c>
      <c r="I61" s="1"/>
      <c r="J61" s="5">
        <f t="shared" ref="J61:J64" si="47">IF(H$12=0,0,H61/H$12)</f>
        <v>3.4082403250503213E-2</v>
      </c>
      <c r="K61" s="1"/>
      <c r="L61" s="1">
        <f t="shared" ref="L61:L64" si="48">+D61-H61</f>
        <v>-1386.63</v>
      </c>
      <c r="M61" s="1"/>
      <c r="N61" s="5">
        <f t="shared" ref="N61:N64" si="49">IF(H61=0,0,L61/H61)</f>
        <v>-0.82752755679953216</v>
      </c>
      <c r="O61" s="13"/>
      <c r="P61" s="1">
        <f>SUM(OSRRefP22_12x_0)</f>
        <v>578</v>
      </c>
      <c r="Q61" s="1"/>
      <c r="R61" s="5">
        <f t="shared" ref="R61:R64" si="50">IF(P$12=0,0,P61/P$12)</f>
        <v>0</v>
      </c>
      <c r="S61" s="1"/>
      <c r="T61" s="1">
        <f>SUM(OSRRefT22_12x_0)</f>
        <v>3418.99</v>
      </c>
      <c r="U61" s="1"/>
      <c r="V61" s="5">
        <f t="shared" ref="V61:V64" si="51">IF(T$12=0,0,T61/T$12)</f>
        <v>8.4906715582084291E-3</v>
      </c>
      <c r="W61" s="1"/>
      <c r="X61" s="1">
        <f t="shared" ref="X61:X64" si="52">+P61-T61</f>
        <v>-2840.99</v>
      </c>
      <c r="Y61" s="1"/>
      <c r="Z61" s="5">
        <f t="shared" ref="Z61:Z64" si="53">IF(T61=0,0,X61/T61)</f>
        <v>-0.83094422621885411</v>
      </c>
    </row>
    <row r="62" spans="1:26" s="24" customFormat="1" hidden="1" outlineLevel="2" x14ac:dyDescent="0.25">
      <c r="A62" s="27"/>
      <c r="B62" s="11" t="str">
        <f>CONCATENATE("          ", "6282", " - ", "JANITORIAL/EXTERMINATOR EXPENS")</f>
        <v xml:space="preserve">          6282 - JANITORIAL/EXTERMINATOR EXPENS</v>
      </c>
      <c r="C62" s="11"/>
      <c r="D62" s="7"/>
      <c r="E62" s="2"/>
      <c r="F62" s="6">
        <f t="shared" si="46"/>
        <v>0</v>
      </c>
      <c r="G62" s="2"/>
      <c r="H62" s="7">
        <v>786.75</v>
      </c>
      <c r="I62" s="2"/>
      <c r="J62" s="6">
        <f t="shared" si="47"/>
        <v>1.6002536811428179E-2</v>
      </c>
      <c r="K62" s="2"/>
      <c r="L62" s="7">
        <f t="shared" si="48"/>
        <v>-786.75</v>
      </c>
      <c r="M62" s="2"/>
      <c r="N62" s="6">
        <f t="shared" si="49"/>
        <v>-1</v>
      </c>
      <c r="O62" s="11"/>
      <c r="P62" s="7"/>
      <c r="Q62" s="2"/>
      <c r="R62" s="6">
        <f t="shared" si="50"/>
        <v>0</v>
      </c>
      <c r="S62" s="2"/>
      <c r="T62" s="7">
        <v>1101.45</v>
      </c>
      <c r="U62" s="2"/>
      <c r="V62" s="6">
        <f t="shared" si="51"/>
        <v>2.7353253995445075E-3</v>
      </c>
      <c r="W62" s="2"/>
      <c r="X62" s="7">
        <f t="shared" si="52"/>
        <v>-1101.45</v>
      </c>
      <c r="Y62" s="2"/>
      <c r="Z62" s="6">
        <f t="shared" si="53"/>
        <v>-1</v>
      </c>
    </row>
    <row r="63" spans="1:26" s="24" customFormat="1" hidden="1" outlineLevel="2" x14ac:dyDescent="0.25">
      <c r="A63" s="27"/>
      <c r="B63" s="11" t="str">
        <f>CONCATENATE("          ", "6284", " - ", "TRASH REMOVAL EXPENSE")</f>
        <v xml:space="preserve">          6284 - TRASH REMOVAL EXPENSE</v>
      </c>
      <c r="C63" s="11"/>
      <c r="D63" s="7">
        <v>289</v>
      </c>
      <c r="E63" s="2"/>
      <c r="F63" s="6">
        <f t="shared" si="46"/>
        <v>0</v>
      </c>
      <c r="G63" s="2"/>
      <c r="H63" s="7">
        <v>785</v>
      </c>
      <c r="I63" s="2"/>
      <c r="J63" s="6">
        <f t="shared" si="47"/>
        <v>1.5966941718425321E-2</v>
      </c>
      <c r="K63" s="2"/>
      <c r="L63" s="7">
        <f t="shared" si="48"/>
        <v>-496</v>
      </c>
      <c r="M63" s="2"/>
      <c r="N63" s="6">
        <f t="shared" si="49"/>
        <v>-0.63184713375796175</v>
      </c>
      <c r="O63" s="11"/>
      <c r="P63" s="7">
        <v>578</v>
      </c>
      <c r="Q63" s="2"/>
      <c r="R63" s="6">
        <f t="shared" si="50"/>
        <v>0</v>
      </c>
      <c r="S63" s="2"/>
      <c r="T63" s="7">
        <v>1733</v>
      </c>
      <c r="U63" s="2"/>
      <c r="V63" s="6">
        <f t="shared" si="51"/>
        <v>4.3037077646834914E-3</v>
      </c>
      <c r="W63" s="2"/>
      <c r="X63" s="7">
        <f t="shared" si="52"/>
        <v>-1155</v>
      </c>
      <c r="Y63" s="2"/>
      <c r="Z63" s="6">
        <f t="shared" si="53"/>
        <v>-0.66647432198499712</v>
      </c>
    </row>
    <row r="64" spans="1:26" s="24" customFormat="1" hidden="1" outlineLevel="2" x14ac:dyDescent="0.25">
      <c r="A64" s="27"/>
      <c r="B64" s="11" t="str">
        <f>CONCATENATE("          ", "6286", " - ", "LAUNDRY EXPENSE")</f>
        <v xml:space="preserve">          6286 - LAUNDRY EXPENSE</v>
      </c>
      <c r="C64" s="11"/>
      <c r="D64" s="7"/>
      <c r="E64" s="2"/>
      <c r="F64" s="6">
        <f t="shared" si="46"/>
        <v>0</v>
      </c>
      <c r="G64" s="2"/>
      <c r="H64" s="7">
        <v>103.88</v>
      </c>
      <c r="I64" s="2"/>
      <c r="J64" s="6">
        <f t="shared" si="47"/>
        <v>2.11292472064971E-3</v>
      </c>
      <c r="K64" s="2"/>
      <c r="L64" s="7">
        <f t="shared" si="48"/>
        <v>-103.88</v>
      </c>
      <c r="M64" s="2"/>
      <c r="N64" s="6">
        <f t="shared" si="49"/>
        <v>-1</v>
      </c>
      <c r="O64" s="11"/>
      <c r="P64" s="7"/>
      <c r="Q64" s="2"/>
      <c r="R64" s="6">
        <f t="shared" si="50"/>
        <v>0</v>
      </c>
      <c r="S64" s="2"/>
      <c r="T64" s="7">
        <v>584.54</v>
      </c>
      <c r="U64" s="2"/>
      <c r="V64" s="6">
        <f t="shared" si="51"/>
        <v>1.4516383939804315E-3</v>
      </c>
      <c r="W64" s="2"/>
      <c r="X64" s="7">
        <f t="shared" si="52"/>
        <v>-584.54</v>
      </c>
      <c r="Y64" s="2"/>
      <c r="Z64" s="6">
        <f t="shared" si="53"/>
        <v>-1</v>
      </c>
    </row>
    <row r="65" spans="1:26" s="25" customFormat="1" outlineLevel="1" collapsed="1" x14ac:dyDescent="0.25">
      <c r="A65" s="26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SUM(OSRRefD22_13x_0)</f>
        <v>0</v>
      </c>
      <c r="E65" s="1"/>
      <c r="F65" s="5">
        <f t="shared" ref="F65:F72" si="54">IF(D$12=0,0,D65/D$12)</f>
        <v>0</v>
      </c>
      <c r="G65" s="1"/>
      <c r="H65" s="1">
        <f>SUM(OSRRefH22_13x_0)</f>
        <v>352.8</v>
      </c>
      <c r="I65" s="1"/>
      <c r="J65" s="5">
        <f t="shared" ref="J65:J72" si="55">IF(H$12=0,0,H65/H$12)</f>
        <v>7.1759707493763737E-3</v>
      </c>
      <c r="K65" s="1"/>
      <c r="L65" s="1">
        <f t="shared" ref="L65:L72" si="56">+D65-H65</f>
        <v>-352.8</v>
      </c>
      <c r="M65" s="1"/>
      <c r="N65" s="5">
        <f t="shared" ref="N65:N72" si="57">IF(H65=0,0,L65/H65)</f>
        <v>-1</v>
      </c>
      <c r="O65" s="13"/>
      <c r="P65" s="1">
        <f>SUM(OSRRefP22_13x_0)</f>
        <v>0</v>
      </c>
      <c r="Q65" s="1"/>
      <c r="R65" s="5">
        <f t="shared" ref="R65:R72" si="58">IF(P$12=0,0,P65/P$12)</f>
        <v>0</v>
      </c>
      <c r="S65" s="1"/>
      <c r="T65" s="1">
        <f>SUM(OSRRefT22_13x_0)</f>
        <v>1058.4000000000001</v>
      </c>
      <c r="U65" s="1"/>
      <c r="V65" s="5">
        <f t="shared" ref="V65:V72" si="59">IF(T$12=0,0,T65/T$12)</f>
        <v>2.6284156365499176E-3</v>
      </c>
      <c r="W65" s="1"/>
      <c r="X65" s="1">
        <f t="shared" ref="X65:X72" si="60">+P65-T65</f>
        <v>-1058.4000000000001</v>
      </c>
      <c r="Y65" s="1"/>
      <c r="Z65" s="5">
        <f t="shared" ref="Z65:Z72" si="61">IF(T65=0,0,X65/T65)</f>
        <v>-1</v>
      </c>
    </row>
    <row r="66" spans="1:26" s="24" customFormat="1" hidden="1" outlineLevel="2" x14ac:dyDescent="0.25">
      <c r="A66" s="27"/>
      <c r="B66" s="11" t="str">
        <f>CONCATENATE("          ", "6275", " - ", "SUBSCRIPTIONS")</f>
        <v xml:space="preserve">          6275 - SUBSCRIPTIONS</v>
      </c>
      <c r="C66" s="11"/>
      <c r="D66" s="7"/>
      <c r="E66" s="2"/>
      <c r="F66" s="6">
        <f t="shared" si="54"/>
        <v>0</v>
      </c>
      <c r="G66" s="2"/>
      <c r="H66" s="7">
        <v>352.8</v>
      </c>
      <c r="I66" s="2"/>
      <c r="J66" s="6">
        <f t="shared" si="55"/>
        <v>7.1759707493763737E-3</v>
      </c>
      <c r="K66" s="2"/>
      <c r="L66" s="7">
        <f t="shared" si="56"/>
        <v>-352.8</v>
      </c>
      <c r="M66" s="2"/>
      <c r="N66" s="6">
        <f t="shared" si="57"/>
        <v>-1</v>
      </c>
      <c r="O66" s="11"/>
      <c r="P66" s="7"/>
      <c r="Q66" s="2"/>
      <c r="R66" s="6">
        <f t="shared" si="58"/>
        <v>0</v>
      </c>
      <c r="S66" s="2"/>
      <c r="T66" s="7">
        <v>1058.4000000000001</v>
      </c>
      <c r="U66" s="2"/>
      <c r="V66" s="6">
        <f t="shared" si="59"/>
        <v>2.6284156365499176E-3</v>
      </c>
      <c r="W66" s="2"/>
      <c r="X66" s="7">
        <f t="shared" si="60"/>
        <v>-1058.4000000000001</v>
      </c>
      <c r="Y66" s="2"/>
      <c r="Z66" s="6">
        <f t="shared" si="61"/>
        <v>-1</v>
      </c>
    </row>
    <row r="67" spans="1:26" s="25" customFormat="1" outlineLevel="1" collapsed="1" x14ac:dyDescent="0.25">
      <c r="A67" s="26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SUM(OSRRefD22_14x_0)</f>
        <v>0</v>
      </c>
      <c r="E67" s="1"/>
      <c r="F67" s="5">
        <f t="shared" si="54"/>
        <v>0</v>
      </c>
      <c r="G67" s="1"/>
      <c r="H67" s="1">
        <f>SUM(OSRRefH22_14x_0)</f>
        <v>37.94</v>
      </c>
      <c r="I67" s="1"/>
      <c r="J67" s="5">
        <f t="shared" si="55"/>
        <v>7.7170161630198304E-4</v>
      </c>
      <c r="K67" s="1"/>
      <c r="L67" s="1">
        <f t="shared" si="56"/>
        <v>-37.94</v>
      </c>
      <c r="M67" s="1"/>
      <c r="N67" s="5">
        <f t="shared" si="57"/>
        <v>-1</v>
      </c>
      <c r="O67" s="13"/>
      <c r="P67" s="1">
        <f>SUM(OSRRefP22_14x_0)</f>
        <v>634.24</v>
      </c>
      <c r="Q67" s="1"/>
      <c r="R67" s="5">
        <f t="shared" si="58"/>
        <v>0</v>
      </c>
      <c r="S67" s="1"/>
      <c r="T67" s="1">
        <f>SUM(OSRRefT22_14x_0)</f>
        <v>8810.5399999999991</v>
      </c>
      <c r="U67" s="1"/>
      <c r="V67" s="5">
        <f t="shared" si="59"/>
        <v>2.1879970807302068E-2</v>
      </c>
      <c r="W67" s="1"/>
      <c r="X67" s="1">
        <f t="shared" si="60"/>
        <v>-8176.2999999999993</v>
      </c>
      <c r="Y67" s="1"/>
      <c r="Z67" s="5">
        <f t="shared" si="61"/>
        <v>-0.92801349293005875</v>
      </c>
    </row>
    <row r="68" spans="1:26" s="24" customFormat="1" hidden="1" outlineLevel="2" x14ac:dyDescent="0.25">
      <c r="A68" s="27"/>
      <c r="B68" s="11" t="str">
        <f>CONCATENATE("          ", "6234", " - ", "EXPENDABLE SUPPLIES &amp; EQUIPMEN")</f>
        <v xml:space="preserve">          6234 - EXPENDABLE SUPPLIES &amp; EQUIPMEN</v>
      </c>
      <c r="C68" s="11"/>
      <c r="D68" s="7"/>
      <c r="E68" s="2"/>
      <c r="F68" s="6">
        <f t="shared" si="54"/>
        <v>0</v>
      </c>
      <c r="G68" s="2"/>
      <c r="H68" s="7"/>
      <c r="I68" s="2"/>
      <c r="J68" s="6">
        <f t="shared" si="55"/>
        <v>0</v>
      </c>
      <c r="K68" s="2"/>
      <c r="L68" s="7">
        <f t="shared" si="56"/>
        <v>0</v>
      </c>
      <c r="M68" s="2"/>
      <c r="N68" s="6">
        <f t="shared" si="57"/>
        <v>0</v>
      </c>
      <c r="O68" s="11"/>
      <c r="P68" s="7">
        <v>316.67</v>
      </c>
      <c r="Q68" s="2"/>
      <c r="R68" s="6">
        <f t="shared" si="58"/>
        <v>0</v>
      </c>
      <c r="S68" s="2"/>
      <c r="T68" s="7">
        <v>28.22</v>
      </c>
      <c r="U68" s="2"/>
      <c r="V68" s="6">
        <f t="shared" si="59"/>
        <v>7.0081150097731169E-5</v>
      </c>
      <c r="W68" s="2"/>
      <c r="X68" s="7">
        <f t="shared" si="60"/>
        <v>288.45000000000005</v>
      </c>
      <c r="Y68" s="2"/>
      <c r="Z68" s="6">
        <f t="shared" si="61"/>
        <v>10.221474131821406</v>
      </c>
    </row>
    <row r="69" spans="1:26" s="24" customFormat="1" hidden="1" outlineLevel="2" x14ac:dyDescent="0.25">
      <c r="A69" s="27"/>
      <c r="B69" s="11" t="str">
        <f>CONCATENATE("          ", "6237", " - ", "JANITORIAL SUPPLIES")</f>
        <v xml:space="preserve">          6237 - JANITORIAL SUPPLIES</v>
      </c>
      <c r="C69" s="11"/>
      <c r="D69" s="7"/>
      <c r="E69" s="2"/>
      <c r="F69" s="6">
        <f t="shared" si="54"/>
        <v>0</v>
      </c>
      <c r="G69" s="2"/>
      <c r="H69" s="7"/>
      <c r="I69" s="2"/>
      <c r="J69" s="6">
        <f t="shared" si="55"/>
        <v>0</v>
      </c>
      <c r="K69" s="2"/>
      <c r="L69" s="7">
        <f t="shared" si="56"/>
        <v>0</v>
      </c>
      <c r="M69" s="2"/>
      <c r="N69" s="6">
        <f t="shared" si="57"/>
        <v>0</v>
      </c>
      <c r="O69" s="11"/>
      <c r="P69" s="7">
        <v>317.57</v>
      </c>
      <c r="Q69" s="2"/>
      <c r="R69" s="6">
        <f t="shared" si="58"/>
        <v>0</v>
      </c>
      <c r="S69" s="2"/>
      <c r="T69" s="7">
        <v>690.05</v>
      </c>
      <c r="U69" s="2"/>
      <c r="V69" s="6">
        <f t="shared" si="59"/>
        <v>1.7136604402884265E-3</v>
      </c>
      <c r="W69" s="2"/>
      <c r="X69" s="7">
        <f t="shared" si="60"/>
        <v>-372.47999999999996</v>
      </c>
      <c r="Y69" s="2"/>
      <c r="Z69" s="6">
        <f t="shared" si="61"/>
        <v>-0.53978697195855374</v>
      </c>
    </row>
    <row r="70" spans="1:26" s="24" customFormat="1" hidden="1" outlineLevel="2" x14ac:dyDescent="0.25">
      <c r="A70" s="27"/>
      <c r="B70" s="11" t="str">
        <f>CONCATENATE("          ", "6241", " - ", "OFFICE EXPENSE")</f>
        <v xml:space="preserve">          6241 - OFFICE EXPENSE</v>
      </c>
      <c r="C70" s="11"/>
      <c r="D70" s="7"/>
      <c r="E70" s="2"/>
      <c r="F70" s="6">
        <f t="shared" si="54"/>
        <v>0</v>
      </c>
      <c r="G70" s="2"/>
      <c r="H70" s="7">
        <v>117.94</v>
      </c>
      <c r="I70" s="2"/>
      <c r="J70" s="6">
        <f t="shared" si="55"/>
        <v>2.3989058678612514E-3</v>
      </c>
      <c r="K70" s="2"/>
      <c r="L70" s="7">
        <f t="shared" si="56"/>
        <v>-117.94</v>
      </c>
      <c r="M70" s="2"/>
      <c r="N70" s="6">
        <f t="shared" si="57"/>
        <v>-1</v>
      </c>
      <c r="O70" s="11"/>
      <c r="P70" s="7"/>
      <c r="Q70" s="2"/>
      <c r="R70" s="6">
        <f t="shared" si="58"/>
        <v>0</v>
      </c>
      <c r="S70" s="2"/>
      <c r="T70" s="7">
        <v>446.07</v>
      </c>
      <c r="U70" s="2"/>
      <c r="V70" s="6">
        <f t="shared" si="59"/>
        <v>1.1077639484087507E-3</v>
      </c>
      <c r="W70" s="2"/>
      <c r="X70" s="7">
        <f t="shared" si="60"/>
        <v>-446.07</v>
      </c>
      <c r="Y70" s="2"/>
      <c r="Z70" s="6">
        <f t="shared" si="61"/>
        <v>-1</v>
      </c>
    </row>
    <row r="71" spans="1:26" s="24" customFormat="1" hidden="1" outlineLevel="2" x14ac:dyDescent="0.25">
      <c r="A71" s="27"/>
      <c r="B71" s="11" t="str">
        <f>CONCATENATE("          ", "6243", " - ", "PAPER SUPPLIES")</f>
        <v xml:space="preserve">          6243 - PAPER SUPPLIES</v>
      </c>
      <c r="C71" s="11"/>
      <c r="D71" s="7"/>
      <c r="E71" s="2"/>
      <c r="F71" s="6">
        <f t="shared" si="54"/>
        <v>0</v>
      </c>
      <c r="G71" s="2"/>
      <c r="H71" s="7"/>
      <c r="I71" s="2"/>
      <c r="J71" s="6">
        <f t="shared" si="55"/>
        <v>0</v>
      </c>
      <c r="K71" s="2"/>
      <c r="L71" s="7">
        <f t="shared" si="56"/>
        <v>0</v>
      </c>
      <c r="M71" s="2"/>
      <c r="N71" s="6">
        <f t="shared" si="57"/>
        <v>0</v>
      </c>
      <c r="O71" s="11"/>
      <c r="P71" s="7"/>
      <c r="Q71" s="2"/>
      <c r="R71" s="6">
        <f t="shared" si="58"/>
        <v>0</v>
      </c>
      <c r="S71" s="2"/>
      <c r="T71" s="7">
        <v>676.55</v>
      </c>
      <c r="U71" s="2"/>
      <c r="V71" s="6">
        <f t="shared" si="59"/>
        <v>1.6801347306385549E-3</v>
      </c>
      <c r="W71" s="2"/>
      <c r="X71" s="7">
        <f t="shared" si="60"/>
        <v>-676.55</v>
      </c>
      <c r="Y71" s="2"/>
      <c r="Z71" s="6">
        <f t="shared" si="61"/>
        <v>-1</v>
      </c>
    </row>
    <row r="72" spans="1:26" s="24" customFormat="1" hidden="1" outlineLevel="2" x14ac:dyDescent="0.25">
      <c r="A72" s="27"/>
      <c r="B72" s="11" t="str">
        <f>CONCATENATE("          ", "6247", " - ", "STORE SUPPLIES")</f>
        <v xml:space="preserve">          6247 - STORE SUPPLIES</v>
      </c>
      <c r="C72" s="11"/>
      <c r="D72" s="7"/>
      <c r="E72" s="2"/>
      <c r="F72" s="6">
        <f t="shared" si="54"/>
        <v>0</v>
      </c>
      <c r="G72" s="2"/>
      <c r="H72" s="7">
        <v>-80</v>
      </c>
      <c r="I72" s="2"/>
      <c r="J72" s="6">
        <f t="shared" si="55"/>
        <v>-1.6272042515592684E-3</v>
      </c>
      <c r="K72" s="2"/>
      <c r="L72" s="7">
        <f t="shared" si="56"/>
        <v>80</v>
      </c>
      <c r="M72" s="2"/>
      <c r="N72" s="6">
        <f t="shared" si="57"/>
        <v>-1</v>
      </c>
      <c r="O72" s="11"/>
      <c r="P72" s="7"/>
      <c r="Q72" s="2"/>
      <c r="R72" s="6">
        <f t="shared" si="58"/>
        <v>0</v>
      </c>
      <c r="S72" s="2"/>
      <c r="T72" s="7">
        <v>6969.65</v>
      </c>
      <c r="U72" s="2"/>
      <c r="V72" s="6">
        <f t="shared" si="59"/>
        <v>1.7308330537868604E-2</v>
      </c>
      <c r="W72" s="2"/>
      <c r="X72" s="7">
        <f t="shared" si="60"/>
        <v>-6969.65</v>
      </c>
      <c r="Y72" s="2"/>
      <c r="Z72" s="6">
        <f t="shared" si="61"/>
        <v>-1</v>
      </c>
    </row>
    <row r="73" spans="1:26" s="25" customFormat="1" outlineLevel="1" collapsed="1" x14ac:dyDescent="0.25">
      <c r="A73" s="26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SUM(OSRRefD22_15x_0)</f>
        <v>22</v>
      </c>
      <c r="E73" s="1"/>
      <c r="F73" s="5">
        <f t="shared" ref="F73:F76" si="62">IF(D$12=0,0,D73/D$12)</f>
        <v>0</v>
      </c>
      <c r="G73" s="1"/>
      <c r="H73" s="1">
        <f>SUM(OSRRefH22_15x_0)</f>
        <v>38.35</v>
      </c>
      <c r="I73" s="1"/>
      <c r="J73" s="5">
        <f t="shared" ref="J73:J76" si="63">IF(H$12=0,0,H73/H$12)</f>
        <v>7.8004103809122427E-4</v>
      </c>
      <c r="K73" s="1"/>
      <c r="L73" s="1">
        <f t="shared" ref="L73:L76" si="64">+D73-H73</f>
        <v>-16.350000000000001</v>
      </c>
      <c r="M73" s="1"/>
      <c r="N73" s="5">
        <f t="shared" ref="N73:N76" si="65">IF(H73=0,0,L73/H73)</f>
        <v>-0.4263363754889179</v>
      </c>
      <c r="O73" s="13"/>
      <c r="P73" s="1">
        <f>SUM(OSRRefP22_15x_0)</f>
        <v>887.87</v>
      </c>
      <c r="Q73" s="1"/>
      <c r="R73" s="5">
        <f t="shared" ref="R73:R76" si="66">IF(P$12=0,0,P73/P$12)</f>
        <v>0</v>
      </c>
      <c r="S73" s="1"/>
      <c r="T73" s="1">
        <f>SUM(OSRRefT22_15x_0)</f>
        <v>233.6</v>
      </c>
      <c r="U73" s="1"/>
      <c r="V73" s="5">
        <f t="shared" ref="V73:V76" si="67">IF(T$12=0,0,T73/T$12)</f>
        <v>5.8011894623777468E-4</v>
      </c>
      <c r="W73" s="1"/>
      <c r="X73" s="1">
        <f t="shared" ref="X73:X76" si="68">+P73-T73</f>
        <v>654.27</v>
      </c>
      <c r="Y73" s="1"/>
      <c r="Z73" s="5">
        <f t="shared" ref="Z73:Z76" si="69">IF(T73=0,0,X73/T73)</f>
        <v>2.8008133561643835</v>
      </c>
    </row>
    <row r="74" spans="1:26" s="24" customFormat="1" hidden="1" outlineLevel="2" x14ac:dyDescent="0.25">
      <c r="A74" s="27"/>
      <c r="B74" s="11" t="str">
        <f>CONCATENATE("          ", "6309", " - ", "TELEPHONE")</f>
        <v xml:space="preserve">          6309 - TELEPHONE</v>
      </c>
      <c r="C74" s="11"/>
      <c r="D74" s="7">
        <v>22</v>
      </c>
      <c r="E74" s="2"/>
      <c r="F74" s="6">
        <f t="shared" si="62"/>
        <v>0</v>
      </c>
      <c r="G74" s="2"/>
      <c r="H74" s="7">
        <v>38.35</v>
      </c>
      <c r="I74" s="2"/>
      <c r="J74" s="6">
        <f t="shared" si="63"/>
        <v>7.8004103809122427E-4</v>
      </c>
      <c r="K74" s="2"/>
      <c r="L74" s="7">
        <f t="shared" si="64"/>
        <v>-16.350000000000001</v>
      </c>
      <c r="M74" s="2"/>
      <c r="N74" s="6">
        <f t="shared" si="65"/>
        <v>-0.4263363754889179</v>
      </c>
      <c r="O74" s="11"/>
      <c r="P74" s="7">
        <v>887.87</v>
      </c>
      <c r="Q74" s="2"/>
      <c r="R74" s="6">
        <f t="shared" si="66"/>
        <v>0</v>
      </c>
      <c r="S74" s="2"/>
      <c r="T74" s="7">
        <v>233.6</v>
      </c>
      <c r="U74" s="2"/>
      <c r="V74" s="6">
        <f t="shared" si="67"/>
        <v>5.8011894623777468E-4</v>
      </c>
      <c r="W74" s="2"/>
      <c r="X74" s="7">
        <f t="shared" si="68"/>
        <v>654.27</v>
      </c>
      <c r="Y74" s="2"/>
      <c r="Z74" s="6">
        <f t="shared" si="69"/>
        <v>2.8008133561643835</v>
      </c>
    </row>
    <row r="75" spans="1:26" s="25" customFormat="1" outlineLevel="1" collapsed="1" x14ac:dyDescent="0.25">
      <c r="A75" s="26"/>
      <c r="B75" s="13" t="str">
        <f>CONCATENATE("     ","Utilities                                         ")</f>
        <v xml:space="preserve">     Utilities                                         </v>
      </c>
      <c r="C75" s="13"/>
      <c r="D75" s="1">
        <f>SUM(OSRRefD22_16x_0)</f>
        <v>878</v>
      </c>
      <c r="E75" s="1"/>
      <c r="F75" s="5">
        <f t="shared" si="62"/>
        <v>0</v>
      </c>
      <c r="G75" s="1"/>
      <c r="H75" s="1">
        <f>SUM(OSRRefH22_16x_0)</f>
        <v>1932</v>
      </c>
      <c r="I75" s="1"/>
      <c r="J75" s="5">
        <f t="shared" si="63"/>
        <v>3.9296982675156335E-2</v>
      </c>
      <c r="K75" s="1"/>
      <c r="L75" s="1">
        <f t="shared" si="64"/>
        <v>-1054</v>
      </c>
      <c r="M75" s="1"/>
      <c r="N75" s="5">
        <f t="shared" si="65"/>
        <v>-0.54554865424430643</v>
      </c>
      <c r="O75" s="13"/>
      <c r="P75" s="1">
        <f>SUM(OSRRefP22_16x_0)</f>
        <v>2634</v>
      </c>
      <c r="Q75" s="1"/>
      <c r="R75" s="5">
        <f t="shared" si="66"/>
        <v>0</v>
      </c>
      <c r="S75" s="1"/>
      <c r="T75" s="1">
        <f>SUM(OSRRefT22_16x_0)</f>
        <v>5016</v>
      </c>
      <c r="U75" s="1"/>
      <c r="V75" s="5">
        <f t="shared" si="67"/>
        <v>1.2456663674352216E-2</v>
      </c>
      <c r="W75" s="1"/>
      <c r="X75" s="1">
        <f t="shared" si="68"/>
        <v>-2382</v>
      </c>
      <c r="Y75" s="1"/>
      <c r="Z75" s="5">
        <f t="shared" si="69"/>
        <v>-0.47488038277511962</v>
      </c>
    </row>
    <row r="76" spans="1:26" s="24" customFormat="1" hidden="1" outlineLevel="2" x14ac:dyDescent="0.25">
      <c r="A76" s="27"/>
      <c r="B76" s="11" t="str">
        <f>CONCATENATE("          ", "6274", " - ", "UTILITIES")</f>
        <v xml:space="preserve">          6274 - UTILITIES</v>
      </c>
      <c r="C76" s="11"/>
      <c r="D76" s="7">
        <v>878</v>
      </c>
      <c r="E76" s="2"/>
      <c r="F76" s="6">
        <f t="shared" si="62"/>
        <v>0</v>
      </c>
      <c r="G76" s="2"/>
      <c r="H76" s="7">
        <v>1932</v>
      </c>
      <c r="I76" s="2"/>
      <c r="J76" s="6">
        <f t="shared" si="63"/>
        <v>3.9296982675156335E-2</v>
      </c>
      <c r="K76" s="2"/>
      <c r="L76" s="7">
        <f t="shared" si="64"/>
        <v>-1054</v>
      </c>
      <c r="M76" s="2"/>
      <c r="N76" s="6">
        <f t="shared" si="65"/>
        <v>-0.54554865424430643</v>
      </c>
      <c r="O76" s="11"/>
      <c r="P76" s="7">
        <v>2634</v>
      </c>
      <c r="Q76" s="2"/>
      <c r="R76" s="6">
        <f t="shared" si="66"/>
        <v>0</v>
      </c>
      <c r="S76" s="2"/>
      <c r="T76" s="7">
        <v>5016</v>
      </c>
      <c r="U76" s="2"/>
      <c r="V76" s="6">
        <f t="shared" si="67"/>
        <v>1.2456663674352216E-2</v>
      </c>
      <c r="W76" s="2"/>
      <c r="X76" s="7">
        <f t="shared" si="68"/>
        <v>-2382</v>
      </c>
      <c r="Y76" s="2"/>
      <c r="Z76" s="6">
        <f t="shared" si="69"/>
        <v>-0.47488038277511962</v>
      </c>
    </row>
    <row r="77" spans="1:26" s="55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9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8" t="s">
        <v>3</v>
      </c>
      <c r="C80" s="28"/>
      <c r="D80" s="20">
        <f>+D20-D22+D78</f>
        <v>-11085.79</v>
      </c>
      <c r="E80" s="14"/>
      <c r="F80" s="21">
        <f>IF(D$12=0,0,D80/D$12)</f>
        <v>0</v>
      </c>
      <c r="G80" s="14"/>
      <c r="H80" s="20">
        <f>+H20-H22+H78</f>
        <v>-4549.3999999999942</v>
      </c>
      <c r="I80" s="14"/>
      <c r="J80" s="21">
        <f>IF(H$12=0,0,H80/H$12)</f>
        <v>-9.2535037775546572E-2</v>
      </c>
      <c r="K80" s="15"/>
      <c r="L80" s="20">
        <f>+D80-H80</f>
        <v>-6536.3900000000067</v>
      </c>
      <c r="M80" s="15"/>
      <c r="N80" s="21">
        <f>IF(H80=0,0,L80/H80)</f>
        <v>1.4367586934540852</v>
      </c>
      <c r="O80" s="29"/>
      <c r="P80" s="20">
        <f>+P20-P22+P78</f>
        <v>-79171.259999999995</v>
      </c>
      <c r="Q80" s="14"/>
      <c r="R80" s="21">
        <f>IF(P$12=0,0,P80/P$12)</f>
        <v>0</v>
      </c>
      <c r="S80" s="14"/>
      <c r="T80" s="20">
        <f>+T20-T22+T78</f>
        <v>38508.009999999951</v>
      </c>
      <c r="U80" s="14"/>
      <c r="V80" s="21">
        <f>IF(T$12=0,0,T80/T$12)</f>
        <v>9.563024907069205E-2</v>
      </c>
      <c r="W80" s="15"/>
      <c r="X80" s="20">
        <f>+P80-T80</f>
        <v>-117679.26999999995</v>
      </c>
      <c r="Y80" s="15"/>
      <c r="Z80" s="21">
        <f>IF(T80=0,0,X80/T80)</f>
        <v>-3.0559686153608068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/>
      <c r="E82" s="4"/>
      <c r="F82" s="12">
        <f>IF(D$12=0,0,D82/D$12)</f>
        <v>0</v>
      </c>
      <c r="G82" s="4"/>
      <c r="H82" s="4">
        <v>6057.58</v>
      </c>
      <c r="I82" s="4"/>
      <c r="J82" s="12">
        <f>IF(H$12=0,0,H82/H$12)</f>
        <v>0.12321149912700491</v>
      </c>
      <c r="K82" s="4"/>
      <c r="L82" s="4">
        <f>+D82-H82</f>
        <v>-6057.58</v>
      </c>
      <c r="M82" s="4"/>
      <c r="N82" s="12">
        <f>IF(H82=0,0,L82/H82)</f>
        <v>-1</v>
      </c>
      <c r="O82" s="10"/>
      <c r="P82" s="4"/>
      <c r="Q82" s="4"/>
      <c r="R82" s="12">
        <f>IF(P$12=0,0,P82/P$12)</f>
        <v>0</v>
      </c>
      <c r="S82" s="4"/>
      <c r="T82" s="4">
        <v>43492.11</v>
      </c>
      <c r="U82" s="4"/>
      <c r="V82" s="12">
        <f>IF(T$12=0,0,T82/T$12)</f>
        <v>0.1080076927348347</v>
      </c>
      <c r="W82" s="4"/>
      <c r="X82" s="4">
        <f>+P82-T82</f>
        <v>-43492.11</v>
      </c>
      <c r="Y82" s="4"/>
      <c r="Z82" s="12">
        <f>IF(T82=0,0,X82/T82)</f>
        <v>-1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4</v>
      </c>
      <c r="C84" s="28"/>
      <c r="D84" s="33">
        <f>+D80-D82</f>
        <v>-11085.79</v>
      </c>
      <c r="E84" s="14"/>
      <c r="F84" s="34">
        <f>IF(D$12=0,0,D84/D$12)</f>
        <v>0</v>
      </c>
      <c r="G84" s="14"/>
      <c r="H84" s="33">
        <f>+H80-H82</f>
        <v>-10606.979999999994</v>
      </c>
      <c r="I84" s="14"/>
      <c r="J84" s="34">
        <f>IF(H$12=0,0,H84/H$12)</f>
        <v>-0.21574653690255149</v>
      </c>
      <c r="K84" s="15"/>
      <c r="L84" s="33">
        <f>D84-H84</f>
        <v>-478.81000000000677</v>
      </c>
      <c r="M84" s="15"/>
      <c r="N84" s="34">
        <f>IF(H84=0,0,L84/H84)</f>
        <v>4.5141029774733908E-2</v>
      </c>
      <c r="O84" s="29"/>
      <c r="P84" s="33">
        <f>+P80-P82</f>
        <v>-79171.259999999995</v>
      </c>
      <c r="Q84" s="14"/>
      <c r="R84" s="34">
        <f>IF(P$12=0,0,P84/P$12)</f>
        <v>0</v>
      </c>
      <c r="S84" s="14"/>
      <c r="T84" s="33">
        <f>+T80-T82</f>
        <v>-4984.1000000000495</v>
      </c>
      <c r="U84" s="14"/>
      <c r="V84" s="34">
        <f>IF(T$12=0,0,T84/T$12)</f>
        <v>-1.2377443664142644E-2</v>
      </c>
      <c r="W84" s="15"/>
      <c r="X84" s="33">
        <f>P84-T84</f>
        <v>-74187.159999999945</v>
      </c>
      <c r="Y84" s="15"/>
      <c r="Z84" s="34">
        <f>IF(T84=0,0,X84/T84)</f>
        <v>14.884765554463034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5</v>
      </c>
      <c r="C87" s="28"/>
      <c r="D87" s="30">
        <f>SUM(D84:D86)</f>
        <v>-11085.79</v>
      </c>
      <c r="E87" s="14"/>
      <c r="F87" s="32">
        <f>IF(D$12=0,0,D87/D$12)</f>
        <v>0</v>
      </c>
      <c r="G87" s="14"/>
      <c r="H87" s="30">
        <f>SUM(H84:H86)</f>
        <v>-10606.979999999994</v>
      </c>
      <c r="I87" s="14"/>
      <c r="J87" s="32">
        <f>IF(H$12=0,0,H87/H$12)</f>
        <v>-0.21574653690255149</v>
      </c>
      <c r="K87" s="15"/>
      <c r="L87" s="30">
        <f>+D87-H87</f>
        <v>-478.81000000000677</v>
      </c>
      <c r="M87" s="15"/>
      <c r="N87" s="32">
        <f>IF(H87=0,0,L87/H87)</f>
        <v>4.5141029774733908E-2</v>
      </c>
      <c r="O87" s="29"/>
      <c r="P87" s="30">
        <f>SUM(P84:P86)</f>
        <v>-79171.259999999995</v>
      </c>
      <c r="Q87" s="14"/>
      <c r="R87" s="32">
        <f>IF(P$12=0,0,P87/P$12)</f>
        <v>0</v>
      </c>
      <c r="S87" s="14"/>
      <c r="T87" s="30">
        <f>SUM(T84:T86)</f>
        <v>-4984.1000000000495</v>
      </c>
      <c r="U87" s="14"/>
      <c r="V87" s="32">
        <f>IF(T$12=0,0,T87/T$12)</f>
        <v>-1.2377443664142644E-2</v>
      </c>
      <c r="W87" s="15"/>
      <c r="X87" s="30">
        <f>+P87-T87</f>
        <v>-74187.159999999945</v>
      </c>
      <c r="Y87" s="15"/>
      <c r="Z87" s="32">
        <f>IF(T87=0,0,X87/T87)</f>
        <v>14.884765554463034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8">
        <v>44209.521935613426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61" t="s">
        <v>313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57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","327", " - ", "C-Store Vending Machine(s)")</f>
        <v>Department 327 - C-Store Vending Machine(s)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2733</v>
      </c>
      <c r="I12" s="4"/>
      <c r="J12" s="12"/>
      <c r="K12" s="4"/>
      <c r="L12" s="4">
        <f t="shared" ref="L12:L13" si="0">+D12-H12</f>
        <v>-2733</v>
      </c>
      <c r="M12" s="4"/>
      <c r="N12" s="12">
        <f t="shared" ref="N12:N13" si="1">IF(H12=0,0,L12/H12)</f>
        <v>-1</v>
      </c>
      <c r="O12" s="10"/>
      <c r="P12" s="4">
        <f>SUM(OSRRefP13x_0)</f>
        <v>110</v>
      </c>
      <c r="Q12" s="4"/>
      <c r="R12" s="12"/>
      <c r="S12" s="4"/>
      <c r="T12" s="4">
        <f>SUM(OSRRefT13x_0)</f>
        <v>9560</v>
      </c>
      <c r="U12" s="4"/>
      <c r="V12" s="12"/>
      <c r="W12" s="4"/>
      <c r="X12" s="4">
        <f t="shared" ref="X12:X13" si="2">+P12-T12</f>
        <v>-9450</v>
      </c>
      <c r="Y12" s="4"/>
      <c r="Z12" s="12">
        <f t="shared" ref="Z12:Z13" si="3">IF(T12=0,0,X12/T12)</f>
        <v>-0.9884937238493724</v>
      </c>
    </row>
    <row r="13" spans="1:26" s="24" customFormat="1" hidden="1" outlineLevel="1" x14ac:dyDescent="0.2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0</f>
        <v>0</v>
      </c>
      <c r="E13" s="2"/>
      <c r="F13" s="19"/>
      <c r="G13" s="2"/>
      <c r="H13" s="2">
        <f>--2733</f>
        <v>2733</v>
      </c>
      <c r="I13" s="2"/>
      <c r="J13" s="19"/>
      <c r="K13" s="2"/>
      <c r="L13" s="2">
        <f t="shared" si="0"/>
        <v>-2733</v>
      </c>
      <c r="M13" s="2"/>
      <c r="N13" s="19">
        <f t="shared" si="1"/>
        <v>-1</v>
      </c>
      <c r="O13" s="11"/>
      <c r="P13" s="2">
        <f>--110</f>
        <v>110</v>
      </c>
      <c r="Q13" s="2"/>
      <c r="R13" s="19"/>
      <c r="S13" s="2"/>
      <c r="T13" s="2">
        <f>--9560</f>
        <v>9560</v>
      </c>
      <c r="U13" s="2"/>
      <c r="V13" s="19"/>
      <c r="W13" s="2"/>
      <c r="X13" s="2">
        <f t="shared" si="2"/>
        <v>-9450</v>
      </c>
      <c r="Y13" s="2"/>
      <c r="Z13" s="19">
        <f t="shared" si="3"/>
        <v>-0.9884937238493724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-2508.02</v>
      </c>
      <c r="I15" s="4"/>
      <c r="J15" s="12">
        <f t="shared" ref="J15:J16" si="5">IF(H$12=0,0,H15/H$12)</f>
        <v>-0.91768020490303692</v>
      </c>
      <c r="K15" s="4"/>
      <c r="L15" s="4">
        <f t="shared" ref="L15:L16" si="6">+D15-H15</f>
        <v>2508.02</v>
      </c>
      <c r="M15" s="4"/>
      <c r="N15" s="12">
        <f t="shared" ref="N15:N16" si="7">IF(H15=0,0,L15/H15)</f>
        <v>-1</v>
      </c>
      <c r="O15" s="10"/>
      <c r="P15" s="4">
        <f>SUM(OSRRefP16x_0)</f>
        <v>68.91</v>
      </c>
      <c r="Q15" s="4"/>
      <c r="R15" s="12">
        <f t="shared" ref="R15:R16" si="8">IF(P$12=0,0,P15/P$12)</f>
        <v>0.62645454545454538</v>
      </c>
      <c r="S15" s="4"/>
      <c r="T15" s="4">
        <f>SUM(OSRRefT16x_0)</f>
        <v>913.94</v>
      </c>
      <c r="U15" s="4"/>
      <c r="V15" s="12">
        <f t="shared" ref="V15:V16" si="9">IF(T$12=0,0,T15/T$12)</f>
        <v>9.560041841004184E-2</v>
      </c>
      <c r="W15" s="4"/>
      <c r="X15" s="4">
        <f t="shared" ref="X15:X16" si="10">+P15-T15</f>
        <v>-845.03000000000009</v>
      </c>
      <c r="Y15" s="4"/>
      <c r="Z15" s="12">
        <f t="shared" ref="Z15:Z16" si="11">IF(T15=0,0,X15/T15)</f>
        <v>-0.92460117732017422</v>
      </c>
    </row>
    <row r="16" spans="1:26" s="24" customFormat="1" hidden="1" outlineLevel="1" x14ac:dyDescent="0.25">
      <c r="A16" s="44"/>
      <c r="B16" s="11" t="str">
        <f>CONCATENATE("          ", "5059", " - ", "PURCHASES @ COST-FOOD")</f>
        <v xml:space="preserve">          5059 - PURCHASES @ COST-FOOD</v>
      </c>
      <c r="C16" s="11"/>
      <c r="D16" s="2"/>
      <c r="E16" s="2"/>
      <c r="F16" s="19">
        <f t="shared" si="4"/>
        <v>0</v>
      </c>
      <c r="G16" s="2"/>
      <c r="H16" s="2">
        <v>-2508.02</v>
      </c>
      <c r="I16" s="2"/>
      <c r="J16" s="19">
        <f t="shared" si="5"/>
        <v>-0.91768020490303692</v>
      </c>
      <c r="K16" s="2"/>
      <c r="L16" s="2">
        <f t="shared" si="6"/>
        <v>2508.02</v>
      </c>
      <c r="M16" s="2"/>
      <c r="N16" s="19">
        <f t="shared" si="7"/>
        <v>-1</v>
      </c>
      <c r="O16" s="11"/>
      <c r="P16" s="2">
        <v>68.91</v>
      </c>
      <c r="Q16" s="2"/>
      <c r="R16" s="19">
        <f t="shared" si="8"/>
        <v>0.62645454545454538</v>
      </c>
      <c r="S16" s="2"/>
      <c r="T16" s="2">
        <v>913.94</v>
      </c>
      <c r="U16" s="2"/>
      <c r="V16" s="19">
        <f t="shared" si="9"/>
        <v>9.560041841004184E-2</v>
      </c>
      <c r="W16" s="2"/>
      <c r="X16" s="2">
        <f t="shared" si="10"/>
        <v>-845.03000000000009</v>
      </c>
      <c r="Y16" s="2"/>
      <c r="Z16" s="19">
        <f t="shared" si="11"/>
        <v>-0.92460117732017422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>
        <f>D12-D15</f>
        <v>0</v>
      </c>
      <c r="E18" s="14"/>
      <c r="F18" s="21">
        <f>IF(D$12=0,0,D18/D$12)</f>
        <v>0</v>
      </c>
      <c r="G18" s="14"/>
      <c r="H18" s="20">
        <f>H12-H15</f>
        <v>5241.0200000000004</v>
      </c>
      <c r="I18" s="14"/>
      <c r="J18" s="21">
        <f>IF(H$12=0,0,H18/H$12)</f>
        <v>1.917680204903037</v>
      </c>
      <c r="K18" s="15"/>
      <c r="L18" s="20">
        <f>+D18-H18</f>
        <v>-5241.0200000000004</v>
      </c>
      <c r="M18" s="15"/>
      <c r="N18" s="21">
        <f>IF(H18=0,0,L18/H18)</f>
        <v>-1</v>
      </c>
      <c r="O18" s="29"/>
      <c r="P18" s="20">
        <f>P12-P15</f>
        <v>41.09</v>
      </c>
      <c r="Q18" s="14"/>
      <c r="R18" s="21">
        <f>IF(P$12=0,0,P18/P$12)</f>
        <v>0.37354545454545457</v>
      </c>
      <c r="S18" s="14"/>
      <c r="T18" s="20">
        <f>T12-T15</f>
        <v>8646.06</v>
      </c>
      <c r="U18" s="14"/>
      <c r="V18" s="21">
        <f>IF(T$12=0,0,T18/T$12)</f>
        <v>0.90439958158995815</v>
      </c>
      <c r="W18" s="15"/>
      <c r="X18" s="20">
        <f>+P18-T18</f>
        <v>-8604.9699999999993</v>
      </c>
      <c r="Y18" s="15"/>
      <c r="Z18" s="21">
        <f>IF(T18=0,0,X18/T18)</f>
        <v>-0.99524754628119627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>
        <f>SUM(OSRRefD22x_0)</f>
        <v>0</v>
      </c>
      <c r="E20" s="22"/>
      <c r="F20" s="36">
        <f t="shared" ref="F20:F26" si="12">IF(D$12=0,0,D20/D$12)</f>
        <v>0</v>
      </c>
      <c r="G20" s="22"/>
      <c r="H20" s="22">
        <f>SUM(OSRRefH22x_0)</f>
        <v>211.96</v>
      </c>
      <c r="I20" s="22"/>
      <c r="J20" s="36">
        <f t="shared" ref="J20:J26" si="13">IF(H$12=0,0,H20/H$12)</f>
        <v>7.7555799487742411E-2</v>
      </c>
      <c r="K20" s="4"/>
      <c r="L20" s="22">
        <f t="shared" ref="L20:L26" si="14">+D20-H20</f>
        <v>-211.96</v>
      </c>
      <c r="M20" s="4"/>
      <c r="N20" s="36">
        <f t="shared" ref="N20:N26" si="15">IF(H20=0,0,L20/H20)</f>
        <v>-1</v>
      </c>
      <c r="O20" s="10"/>
      <c r="P20" s="22">
        <f>SUM(OSRRefP22x_0)</f>
        <v>0</v>
      </c>
      <c r="Q20" s="22"/>
      <c r="R20" s="36">
        <f t="shared" ref="R20:R26" si="16">IF(P$12=0,0,P20/P$12)</f>
        <v>0</v>
      </c>
      <c r="S20" s="22"/>
      <c r="T20" s="22">
        <f>SUM(OSRRefT22x_0)</f>
        <v>1185.93</v>
      </c>
      <c r="U20" s="22"/>
      <c r="V20" s="36">
        <f t="shared" ref="V20:V26" si="17">IF(T$12=0,0,T20/T$12)</f>
        <v>0.12405125523012553</v>
      </c>
      <c r="W20" s="4"/>
      <c r="X20" s="22">
        <f t="shared" ref="X20:X26" si="18">+P20-T20</f>
        <v>-1185.93</v>
      </c>
      <c r="Y20" s="4"/>
      <c r="Z20" s="36">
        <f t="shared" ref="Z20:Z26" si="19">IF(T20=0,0,X20/T20)</f>
        <v>-1</v>
      </c>
    </row>
    <row r="21" spans="1:26" s="25" customFormat="1" outlineLevel="1" collapsed="1" x14ac:dyDescent="0.25">
      <c r="A21" s="26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211.96</v>
      </c>
      <c r="I21" s="1"/>
      <c r="J21" s="5">
        <f t="shared" si="13"/>
        <v>7.7555799487742411E-2</v>
      </c>
      <c r="K21" s="1"/>
      <c r="L21" s="1">
        <f t="shared" si="14"/>
        <v>-211.96</v>
      </c>
      <c r="M21" s="1"/>
      <c r="N21" s="5">
        <f t="shared" si="15"/>
        <v>-1</v>
      </c>
      <c r="O21" s="13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865.48</v>
      </c>
      <c r="U21" s="1"/>
      <c r="V21" s="5">
        <f t="shared" si="17"/>
        <v>9.0531380753138074E-2</v>
      </c>
      <c r="W21" s="1"/>
      <c r="X21" s="1">
        <f t="shared" si="18"/>
        <v>-865.48</v>
      </c>
      <c r="Y21" s="1"/>
      <c r="Z21" s="5">
        <f t="shared" si="19"/>
        <v>-1</v>
      </c>
    </row>
    <row r="22" spans="1:26" s="24" customFormat="1" hidden="1" outlineLevel="2" x14ac:dyDescent="0.25">
      <c r="A22" s="27"/>
      <c r="B22" s="11" t="str">
        <f>CONCATENATE("          ", "6381", " - ", "BANK/CREDIT CARD FEES")</f>
        <v xml:space="preserve">          6381 - BANK/CREDIT CARD FEES</v>
      </c>
      <c r="C22" s="11"/>
      <c r="D22" s="7"/>
      <c r="E22" s="2"/>
      <c r="F22" s="6">
        <f t="shared" si="12"/>
        <v>0</v>
      </c>
      <c r="G22" s="2"/>
      <c r="H22" s="7">
        <v>211.96</v>
      </c>
      <c r="I22" s="2"/>
      <c r="J22" s="6">
        <f t="shared" si="13"/>
        <v>7.7555799487742411E-2</v>
      </c>
      <c r="K22" s="2"/>
      <c r="L22" s="7">
        <f t="shared" si="14"/>
        <v>-211.96</v>
      </c>
      <c r="M22" s="2"/>
      <c r="N22" s="6">
        <f t="shared" si="15"/>
        <v>-1</v>
      </c>
      <c r="O22" s="11"/>
      <c r="P22" s="7"/>
      <c r="Q22" s="2"/>
      <c r="R22" s="6">
        <f t="shared" si="16"/>
        <v>0</v>
      </c>
      <c r="S22" s="2"/>
      <c r="T22" s="7">
        <v>865.48</v>
      </c>
      <c r="U22" s="2"/>
      <c r="V22" s="6">
        <f t="shared" si="17"/>
        <v>9.0531380753138074E-2</v>
      </c>
      <c r="W22" s="2"/>
      <c r="X22" s="7">
        <f t="shared" si="18"/>
        <v>-865.48</v>
      </c>
      <c r="Y22" s="2"/>
      <c r="Z22" s="6">
        <f t="shared" si="19"/>
        <v>-1</v>
      </c>
    </row>
    <row r="23" spans="1:26" s="25" customFormat="1" outlineLevel="1" collapsed="1" x14ac:dyDescent="0.25">
      <c r="A23" s="26"/>
      <c r="B23" s="13" t="str">
        <f>CONCATENATE("     ","General                                           ")</f>
        <v xml:space="preserve">     General                                           </v>
      </c>
      <c r="C23" s="13"/>
      <c r="D23" s="1">
        <f>SUM(OSRRefD22_1x_0)</f>
        <v>0</v>
      </c>
      <c r="E23" s="1"/>
      <c r="F23" s="5">
        <f t="shared" si="12"/>
        <v>0</v>
      </c>
      <c r="G23" s="1"/>
      <c r="H23" s="1">
        <f>SUM(OSRRefH22_1x_0)</f>
        <v>0</v>
      </c>
      <c r="I23" s="1"/>
      <c r="J23" s="5">
        <f t="shared" si="13"/>
        <v>0</v>
      </c>
      <c r="K23" s="1"/>
      <c r="L23" s="1">
        <f t="shared" si="14"/>
        <v>0</v>
      </c>
      <c r="M23" s="1"/>
      <c r="N23" s="5">
        <f t="shared" si="15"/>
        <v>0</v>
      </c>
      <c r="O23" s="13"/>
      <c r="P23" s="1">
        <f>SUM(OSRRefP22_1x_0)</f>
        <v>0</v>
      </c>
      <c r="Q23" s="1"/>
      <c r="R23" s="5">
        <f t="shared" si="16"/>
        <v>0</v>
      </c>
      <c r="S23" s="1"/>
      <c r="T23" s="1">
        <f>SUM(OSRRefT22_1x_0)</f>
        <v>23.45</v>
      </c>
      <c r="U23" s="1"/>
      <c r="V23" s="5">
        <f t="shared" si="17"/>
        <v>2.4529288702928869E-3</v>
      </c>
      <c r="W23" s="1"/>
      <c r="X23" s="1">
        <f t="shared" si="18"/>
        <v>-23.45</v>
      </c>
      <c r="Y23" s="1"/>
      <c r="Z23" s="5">
        <f t="shared" si="19"/>
        <v>-1</v>
      </c>
    </row>
    <row r="24" spans="1:26" s="24" customFormat="1" hidden="1" outlineLevel="2" x14ac:dyDescent="0.25">
      <c r="A24" s="27"/>
      <c r="B24" s="11" t="str">
        <f>CONCATENATE("          ", "6279", " - ", "GENERAL EXPENSE")</f>
        <v xml:space="preserve">          6279 - GENERAL EXPENSE</v>
      </c>
      <c r="C24" s="11"/>
      <c r="D24" s="7"/>
      <c r="E24" s="2"/>
      <c r="F24" s="6">
        <f t="shared" si="12"/>
        <v>0</v>
      </c>
      <c r="G24" s="2"/>
      <c r="H24" s="7"/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23.45</v>
      </c>
      <c r="U24" s="2"/>
      <c r="V24" s="6">
        <f t="shared" si="17"/>
        <v>2.4529288702928869E-3</v>
      </c>
      <c r="W24" s="2"/>
      <c r="X24" s="7">
        <f t="shared" si="18"/>
        <v>-23.45</v>
      </c>
      <c r="Y24" s="2"/>
      <c r="Z24" s="6">
        <f t="shared" si="19"/>
        <v>-1</v>
      </c>
    </row>
    <row r="25" spans="1:26" s="25" customFormat="1" outlineLevel="1" collapsed="1" x14ac:dyDescent="0.25">
      <c r="A25" s="26"/>
      <c r="B25" s="13" t="str">
        <f>CONCATENATE("     ","Supplies                                          ")</f>
        <v xml:space="preserve">     Supplies                                          </v>
      </c>
      <c r="C25" s="13"/>
      <c r="D25" s="1">
        <f>SUM(OSRRefD22_2x_0)</f>
        <v>0</v>
      </c>
      <c r="E25" s="1"/>
      <c r="F25" s="5">
        <f t="shared" si="12"/>
        <v>0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3"/>
      <c r="P25" s="1">
        <f>SUM(OSRRefP22_2x_0)</f>
        <v>0</v>
      </c>
      <c r="Q25" s="1"/>
      <c r="R25" s="5">
        <f t="shared" si="16"/>
        <v>0</v>
      </c>
      <c r="S25" s="1"/>
      <c r="T25" s="1">
        <f>SUM(OSRRefT22_2x_0)</f>
        <v>297</v>
      </c>
      <c r="U25" s="1"/>
      <c r="V25" s="5">
        <f t="shared" si="17"/>
        <v>3.1066945606694561E-2</v>
      </c>
      <c r="W25" s="1"/>
      <c r="X25" s="1">
        <f t="shared" si="18"/>
        <v>-297</v>
      </c>
      <c r="Y25" s="1"/>
      <c r="Z25" s="5">
        <f t="shared" si="19"/>
        <v>-1</v>
      </c>
    </row>
    <row r="26" spans="1:26" s="24" customFormat="1" hidden="1" outlineLevel="2" x14ac:dyDescent="0.25">
      <c r="A26" s="27"/>
      <c r="B26" s="11" t="str">
        <f>CONCATENATE("          ", "6247", " - ", "STORE SUPPLIES")</f>
        <v xml:space="preserve">          6247 - STORE SUPPLIES</v>
      </c>
      <c r="C26" s="11"/>
      <c r="D26" s="7"/>
      <c r="E26" s="2"/>
      <c r="F26" s="6">
        <f t="shared" si="12"/>
        <v>0</v>
      </c>
      <c r="G26" s="2"/>
      <c r="H26" s="7"/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297</v>
      </c>
      <c r="U26" s="2"/>
      <c r="V26" s="6">
        <f t="shared" si="17"/>
        <v>3.1066945606694561E-2</v>
      </c>
      <c r="W26" s="2"/>
      <c r="X26" s="7">
        <f t="shared" si="18"/>
        <v>-297</v>
      </c>
      <c r="Y26" s="2"/>
      <c r="Z26" s="6">
        <f t="shared" si="19"/>
        <v>-1</v>
      </c>
    </row>
    <row r="27" spans="1:26" s="55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9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3</v>
      </c>
      <c r="C30" s="28"/>
      <c r="D30" s="20">
        <f>+D18-D20+D28</f>
        <v>0</v>
      </c>
      <c r="E30" s="14"/>
      <c r="F30" s="21">
        <f>IF(D$12=0,0,D30/D$12)</f>
        <v>0</v>
      </c>
      <c r="G30" s="14"/>
      <c r="H30" s="20">
        <f>+H18-H20+H28</f>
        <v>5029.0600000000004</v>
      </c>
      <c r="I30" s="14"/>
      <c r="J30" s="21">
        <f>IF(H$12=0,0,H30/H$12)</f>
        <v>1.8401244054152948</v>
      </c>
      <c r="K30" s="15"/>
      <c r="L30" s="20">
        <f>+D30-H30</f>
        <v>-5029.0600000000004</v>
      </c>
      <c r="M30" s="15"/>
      <c r="N30" s="21">
        <f>IF(H30=0,0,L30/H30)</f>
        <v>-1</v>
      </c>
      <c r="O30" s="29"/>
      <c r="P30" s="20">
        <f>+P18-P20+P28</f>
        <v>41.09</v>
      </c>
      <c r="Q30" s="14"/>
      <c r="R30" s="21">
        <f>IF(P$12=0,0,P30/P$12)</f>
        <v>0.37354545454545457</v>
      </c>
      <c r="S30" s="14"/>
      <c r="T30" s="20">
        <f>+T18-T20+T28</f>
        <v>7460.1299999999992</v>
      </c>
      <c r="U30" s="14"/>
      <c r="V30" s="21">
        <f>IF(T$12=0,0,T30/T$12)</f>
        <v>0.78034832635983253</v>
      </c>
      <c r="W30" s="15"/>
      <c r="X30" s="20">
        <f>+P30-T30</f>
        <v>-7419.0399999999991</v>
      </c>
      <c r="Y30" s="15"/>
      <c r="Z30" s="21">
        <f>IF(T30=0,0,X30/T30)</f>
        <v>-0.99449205308754673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>
        <v>-3.48</v>
      </c>
      <c r="E32" s="4"/>
      <c r="F32" s="12">
        <f>IF(D$12=0,0,D32/D$12)</f>
        <v>0</v>
      </c>
      <c r="G32" s="4"/>
      <c r="H32" s="4">
        <v>309.62</v>
      </c>
      <c r="I32" s="4"/>
      <c r="J32" s="12">
        <f>IF(H$12=0,0,H32/H$12)</f>
        <v>0.11328942553969996</v>
      </c>
      <c r="K32" s="4"/>
      <c r="L32" s="4">
        <f>+D32-H32</f>
        <v>-313.10000000000002</v>
      </c>
      <c r="M32" s="4"/>
      <c r="N32" s="12">
        <f>IF(H32=0,0,L32/H32)</f>
        <v>-1.0112395840062012</v>
      </c>
      <c r="O32" s="10"/>
      <c r="P32" s="4">
        <v>20.350000000000001</v>
      </c>
      <c r="Q32" s="4"/>
      <c r="R32" s="12">
        <f>IF(P$12=0,0,P32/P$12)</f>
        <v>0.18500000000000003</v>
      </c>
      <c r="S32" s="4"/>
      <c r="T32" s="4">
        <v>1032.55</v>
      </c>
      <c r="U32" s="4"/>
      <c r="V32" s="12">
        <f>IF(T$12=0,0,T32/T$12)</f>
        <v>0.10800732217573221</v>
      </c>
      <c r="W32" s="4"/>
      <c r="X32" s="4">
        <f>+P32-T32</f>
        <v>-1012.1999999999999</v>
      </c>
      <c r="Y32" s="4"/>
      <c r="Z32" s="12">
        <f>IF(T32=0,0,X32/T32)</f>
        <v>-0.98029151130695846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8" t="s">
        <v>4</v>
      </c>
      <c r="C34" s="28"/>
      <c r="D34" s="33">
        <f>+D30-D32</f>
        <v>3.48</v>
      </c>
      <c r="E34" s="14"/>
      <c r="F34" s="34">
        <f>IF(D$12=0,0,D34/D$12)</f>
        <v>0</v>
      </c>
      <c r="G34" s="14"/>
      <c r="H34" s="33">
        <f>+H30-H32</f>
        <v>4719.4400000000005</v>
      </c>
      <c r="I34" s="14"/>
      <c r="J34" s="34">
        <f>IF(H$12=0,0,H34/H$12)</f>
        <v>1.7268349798755949</v>
      </c>
      <c r="K34" s="15"/>
      <c r="L34" s="33">
        <f>D34-H34</f>
        <v>-4715.9600000000009</v>
      </c>
      <c r="M34" s="15"/>
      <c r="N34" s="34">
        <f>IF(H34=0,0,L34/H34)</f>
        <v>-0.99926262437916369</v>
      </c>
      <c r="O34" s="29"/>
      <c r="P34" s="33">
        <f>+P30-P32</f>
        <v>20.740000000000002</v>
      </c>
      <c r="Q34" s="14"/>
      <c r="R34" s="34">
        <f>IF(P$12=0,0,P34/P$12)</f>
        <v>0.18854545454545457</v>
      </c>
      <c r="S34" s="14"/>
      <c r="T34" s="33">
        <f>+T30-T32</f>
        <v>6427.579999999999</v>
      </c>
      <c r="U34" s="14"/>
      <c r="V34" s="34">
        <f>IF(T$12=0,0,T34/T$12)</f>
        <v>0.67234100418410037</v>
      </c>
      <c r="W34" s="15"/>
      <c r="X34" s="33">
        <f>P34-T34</f>
        <v>-6406.8399999999992</v>
      </c>
      <c r="Y34" s="15"/>
      <c r="Z34" s="34">
        <f>IF(T34=0,0,X34/T34)</f>
        <v>-0.99677328014587141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5</v>
      </c>
      <c r="C37" s="28"/>
      <c r="D37" s="30">
        <f>SUM(D34:D36)</f>
        <v>3.48</v>
      </c>
      <c r="E37" s="14"/>
      <c r="F37" s="32">
        <f>IF(D$12=0,0,D37/D$12)</f>
        <v>0</v>
      </c>
      <c r="G37" s="14"/>
      <c r="H37" s="30">
        <f>SUM(H34:H36)</f>
        <v>4719.4400000000005</v>
      </c>
      <c r="I37" s="14"/>
      <c r="J37" s="32">
        <f>IF(H$12=0,0,H37/H$12)</f>
        <v>1.7268349798755949</v>
      </c>
      <c r="K37" s="15"/>
      <c r="L37" s="30">
        <f>+D37-H37</f>
        <v>-4715.9600000000009</v>
      </c>
      <c r="M37" s="15"/>
      <c r="N37" s="32">
        <f>IF(H37=0,0,L37/H37)</f>
        <v>-0.99926262437916369</v>
      </c>
      <c r="O37" s="29"/>
      <c r="P37" s="30">
        <f>SUM(P34:P36)</f>
        <v>20.740000000000002</v>
      </c>
      <c r="Q37" s="14"/>
      <c r="R37" s="32">
        <f>IF(P$12=0,0,P37/P$12)</f>
        <v>0.18854545454545457</v>
      </c>
      <c r="S37" s="14"/>
      <c r="T37" s="30">
        <f>SUM(T34:T36)</f>
        <v>6427.579999999999</v>
      </c>
      <c r="U37" s="14"/>
      <c r="V37" s="32">
        <f>IF(T$12=0,0,T37/T$12)</f>
        <v>0.67234100418410037</v>
      </c>
      <c r="W37" s="15"/>
      <c r="X37" s="30">
        <f>+P37-T37</f>
        <v>-6406.8399999999992</v>
      </c>
      <c r="Y37" s="15"/>
      <c r="Z37" s="32">
        <f>IF(T37=0,0,X37/T37)</f>
        <v>-0.99677328014587141</v>
      </c>
    </row>
    <row r="38" spans="1:26" ht="15.75" thickTop="1" x14ac:dyDescent="0.25">
      <c r="A38" s="9"/>
      <c r="C38" s="9"/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8">
        <v>44209.521962615741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1" t="s">
        <v>313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A41" s="9"/>
      <c r="B41" s="57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309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157248.93000000002</v>
      </c>
      <c r="E12" s="4"/>
      <c r="F12" s="12"/>
      <c r="G12" s="4"/>
      <c r="H12" s="4">
        <f>SUM(OSRRefH13x_0)</f>
        <v>1225601.8</v>
      </c>
      <c r="I12" s="4"/>
      <c r="J12" s="12"/>
      <c r="K12" s="4"/>
      <c r="L12" s="4">
        <f t="shared" ref="L12:L22" si="0">+D12-H12</f>
        <v>-1068352.8700000001</v>
      </c>
      <c r="M12" s="4"/>
      <c r="N12" s="12">
        <f t="shared" ref="N12:N22" si="1">IF(H12=0,0,L12/H12)</f>
        <v>-0.87169655756053888</v>
      </c>
      <c r="O12" s="10"/>
      <c r="P12" s="4">
        <f>SUM(OSRRefP13x_0)</f>
        <v>830713.86</v>
      </c>
      <c r="Q12" s="4"/>
      <c r="R12" s="12"/>
      <c r="S12" s="4"/>
      <c r="T12" s="4">
        <f>SUM(OSRRefT13x_0)</f>
        <v>9185671.1799999997</v>
      </c>
      <c r="U12" s="4"/>
      <c r="V12" s="12"/>
      <c r="W12" s="4"/>
      <c r="X12" s="4">
        <f t="shared" ref="X12:X22" si="2">+P12-T12</f>
        <v>-8354957.3199999994</v>
      </c>
      <c r="Y12" s="4"/>
      <c r="Z12" s="12">
        <f t="shared" ref="Z12:Z22" si="3">IF(T12=0,0,X12/T12)</f>
        <v>-0.90956416317092681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--5713.27</f>
        <v>5713.27</v>
      </c>
      <c r="E13" s="2"/>
      <c r="F13" s="19"/>
      <c r="G13" s="2"/>
      <c r="H13" s="2">
        <f>--40718.26</f>
        <v>40718.26</v>
      </c>
      <c r="I13" s="2"/>
      <c r="J13" s="19"/>
      <c r="K13" s="2"/>
      <c r="L13" s="2">
        <f t="shared" si="0"/>
        <v>-35004.990000000005</v>
      </c>
      <c r="M13" s="2"/>
      <c r="N13" s="19">
        <f t="shared" si="1"/>
        <v>-0.85968776661871116</v>
      </c>
      <c r="O13" s="11"/>
      <c r="P13" s="2">
        <f>--22964.48</f>
        <v>22964.48</v>
      </c>
      <c r="Q13" s="2"/>
      <c r="R13" s="19"/>
      <c r="S13" s="2"/>
      <c r="T13" s="2">
        <f>--323725.59</f>
        <v>323725.59000000003</v>
      </c>
      <c r="U13" s="2"/>
      <c r="V13" s="19"/>
      <c r="W13" s="2"/>
      <c r="X13" s="2">
        <f t="shared" si="2"/>
        <v>-300761.11000000004</v>
      </c>
      <c r="Y13" s="2"/>
      <c r="Z13" s="19">
        <f t="shared" si="3"/>
        <v>-0.92906189467443712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--62378.23</f>
        <v>62378.23</v>
      </c>
      <c r="E14" s="2"/>
      <c r="F14" s="19"/>
      <c r="G14" s="2"/>
      <c r="H14" s="2">
        <f>--82451.12</f>
        <v>82451.12</v>
      </c>
      <c r="I14" s="2"/>
      <c r="J14" s="19"/>
      <c r="K14" s="2"/>
      <c r="L14" s="2">
        <f t="shared" si="0"/>
        <v>-20072.889999999992</v>
      </c>
      <c r="M14" s="2"/>
      <c r="N14" s="19">
        <f t="shared" si="1"/>
        <v>-0.24345199919661484</v>
      </c>
      <c r="O14" s="11"/>
      <c r="P14" s="2">
        <f>--148103.39</f>
        <v>148103.39000000001</v>
      </c>
      <c r="Q14" s="2"/>
      <c r="R14" s="19"/>
      <c r="S14" s="2"/>
      <c r="T14" s="2">
        <f>--536296.65</f>
        <v>536296.65</v>
      </c>
      <c r="U14" s="2"/>
      <c r="V14" s="19"/>
      <c r="W14" s="2"/>
      <c r="X14" s="2">
        <f t="shared" si="2"/>
        <v>-388193.26</v>
      </c>
      <c r="Y14" s="2"/>
      <c r="Z14" s="19">
        <f t="shared" si="3"/>
        <v>-0.72384054608582771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--38.05</f>
        <v>38.049999999999997</v>
      </c>
      <c r="E15" s="2"/>
      <c r="F15" s="19"/>
      <c r="G15" s="2"/>
      <c r="H15" s="2">
        <f>--16599.9</f>
        <v>16599.900000000001</v>
      </c>
      <c r="I15" s="2"/>
      <c r="J15" s="19"/>
      <c r="K15" s="2"/>
      <c r="L15" s="2">
        <f t="shared" si="0"/>
        <v>-16561.850000000002</v>
      </c>
      <c r="M15" s="2"/>
      <c r="N15" s="19">
        <f t="shared" si="1"/>
        <v>-0.99770781751697302</v>
      </c>
      <c r="O15" s="11"/>
      <c r="P15" s="2">
        <f>--533.08</f>
        <v>533.08000000000004</v>
      </c>
      <c r="Q15" s="2"/>
      <c r="R15" s="19"/>
      <c r="S15" s="2"/>
      <c r="T15" s="2">
        <f>--106770.83</f>
        <v>106770.83</v>
      </c>
      <c r="U15" s="2"/>
      <c r="V15" s="19"/>
      <c r="W15" s="2"/>
      <c r="X15" s="2">
        <f t="shared" si="2"/>
        <v>-106237.75</v>
      </c>
      <c r="Y15" s="2"/>
      <c r="Z15" s="19">
        <f t="shared" si="3"/>
        <v>-0.99500725057583606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ref="D16:D17" si="4">0</f>
        <v>0</v>
      </c>
      <c r="E16" s="2"/>
      <c r="F16" s="19"/>
      <c r="G16" s="2"/>
      <c r="H16" s="2">
        <f>--36915.55</f>
        <v>36915.550000000003</v>
      </c>
      <c r="I16" s="2"/>
      <c r="J16" s="19"/>
      <c r="K16" s="2"/>
      <c r="L16" s="2">
        <f t="shared" si="0"/>
        <v>-36915.550000000003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--272827.44</f>
        <v>272827.44</v>
      </c>
      <c r="U16" s="2"/>
      <c r="V16" s="19"/>
      <c r="W16" s="2"/>
      <c r="X16" s="2">
        <f t="shared" si="2"/>
        <v>-272827.44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si="4"/>
        <v>0</v>
      </c>
      <c r="E17" s="2"/>
      <c r="F17" s="19"/>
      <c r="G17" s="2"/>
      <c r="H17" s="2">
        <f>--9096.8</f>
        <v>9096.7999999999993</v>
      </c>
      <c r="I17" s="2"/>
      <c r="J17" s="19"/>
      <c r="K17" s="2"/>
      <c r="L17" s="2">
        <f t="shared" si="0"/>
        <v>-9096.7999999999993</v>
      </c>
      <c r="M17" s="2"/>
      <c r="N17" s="19">
        <f t="shared" si="1"/>
        <v>-1</v>
      </c>
      <c r="O17" s="11"/>
      <c r="P17" s="2">
        <f>--974.91</f>
        <v>974.91</v>
      </c>
      <c r="Q17" s="2"/>
      <c r="R17" s="19"/>
      <c r="S17" s="2"/>
      <c r="T17" s="2">
        <f>--87899.21</f>
        <v>87899.21</v>
      </c>
      <c r="U17" s="2"/>
      <c r="V17" s="19"/>
      <c r="W17" s="2"/>
      <c r="X17" s="2">
        <f t="shared" si="2"/>
        <v>-86924.3</v>
      </c>
      <c r="Y17" s="2"/>
      <c r="Z17" s="19">
        <f t="shared" si="3"/>
        <v>-0.9889087740379009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>--85481.84</f>
        <v>85481.84</v>
      </c>
      <c r="E18" s="2"/>
      <c r="F18" s="19"/>
      <c r="G18" s="2"/>
      <c r="H18" s="2">
        <f>--915080.41</f>
        <v>915080.41</v>
      </c>
      <c r="I18" s="2"/>
      <c r="J18" s="19"/>
      <c r="K18" s="2"/>
      <c r="L18" s="2">
        <f t="shared" si="0"/>
        <v>-829598.57000000007</v>
      </c>
      <c r="M18" s="2"/>
      <c r="N18" s="19">
        <f t="shared" si="1"/>
        <v>-0.90658543329541941</v>
      </c>
      <c r="O18" s="11"/>
      <c r="P18" s="2">
        <f>--628376.6</f>
        <v>628376.6</v>
      </c>
      <c r="Q18" s="2"/>
      <c r="R18" s="19"/>
      <c r="S18" s="2"/>
      <c r="T18" s="2">
        <f>--6793689.83</f>
        <v>6793689.8300000001</v>
      </c>
      <c r="U18" s="2"/>
      <c r="V18" s="19"/>
      <c r="W18" s="2"/>
      <c r="X18" s="2">
        <f t="shared" si="2"/>
        <v>-6165313.2300000004</v>
      </c>
      <c r="Y18" s="2"/>
      <c r="Z18" s="19">
        <f t="shared" si="3"/>
        <v>-0.9075058450232486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>0</f>
        <v>0</v>
      </c>
      <c r="E19" s="2"/>
      <c r="F19" s="19"/>
      <c r="G19" s="2"/>
      <c r="H19" s="2">
        <f>--4293.35</f>
        <v>4293.3500000000004</v>
      </c>
      <c r="I19" s="2"/>
      <c r="J19" s="19"/>
      <c r="K19" s="2"/>
      <c r="L19" s="2">
        <f t="shared" si="0"/>
        <v>-4293.3500000000004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f>--34634.8</f>
        <v>34634.800000000003</v>
      </c>
      <c r="U19" s="2"/>
      <c r="V19" s="19"/>
      <c r="W19" s="2"/>
      <c r="X19" s="2">
        <f t="shared" si="2"/>
        <v>-34634.800000000003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--3637.54</f>
        <v>3637.54</v>
      </c>
      <c r="E20" s="2"/>
      <c r="F20" s="19"/>
      <c r="G20" s="2"/>
      <c r="H20" s="2">
        <f>--10760.38</f>
        <v>10760.38</v>
      </c>
      <c r="I20" s="2"/>
      <c r="J20" s="19"/>
      <c r="K20" s="2"/>
      <c r="L20" s="2">
        <f t="shared" si="0"/>
        <v>-7122.8399999999992</v>
      </c>
      <c r="M20" s="2"/>
      <c r="N20" s="19">
        <f t="shared" si="1"/>
        <v>-0.66195060025761165</v>
      </c>
      <c r="O20" s="11"/>
      <c r="P20" s="2">
        <f>--29761.4</f>
        <v>29761.4</v>
      </c>
      <c r="Q20" s="2"/>
      <c r="R20" s="19"/>
      <c r="S20" s="2"/>
      <c r="T20" s="2">
        <f>--222756.54</f>
        <v>222756.54</v>
      </c>
      <c r="U20" s="2"/>
      <c r="V20" s="19"/>
      <c r="W20" s="2"/>
      <c r="X20" s="2">
        <f t="shared" si="2"/>
        <v>-192995.14</v>
      </c>
      <c r="Y20" s="2"/>
      <c r="Z20" s="19">
        <f t="shared" si="3"/>
        <v>-0.86639494400478656</v>
      </c>
    </row>
    <row r="21" spans="1:26" s="24" customFormat="1" hidden="1" outlineLevel="1" x14ac:dyDescent="0.25">
      <c r="A21" s="44"/>
      <c r="B21" s="11" t="str">
        <f>CONCATENATE("          ", "4155", " - ", "NON-TAXABLE SALES-FOOD")</f>
        <v xml:space="preserve">          4155 - NON-TAXABLE SALES-FOOD</v>
      </c>
      <c r="C21" s="11"/>
      <c r="D21" s="2">
        <f t="shared" ref="D21:D22" si="5">0</f>
        <v>0</v>
      </c>
      <c r="E21" s="2"/>
      <c r="F21" s="19"/>
      <c r="G21" s="2"/>
      <c r="H21" s="2">
        <f>--63957.35</f>
        <v>63957.35</v>
      </c>
      <c r="I21" s="2"/>
      <c r="J21" s="19"/>
      <c r="K21" s="2"/>
      <c r="L21" s="2">
        <f t="shared" si="0"/>
        <v>-63957.35</v>
      </c>
      <c r="M21" s="2"/>
      <c r="N21" s="19">
        <f t="shared" si="1"/>
        <v>-1</v>
      </c>
      <c r="O21" s="11"/>
      <c r="P21" s="2">
        <f t="shared" ref="P21:P22" si="6">0</f>
        <v>0</v>
      </c>
      <c r="Q21" s="2"/>
      <c r="R21" s="19"/>
      <c r="S21" s="2"/>
      <c r="T21" s="2">
        <f>--488454.35</f>
        <v>488454.35</v>
      </c>
      <c r="U21" s="2"/>
      <c r="V21" s="19"/>
      <c r="W21" s="2"/>
      <c r="X21" s="2">
        <f t="shared" si="2"/>
        <v>-488454.35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"4158", " - ", "NON-TAXABLE SALES-FOOD")</f>
        <v xml:space="preserve">          4158 - NON-TAXABLE SALES-FOOD</v>
      </c>
      <c r="C22" s="11"/>
      <c r="D22" s="2">
        <f t="shared" si="5"/>
        <v>0</v>
      </c>
      <c r="E22" s="2"/>
      <c r="F22" s="19"/>
      <c r="G22" s="2"/>
      <c r="H22" s="2">
        <f>--45728.68</f>
        <v>45728.68</v>
      </c>
      <c r="I22" s="2"/>
      <c r="J22" s="19"/>
      <c r="K22" s="2"/>
      <c r="L22" s="2">
        <f t="shared" si="0"/>
        <v>-45728.68</v>
      </c>
      <c r="M22" s="2"/>
      <c r="N22" s="19">
        <f t="shared" si="1"/>
        <v>-1</v>
      </c>
      <c r="O22" s="11"/>
      <c r="P22" s="2">
        <f t="shared" si="6"/>
        <v>0</v>
      </c>
      <c r="Q22" s="2"/>
      <c r="R22" s="19"/>
      <c r="S22" s="2"/>
      <c r="T22" s="2">
        <f>--318615.94</f>
        <v>318615.94</v>
      </c>
      <c r="U22" s="2"/>
      <c r="V22" s="19"/>
      <c r="W22" s="2"/>
      <c r="X22" s="2">
        <f t="shared" si="2"/>
        <v>-318615.94</v>
      </c>
      <c r="Y22" s="2"/>
      <c r="Z22" s="19">
        <f t="shared" si="3"/>
        <v>-1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9" t="s">
        <v>8</v>
      </c>
      <c r="C24" s="10"/>
      <c r="D24" s="4">
        <f>SUM(OSRRefD16x_0)</f>
        <v>38808.870000000003</v>
      </c>
      <c r="E24" s="4"/>
      <c r="F24" s="12">
        <f t="shared" ref="F24:F26" si="7">IF(D$12=0,0,D24/D$12)</f>
        <v>0.24679894483224782</v>
      </c>
      <c r="G24" s="4"/>
      <c r="H24" s="4">
        <f>SUM(OSRRefH16x_0)</f>
        <v>333975</v>
      </c>
      <c r="I24" s="4"/>
      <c r="J24" s="12">
        <f t="shared" ref="J24:J26" si="8">IF(H$12=0,0,H24/H$12)</f>
        <v>0.27249878386275217</v>
      </c>
      <c r="K24" s="4"/>
      <c r="L24" s="4">
        <f t="shared" ref="L24:L26" si="9">+D24-H24</f>
        <v>-295166.13</v>
      </c>
      <c r="M24" s="4"/>
      <c r="N24" s="12">
        <f t="shared" ref="N24:N26" si="10">IF(H24=0,0,L24/H24)</f>
        <v>-0.88379708061980689</v>
      </c>
      <c r="O24" s="10"/>
      <c r="P24" s="4">
        <f>SUM(OSRRefP16x_0)</f>
        <v>269718.28999999998</v>
      </c>
      <c r="Q24" s="4"/>
      <c r="R24" s="12">
        <f t="shared" ref="R24:R26" si="11">IF(P$12=0,0,P24/P$12)</f>
        <v>0.32468254472123526</v>
      </c>
      <c r="S24" s="4"/>
      <c r="T24" s="4">
        <f>SUM(OSRRefT16x_0)</f>
        <v>2480069.6399999997</v>
      </c>
      <c r="U24" s="4"/>
      <c r="V24" s="12">
        <f t="shared" ref="V24:V26" si="12">IF(T$12=0,0,T24/T$12)</f>
        <v>0.26999329623292695</v>
      </c>
      <c r="W24" s="4"/>
      <c r="X24" s="4">
        <f t="shared" ref="X24:X26" si="13">+P24-T24</f>
        <v>-2210351.3499999996</v>
      </c>
      <c r="Y24" s="4"/>
      <c r="Z24" s="12">
        <f t="shared" ref="Z24:Z26" si="14">IF(T24=0,0,X24/T24)</f>
        <v>-0.89124567889150075</v>
      </c>
    </row>
    <row r="25" spans="1:26" s="24" customFormat="1" hidden="1" outlineLevel="1" x14ac:dyDescent="0.25">
      <c r="A25" s="44"/>
      <c r="B25" s="11" t="str">
        <f>CONCATENATE("          ", "5053", " - ", "PURCHASES @ COST-FOOD")</f>
        <v xml:space="preserve">          5053 - PURCHASES @ COST-FOOD</v>
      </c>
      <c r="C25" s="11"/>
      <c r="D25" s="2">
        <v>34549.870000000003</v>
      </c>
      <c r="E25" s="2"/>
      <c r="F25" s="19">
        <f t="shared" si="7"/>
        <v>0.21971449980613539</v>
      </c>
      <c r="G25" s="2"/>
      <c r="H25" s="2">
        <v>324886.88</v>
      </c>
      <c r="I25" s="2"/>
      <c r="J25" s="19">
        <f t="shared" si="8"/>
        <v>0.26508355323890681</v>
      </c>
      <c r="K25" s="2"/>
      <c r="L25" s="2">
        <f t="shared" si="9"/>
        <v>-290337.01</v>
      </c>
      <c r="M25" s="2"/>
      <c r="N25" s="19">
        <f t="shared" si="10"/>
        <v>-0.89365569332932127</v>
      </c>
      <c r="O25" s="11"/>
      <c r="P25" s="2">
        <v>269637.90999999997</v>
      </c>
      <c r="Q25" s="2"/>
      <c r="R25" s="19">
        <f t="shared" si="11"/>
        <v>0.32458578456846737</v>
      </c>
      <c r="S25" s="2"/>
      <c r="T25" s="2">
        <v>2506600.4699999997</v>
      </c>
      <c r="U25" s="2"/>
      <c r="V25" s="19">
        <f t="shared" si="12"/>
        <v>0.27288158054880424</v>
      </c>
      <c r="W25" s="2"/>
      <c r="X25" s="2">
        <f t="shared" si="13"/>
        <v>-2236962.5599999996</v>
      </c>
      <c r="Y25" s="2"/>
      <c r="Z25" s="19">
        <f t="shared" si="14"/>
        <v>-0.89242884407501921</v>
      </c>
    </row>
    <row r="26" spans="1:26" s="24" customFormat="1" hidden="1" outlineLevel="1" x14ac:dyDescent="0.25">
      <c r="A26" s="44"/>
      <c r="B26" s="11" t="str">
        <f>CONCATENATE("          ", "5059", " - ", "PURCHASES @ COST-FOOD")</f>
        <v xml:space="preserve">          5059 - PURCHASES @ COST-FOOD</v>
      </c>
      <c r="C26" s="11"/>
      <c r="D26" s="2">
        <v>4259</v>
      </c>
      <c r="E26" s="2"/>
      <c r="F26" s="19">
        <f t="shared" si="7"/>
        <v>2.7084445026112416E-2</v>
      </c>
      <c r="G26" s="2"/>
      <c r="H26" s="2">
        <v>9088.1200000000008</v>
      </c>
      <c r="I26" s="2"/>
      <c r="J26" s="19">
        <f t="shared" si="8"/>
        <v>7.4152306238453635E-3</v>
      </c>
      <c r="K26" s="2"/>
      <c r="L26" s="2">
        <f t="shared" si="9"/>
        <v>-4829.1200000000008</v>
      </c>
      <c r="M26" s="2"/>
      <c r="N26" s="19">
        <f t="shared" si="10"/>
        <v>-0.53136622315726467</v>
      </c>
      <c r="O26" s="11"/>
      <c r="P26" s="2">
        <v>80.38</v>
      </c>
      <c r="Q26" s="2"/>
      <c r="R26" s="19">
        <f t="shared" si="11"/>
        <v>9.6760152767885678E-5</v>
      </c>
      <c r="S26" s="2"/>
      <c r="T26" s="2">
        <v>-26530.83</v>
      </c>
      <c r="U26" s="2"/>
      <c r="V26" s="19">
        <f t="shared" si="12"/>
        <v>-2.8882843158772862E-3</v>
      </c>
      <c r="W26" s="2"/>
      <c r="X26" s="2">
        <f t="shared" si="13"/>
        <v>26611.210000000003</v>
      </c>
      <c r="Y26" s="2"/>
      <c r="Z26" s="19">
        <f t="shared" si="14"/>
        <v>-1.0030296828256033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6</v>
      </c>
      <c r="C28" s="28"/>
      <c r="D28" s="20">
        <f>D12-D24</f>
        <v>118440.06000000003</v>
      </c>
      <c r="E28" s="14"/>
      <c r="F28" s="21">
        <f>IF(D$12=0,0,D28/D$12)</f>
        <v>0.75320105516775226</v>
      </c>
      <c r="G28" s="14"/>
      <c r="H28" s="20">
        <f>H12-H24</f>
        <v>891626.8</v>
      </c>
      <c r="I28" s="14"/>
      <c r="J28" s="21">
        <f>IF(H$12=0,0,H28/H$12)</f>
        <v>0.72750121613724783</v>
      </c>
      <c r="K28" s="15"/>
      <c r="L28" s="20">
        <f>+D28-H28</f>
        <v>-773186.74</v>
      </c>
      <c r="M28" s="15"/>
      <c r="N28" s="21">
        <f>IF(H28=0,0,L28/H28)</f>
        <v>-0.86716408703731196</v>
      </c>
      <c r="O28" s="29"/>
      <c r="P28" s="20">
        <f>P12-P24</f>
        <v>560995.57000000007</v>
      </c>
      <c r="Q28" s="14"/>
      <c r="R28" s="21">
        <f>IF(P$12=0,0,P28/P$12)</f>
        <v>0.67531745527876474</v>
      </c>
      <c r="S28" s="14"/>
      <c r="T28" s="20">
        <f>T12-T24</f>
        <v>6705601.54</v>
      </c>
      <c r="U28" s="14"/>
      <c r="V28" s="21">
        <f>IF(T$12=0,0,T28/T$12)</f>
        <v>0.730006703767073</v>
      </c>
      <c r="W28" s="15"/>
      <c r="X28" s="20">
        <f>+P28-T28</f>
        <v>-6144605.9699999997</v>
      </c>
      <c r="Y28" s="15"/>
      <c r="Z28" s="21">
        <f>IF(T28=0,0,X28/T28)</f>
        <v>-0.9163392625324408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9</v>
      </c>
      <c r="C30" s="10"/>
      <c r="D30" s="22">
        <f>SUM(OSRRefD22x_0)</f>
        <v>364083.84999999992</v>
      </c>
      <c r="E30" s="22"/>
      <c r="F30" s="36">
        <f t="shared" ref="F30:F40" si="15">IF(D$12=0,0,D30/D$12)</f>
        <v>2.3153343555342465</v>
      </c>
      <c r="G30" s="22"/>
      <c r="H30" s="22">
        <f>SUM(OSRRefH22x_0)</f>
        <v>896830.33</v>
      </c>
      <c r="I30" s="22"/>
      <c r="J30" s="36">
        <f t="shared" ref="J30:J40" si="16">IF(H$12=0,0,H30/H$12)</f>
        <v>0.73174690996700553</v>
      </c>
      <c r="K30" s="4"/>
      <c r="L30" s="22">
        <f t="shared" ref="L30:L40" si="17">+D30-H30</f>
        <v>-532746.48</v>
      </c>
      <c r="M30" s="4"/>
      <c r="N30" s="36">
        <f t="shared" ref="N30:N40" si="18">IF(H30=0,0,L30/H30)</f>
        <v>-0.59403263045307575</v>
      </c>
      <c r="O30" s="10"/>
      <c r="P30" s="22">
        <f>SUM(OSRRefP22x_0)</f>
        <v>2078309.9699999993</v>
      </c>
      <c r="Q30" s="22"/>
      <c r="R30" s="36">
        <f t="shared" ref="R30:R40" si="19">IF(P$12=0,0,P30/P$12)</f>
        <v>2.5018361557131108</v>
      </c>
      <c r="S30" s="22"/>
      <c r="T30" s="22">
        <f>SUM(OSRRefT22x_0)</f>
        <v>5814657.7999999998</v>
      </c>
      <c r="U30" s="22"/>
      <c r="V30" s="36">
        <f t="shared" ref="V30:V40" si="20">IF(T$12=0,0,T30/T$12)</f>
        <v>0.63301392854778848</v>
      </c>
      <c r="W30" s="4"/>
      <c r="X30" s="22">
        <f t="shared" ref="X30:X40" si="21">+P30-T30</f>
        <v>-3736347.8300000005</v>
      </c>
      <c r="Y30" s="4"/>
      <c r="Z30" s="36">
        <f t="shared" ref="Z30:Z40" si="22">IF(T30=0,0,X30/T30)</f>
        <v>-0.64257398431942125</v>
      </c>
    </row>
    <row r="31" spans="1:26" s="25" customFormat="1" outlineLevel="1" collapsed="1" x14ac:dyDescent="0.25">
      <c r="A31" s="26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96760.07</v>
      </c>
      <c r="E31" s="1"/>
      <c r="F31" s="5">
        <f t="shared" si="15"/>
        <v>0.61533054628734196</v>
      </c>
      <c r="G31" s="1"/>
      <c r="H31" s="1">
        <f>SUM(OSRRefH22_0x_0)</f>
        <v>165756.85000000003</v>
      </c>
      <c r="I31" s="1"/>
      <c r="J31" s="5">
        <f t="shared" si="16"/>
        <v>0.13524527297528449</v>
      </c>
      <c r="K31" s="1"/>
      <c r="L31" s="1">
        <f t="shared" si="17"/>
        <v>-68996.780000000028</v>
      </c>
      <c r="M31" s="1"/>
      <c r="N31" s="5">
        <f t="shared" si="18"/>
        <v>-0.41625296330136591</v>
      </c>
      <c r="O31" s="13"/>
      <c r="P31" s="1">
        <f>SUM(OSRRefP22_0x_0)</f>
        <v>597877.31999999995</v>
      </c>
      <c r="Q31" s="1"/>
      <c r="R31" s="5">
        <f t="shared" si="19"/>
        <v>0.71971511345675632</v>
      </c>
      <c r="S31" s="1"/>
      <c r="T31" s="1">
        <f>SUM(OSRRefT22_0x_0)</f>
        <v>976368.01</v>
      </c>
      <c r="U31" s="1"/>
      <c r="V31" s="5">
        <f t="shared" si="20"/>
        <v>0.10629250610732183</v>
      </c>
      <c r="W31" s="1"/>
      <c r="X31" s="1">
        <f t="shared" si="21"/>
        <v>-378490.69000000006</v>
      </c>
      <c r="Y31" s="1"/>
      <c r="Z31" s="5">
        <f t="shared" si="22"/>
        <v>-0.38765167039833687</v>
      </c>
    </row>
    <row r="32" spans="1:26" s="24" customFormat="1" hidden="1" outlineLevel="2" x14ac:dyDescent="0.25">
      <c r="A32" s="27"/>
      <c r="B32" s="11" t="str">
        <f>CONCATENATE("          ", "6111", " - ", "F.I.C.A.")</f>
        <v xml:space="preserve">          6111 - F.I.C.A.</v>
      </c>
      <c r="C32" s="11"/>
      <c r="D32" s="7">
        <v>8756.08</v>
      </c>
      <c r="E32" s="2"/>
      <c r="F32" s="6">
        <f t="shared" si="15"/>
        <v>5.5682922611937635E-2</v>
      </c>
      <c r="G32" s="2"/>
      <c r="H32" s="7">
        <v>22939.98</v>
      </c>
      <c r="I32" s="2"/>
      <c r="J32" s="6">
        <f t="shared" si="16"/>
        <v>1.8717319116208869E-2</v>
      </c>
      <c r="K32" s="2"/>
      <c r="L32" s="7">
        <f t="shared" si="17"/>
        <v>-14183.9</v>
      </c>
      <c r="M32" s="2"/>
      <c r="N32" s="6">
        <f t="shared" si="18"/>
        <v>-0.61830481107655721</v>
      </c>
      <c r="O32" s="11"/>
      <c r="P32" s="7">
        <v>64750.82</v>
      </c>
      <c r="Q32" s="2"/>
      <c r="R32" s="6">
        <f t="shared" si="19"/>
        <v>7.7945996952548738E-2</v>
      </c>
      <c r="S32" s="2"/>
      <c r="T32" s="7">
        <v>166213.07</v>
      </c>
      <c r="U32" s="2"/>
      <c r="V32" s="6">
        <f t="shared" si="20"/>
        <v>1.8094820372178837E-2</v>
      </c>
      <c r="W32" s="2"/>
      <c r="X32" s="7">
        <f t="shared" si="21"/>
        <v>-101462.25</v>
      </c>
      <c r="Y32" s="2"/>
      <c r="Z32" s="6">
        <f t="shared" si="22"/>
        <v>-0.61043484727163755</v>
      </c>
    </row>
    <row r="33" spans="1:26" s="24" customFormat="1" hidden="1" outlineLevel="2" x14ac:dyDescent="0.25">
      <c r="A33" s="27"/>
      <c r="B33" s="11" t="str">
        <f>CONCATENATE("          ", "6112", " - ", "COMPENSATION INSURANCE")</f>
        <v xml:space="preserve">          6112 - COMPENSATION INSURANCE</v>
      </c>
      <c r="C33" s="11"/>
      <c r="D33" s="7">
        <v>9429.67</v>
      </c>
      <c r="E33" s="2"/>
      <c r="F33" s="6">
        <f t="shared" si="15"/>
        <v>5.9966512967687596E-2</v>
      </c>
      <c r="G33" s="2"/>
      <c r="H33" s="7">
        <v>24307.54</v>
      </c>
      <c r="I33" s="2"/>
      <c r="J33" s="6">
        <f t="shared" si="16"/>
        <v>1.983314645915174E-2</v>
      </c>
      <c r="K33" s="2"/>
      <c r="L33" s="7">
        <f t="shared" si="17"/>
        <v>-14877.87</v>
      </c>
      <c r="M33" s="2"/>
      <c r="N33" s="6">
        <f t="shared" si="18"/>
        <v>-0.61206810726219107</v>
      </c>
      <c r="O33" s="11"/>
      <c r="P33" s="7">
        <v>39064.07</v>
      </c>
      <c r="Q33" s="2"/>
      <c r="R33" s="6">
        <f t="shared" si="19"/>
        <v>4.7024699936991543E-2</v>
      </c>
      <c r="S33" s="2"/>
      <c r="T33" s="7">
        <v>86236.47</v>
      </c>
      <c r="U33" s="2"/>
      <c r="V33" s="6">
        <f t="shared" si="20"/>
        <v>9.3881512096539044E-3</v>
      </c>
      <c r="W33" s="2"/>
      <c r="X33" s="7">
        <f t="shared" si="21"/>
        <v>-47172.4</v>
      </c>
      <c r="Y33" s="2"/>
      <c r="Z33" s="6">
        <f t="shared" si="22"/>
        <v>-0.54701218637543958</v>
      </c>
    </row>
    <row r="34" spans="1:26" s="24" customFormat="1" hidden="1" outlineLevel="2" x14ac:dyDescent="0.25">
      <c r="A34" s="27"/>
      <c r="B34" s="11" t="str">
        <f>CONCATENATE("          ", "6113", " - ", "GROUP INSURANCE")</f>
        <v xml:space="preserve">          6113 - GROUP INSURANCE</v>
      </c>
      <c r="C34" s="11"/>
      <c r="D34" s="7">
        <v>54369.29</v>
      </c>
      <c r="E34" s="2"/>
      <c r="F34" s="6">
        <f t="shared" si="15"/>
        <v>0.34575300448785246</v>
      </c>
      <c r="G34" s="2"/>
      <c r="H34" s="7">
        <v>72753.95</v>
      </c>
      <c r="I34" s="2"/>
      <c r="J34" s="6">
        <f t="shared" si="16"/>
        <v>5.9361817190542635E-2</v>
      </c>
      <c r="K34" s="2"/>
      <c r="L34" s="7">
        <f t="shared" si="17"/>
        <v>-18384.659999999996</v>
      </c>
      <c r="M34" s="2"/>
      <c r="N34" s="6">
        <f t="shared" si="18"/>
        <v>-0.25269638280808115</v>
      </c>
      <c r="O34" s="11"/>
      <c r="P34" s="7">
        <v>328523.77999999997</v>
      </c>
      <c r="Q34" s="2"/>
      <c r="R34" s="6">
        <f t="shared" si="19"/>
        <v>0.39547164892614162</v>
      </c>
      <c r="S34" s="2"/>
      <c r="T34" s="7">
        <v>406949.60000000003</v>
      </c>
      <c r="U34" s="2"/>
      <c r="V34" s="6">
        <f t="shared" si="20"/>
        <v>4.4302652688684642E-2</v>
      </c>
      <c r="W34" s="2"/>
      <c r="X34" s="7">
        <f t="shared" si="21"/>
        <v>-78425.820000000065</v>
      </c>
      <c r="Y34" s="2"/>
      <c r="Z34" s="6">
        <f t="shared" si="22"/>
        <v>-0.19271629705496715</v>
      </c>
    </row>
    <row r="35" spans="1:26" s="24" customFormat="1" hidden="1" outlineLevel="2" x14ac:dyDescent="0.25">
      <c r="A35" s="27"/>
      <c r="B35" s="11" t="str">
        <f>CONCATENATE("          ", "6114", " - ", "STATE UNEMPLOYMENT INSURANCE")</f>
        <v xml:space="preserve">          6114 - STATE UNEMPLOYMENT INSURANCE</v>
      </c>
      <c r="C35" s="11"/>
      <c r="D35" s="7"/>
      <c r="E35" s="2"/>
      <c r="F35" s="6">
        <f t="shared" si="15"/>
        <v>0</v>
      </c>
      <c r="G35" s="2"/>
      <c r="H35" s="7">
        <v>1690.35</v>
      </c>
      <c r="I35" s="2"/>
      <c r="J35" s="6">
        <f t="shared" si="16"/>
        <v>1.37919999791123E-3</v>
      </c>
      <c r="K35" s="2"/>
      <c r="L35" s="7">
        <f t="shared" si="17"/>
        <v>-1690.35</v>
      </c>
      <c r="M35" s="2"/>
      <c r="N35" s="6">
        <f t="shared" si="18"/>
        <v>-1</v>
      </c>
      <c r="O35" s="11"/>
      <c r="P35" s="7">
        <v>2154.13</v>
      </c>
      <c r="Q35" s="2"/>
      <c r="R35" s="6">
        <f t="shared" si="19"/>
        <v>2.5931070898467978E-3</v>
      </c>
      <c r="S35" s="2"/>
      <c r="T35" s="7">
        <v>7903.52</v>
      </c>
      <c r="U35" s="2"/>
      <c r="V35" s="6">
        <f t="shared" si="20"/>
        <v>8.604183456085787E-4</v>
      </c>
      <c r="W35" s="2"/>
      <c r="X35" s="7">
        <f t="shared" si="21"/>
        <v>-5749.39</v>
      </c>
      <c r="Y35" s="2"/>
      <c r="Z35" s="6">
        <f t="shared" si="22"/>
        <v>-0.72744675790027735</v>
      </c>
    </row>
    <row r="36" spans="1:26" s="24" customFormat="1" hidden="1" outlineLevel="2" x14ac:dyDescent="0.25">
      <c r="A36" s="27"/>
      <c r="B36" s="11" t="str">
        <f>CONCATENATE("          ", "6115", " - ", "P.E.R.S.")</f>
        <v xml:space="preserve">          6115 - P.E.R.S.</v>
      </c>
      <c r="C36" s="11"/>
      <c r="D36" s="7">
        <v>6252.05</v>
      </c>
      <c r="E36" s="2"/>
      <c r="F36" s="6">
        <f t="shared" si="15"/>
        <v>3.9758935084645723E-2</v>
      </c>
      <c r="G36" s="2"/>
      <c r="H36" s="7">
        <v>10756.29</v>
      </c>
      <c r="I36" s="2"/>
      <c r="J36" s="6">
        <f t="shared" si="16"/>
        <v>8.7763333898497869E-3</v>
      </c>
      <c r="K36" s="2"/>
      <c r="L36" s="7">
        <f t="shared" si="17"/>
        <v>-4504.2400000000007</v>
      </c>
      <c r="M36" s="2"/>
      <c r="N36" s="6">
        <f t="shared" si="18"/>
        <v>-0.41875404995588633</v>
      </c>
      <c r="O36" s="11"/>
      <c r="P36" s="7">
        <v>43914.659999999996</v>
      </c>
      <c r="Q36" s="2"/>
      <c r="R36" s="6">
        <f t="shared" si="19"/>
        <v>5.2863762258643421E-2</v>
      </c>
      <c r="S36" s="2"/>
      <c r="T36" s="7">
        <v>68215.42</v>
      </c>
      <c r="U36" s="2"/>
      <c r="V36" s="6">
        <f t="shared" si="20"/>
        <v>7.4262858601476739E-3</v>
      </c>
      <c r="W36" s="2"/>
      <c r="X36" s="7">
        <f t="shared" si="21"/>
        <v>-24300.760000000002</v>
      </c>
      <c r="Y36" s="2"/>
      <c r="Z36" s="6">
        <f t="shared" si="22"/>
        <v>-0.35623558427112234</v>
      </c>
    </row>
    <row r="37" spans="1:26" s="24" customFormat="1" hidden="1" outlineLevel="2" x14ac:dyDescent="0.25">
      <c r="A37" s="27"/>
      <c r="B37" s="11" t="str">
        <f>CONCATENATE("          ", "6117", " - ", "RETIREMENT STAFF HOURLY")</f>
        <v xml:space="preserve">          6117 - RETIREMENT STAFF HOURLY</v>
      </c>
      <c r="C37" s="11"/>
      <c r="D37" s="7">
        <v>1345.94</v>
      </c>
      <c r="E37" s="2"/>
      <c r="F37" s="6">
        <f t="shared" si="15"/>
        <v>8.559295125251408E-3</v>
      </c>
      <c r="G37" s="2"/>
      <c r="H37" s="7">
        <v>2259.6</v>
      </c>
      <c r="I37" s="2"/>
      <c r="J37" s="6">
        <f t="shared" si="16"/>
        <v>1.8436656995771382E-3</v>
      </c>
      <c r="K37" s="2"/>
      <c r="L37" s="7">
        <f t="shared" si="17"/>
        <v>-913.65999999999985</v>
      </c>
      <c r="M37" s="2"/>
      <c r="N37" s="6">
        <f t="shared" si="18"/>
        <v>-0.404345901929545</v>
      </c>
      <c r="O37" s="11"/>
      <c r="P37" s="7">
        <v>9032.7999999999993</v>
      </c>
      <c r="Q37" s="2"/>
      <c r="R37" s="6">
        <f t="shared" si="19"/>
        <v>1.0873539536224903E-2</v>
      </c>
      <c r="S37" s="2"/>
      <c r="T37" s="7">
        <v>10832.01</v>
      </c>
      <c r="U37" s="2"/>
      <c r="V37" s="6">
        <f t="shared" si="20"/>
        <v>1.1792290174271185E-3</v>
      </c>
      <c r="W37" s="2"/>
      <c r="X37" s="7">
        <f t="shared" si="21"/>
        <v>-1799.2100000000009</v>
      </c>
      <c r="Y37" s="2"/>
      <c r="Z37" s="6">
        <f t="shared" si="22"/>
        <v>-0.16610121297893934</v>
      </c>
    </row>
    <row r="38" spans="1:26" s="24" customFormat="1" hidden="1" outlineLevel="2" x14ac:dyDescent="0.25">
      <c r="A38" s="27"/>
      <c r="B38" s="11" t="str">
        <f>CONCATENATE("          ", "6118", " - ", "VACATION")</f>
        <v xml:space="preserve">          6118 - VACATION</v>
      </c>
      <c r="C38" s="11"/>
      <c r="D38" s="7">
        <v>8845.1200000000008</v>
      </c>
      <c r="E38" s="2"/>
      <c r="F38" s="6">
        <f t="shared" si="15"/>
        <v>5.6249158579330237E-2</v>
      </c>
      <c r="G38" s="2"/>
      <c r="H38" s="7">
        <v>14318.43</v>
      </c>
      <c r="I38" s="2"/>
      <c r="J38" s="6">
        <f t="shared" si="16"/>
        <v>1.1682774943705206E-2</v>
      </c>
      <c r="K38" s="2"/>
      <c r="L38" s="7">
        <f t="shared" si="17"/>
        <v>-5473.3099999999995</v>
      </c>
      <c r="M38" s="2"/>
      <c r="N38" s="6">
        <f t="shared" si="18"/>
        <v>-0.38225629485914303</v>
      </c>
      <c r="O38" s="11"/>
      <c r="P38" s="7">
        <v>56153.299999999996</v>
      </c>
      <c r="Q38" s="2"/>
      <c r="R38" s="6">
        <f t="shared" si="19"/>
        <v>6.7596440487943707E-2</v>
      </c>
      <c r="S38" s="2"/>
      <c r="T38" s="7">
        <v>98727.650000000009</v>
      </c>
      <c r="U38" s="2"/>
      <c r="V38" s="6">
        <f t="shared" si="20"/>
        <v>1.0748006113582656E-2</v>
      </c>
      <c r="W38" s="2"/>
      <c r="X38" s="7">
        <f t="shared" si="21"/>
        <v>-42574.350000000013</v>
      </c>
      <c r="Y38" s="2"/>
      <c r="Z38" s="6">
        <f t="shared" si="22"/>
        <v>-0.43123025819008159</v>
      </c>
    </row>
    <row r="39" spans="1:26" s="24" customFormat="1" hidden="1" outlineLevel="2" x14ac:dyDescent="0.25">
      <c r="A39" s="27"/>
      <c r="B39" s="11" t="str">
        <f>CONCATENATE("          ", "6119", " - ", "SICK LEAVE")</f>
        <v xml:space="preserve">          6119 - SICK LEAVE</v>
      </c>
      <c r="C39" s="11"/>
      <c r="D39" s="7">
        <v>5575.88</v>
      </c>
      <c r="E39" s="2"/>
      <c r="F39" s="6">
        <f t="shared" si="15"/>
        <v>3.545893762202388E-2</v>
      </c>
      <c r="G39" s="2"/>
      <c r="H39" s="7">
        <v>10206.57</v>
      </c>
      <c r="I39" s="2"/>
      <c r="J39" s="6">
        <f t="shared" si="16"/>
        <v>8.3278027169999252E-3</v>
      </c>
      <c r="K39" s="2"/>
      <c r="L39" s="7">
        <f t="shared" si="17"/>
        <v>-4630.6899999999996</v>
      </c>
      <c r="M39" s="2"/>
      <c r="N39" s="6">
        <f t="shared" si="18"/>
        <v>-0.45369698145410259</v>
      </c>
      <c r="O39" s="11"/>
      <c r="P39" s="7">
        <v>36023.79</v>
      </c>
      <c r="Q39" s="2"/>
      <c r="R39" s="6">
        <f t="shared" si="19"/>
        <v>4.3364859712344273E-2</v>
      </c>
      <c r="S39" s="2"/>
      <c r="T39" s="7">
        <v>94090.32</v>
      </c>
      <c r="U39" s="2"/>
      <c r="V39" s="6">
        <f t="shared" si="20"/>
        <v>1.0243162220400753E-2</v>
      </c>
      <c r="W39" s="2"/>
      <c r="X39" s="7">
        <f t="shared" si="21"/>
        <v>-58066.530000000006</v>
      </c>
      <c r="Y39" s="2"/>
      <c r="Z39" s="6">
        <f t="shared" si="22"/>
        <v>-0.61713606670696841</v>
      </c>
    </row>
    <row r="40" spans="1:26" s="24" customFormat="1" hidden="1" outlineLevel="2" x14ac:dyDescent="0.25">
      <c r="A40" s="27"/>
      <c r="B40" s="11" t="str">
        <f>CONCATENATE("          ", "6156", " - ", "EMPLOYEE MEALS")</f>
        <v xml:space="preserve">          6156 - EMPLOYEE MEALS</v>
      </c>
      <c r="C40" s="11"/>
      <c r="D40" s="7">
        <v>2186.04</v>
      </c>
      <c r="E40" s="2"/>
      <c r="F40" s="6">
        <f t="shared" si="15"/>
        <v>1.3901779808613004E-2</v>
      </c>
      <c r="G40" s="2"/>
      <c r="H40" s="7">
        <v>6524.14</v>
      </c>
      <c r="I40" s="2"/>
      <c r="J40" s="6">
        <f t="shared" si="16"/>
        <v>5.3232134613379325E-3</v>
      </c>
      <c r="K40" s="2"/>
      <c r="L40" s="7">
        <f t="shared" si="17"/>
        <v>-4338.1000000000004</v>
      </c>
      <c r="M40" s="2"/>
      <c r="N40" s="6">
        <f t="shared" si="18"/>
        <v>-0.66493055023344072</v>
      </c>
      <c r="O40" s="11"/>
      <c r="P40" s="7">
        <v>18259.969999999998</v>
      </c>
      <c r="Q40" s="2"/>
      <c r="R40" s="6">
        <f t="shared" si="19"/>
        <v>2.1981058556071277E-2</v>
      </c>
      <c r="S40" s="2"/>
      <c r="T40" s="7">
        <v>37199.950000000004</v>
      </c>
      <c r="U40" s="2"/>
      <c r="V40" s="6">
        <f t="shared" si="20"/>
        <v>4.0497802796376613E-3</v>
      </c>
      <c r="W40" s="2"/>
      <c r="X40" s="7">
        <f t="shared" si="21"/>
        <v>-18939.980000000007</v>
      </c>
      <c r="Y40" s="2"/>
      <c r="Z40" s="6">
        <f t="shared" si="22"/>
        <v>-0.50913993163969318</v>
      </c>
    </row>
    <row r="41" spans="1:26" s="25" customFormat="1" outlineLevel="1" collapsed="1" x14ac:dyDescent="0.25">
      <c r="A41" s="26"/>
      <c r="B41" s="13" t="str">
        <f>CONCATENATE("     ","*Payroll                                          ")</f>
        <v xml:space="preserve">     *Payroll                                          </v>
      </c>
      <c r="C41" s="13"/>
      <c r="D41" s="1">
        <f>SUM(OSRRefD22_1x_0)</f>
        <v>117024.06</v>
      </c>
      <c r="E41" s="1"/>
      <c r="F41" s="5">
        <f t="shared" ref="F41:F48" si="23">IF(D$12=0,0,D41/D$12)</f>
        <v>0.74419622441946021</v>
      </c>
      <c r="G41" s="1"/>
      <c r="H41" s="1">
        <f>SUM(OSRRefH22_1x_0)</f>
        <v>402086.32</v>
      </c>
      <c r="I41" s="1"/>
      <c r="J41" s="5">
        <f t="shared" ref="J41:J48" si="24">IF(H$12=0,0,H41/H$12)</f>
        <v>0.32807255994565282</v>
      </c>
      <c r="K41" s="1"/>
      <c r="L41" s="1">
        <f t="shared" ref="L41:L48" si="25">+D41-H41</f>
        <v>-285062.26</v>
      </c>
      <c r="M41" s="1"/>
      <c r="N41" s="5">
        <f t="shared" ref="N41:N48" si="26">IF(H41=0,0,L41/H41)</f>
        <v>-0.7089578675544097</v>
      </c>
      <c r="O41" s="13"/>
      <c r="P41" s="1">
        <f>SUM(OSRRefP22_1x_0)</f>
        <v>819447.67</v>
      </c>
      <c r="Q41" s="1"/>
      <c r="R41" s="5">
        <f t="shared" ref="R41:R48" si="27">IF(P$12=0,0,P41/P$12)</f>
        <v>0.98643794145916874</v>
      </c>
      <c r="S41" s="1"/>
      <c r="T41" s="1">
        <f>SUM(OSRRefT22_1x_0)</f>
        <v>2813732.82</v>
      </c>
      <c r="U41" s="1"/>
      <c r="V41" s="5">
        <f t="shared" ref="V41:V48" si="28">IF(T$12=0,0,T41/T$12)</f>
        <v>0.30631760759370008</v>
      </c>
      <c r="W41" s="1"/>
      <c r="X41" s="1">
        <f t="shared" ref="X41:X48" si="29">+P41-T41</f>
        <v>-1994285.15</v>
      </c>
      <c r="Y41" s="1"/>
      <c r="Z41" s="5">
        <f t="shared" ref="Z41:Z48" si="30">IF(T41=0,0,X41/T41)</f>
        <v>-0.70876848570149598</v>
      </c>
    </row>
    <row r="42" spans="1:26" s="24" customFormat="1" hidden="1" outlineLevel="2" x14ac:dyDescent="0.25">
      <c r="A42" s="27"/>
      <c r="B42" s="11" t="str">
        <f>CONCATENATE("          ", "6001", " - ", "ADMINISTRATIVE SALARIES")</f>
        <v xml:space="preserve">          6001 - ADMINISTRATIVE SALARIES</v>
      </c>
      <c r="C42" s="11"/>
      <c r="D42" s="7">
        <v>16919.009999999998</v>
      </c>
      <c r="E42" s="2"/>
      <c r="F42" s="6">
        <f t="shared" si="23"/>
        <v>0.10759380047927827</v>
      </c>
      <c r="G42" s="2"/>
      <c r="H42" s="7">
        <v>24822.86</v>
      </c>
      <c r="I42" s="2"/>
      <c r="J42" s="6">
        <f t="shared" si="24"/>
        <v>2.0253609288106465E-2</v>
      </c>
      <c r="K42" s="2"/>
      <c r="L42" s="7">
        <f t="shared" si="25"/>
        <v>-7903.8500000000022</v>
      </c>
      <c r="M42" s="2"/>
      <c r="N42" s="6">
        <f t="shared" si="26"/>
        <v>-0.31841012679441461</v>
      </c>
      <c r="O42" s="11"/>
      <c r="P42" s="7">
        <v>115989.06</v>
      </c>
      <c r="Q42" s="2"/>
      <c r="R42" s="6">
        <f t="shared" si="27"/>
        <v>0.1396257671684929</v>
      </c>
      <c r="S42" s="2"/>
      <c r="T42" s="7">
        <v>149846.65</v>
      </c>
      <c r="U42" s="2"/>
      <c r="V42" s="6">
        <f t="shared" si="28"/>
        <v>1.6313086661131713E-2</v>
      </c>
      <c r="W42" s="2"/>
      <c r="X42" s="7">
        <f t="shared" si="29"/>
        <v>-33857.589999999997</v>
      </c>
      <c r="Y42" s="2"/>
      <c r="Z42" s="6">
        <f t="shared" si="30"/>
        <v>-0.22594826110560362</v>
      </c>
    </row>
    <row r="43" spans="1:26" s="24" customFormat="1" hidden="1" outlineLevel="2" x14ac:dyDescent="0.25">
      <c r="A43" s="27"/>
      <c r="B43" s="11" t="str">
        <f>CONCATENATE("          ", "6002", " - ", "STAFF SALARIES")</f>
        <v xml:space="preserve">          6002 - STAFF SALARIES</v>
      </c>
      <c r="C43" s="11"/>
      <c r="D43" s="7">
        <v>37605.06</v>
      </c>
      <c r="E43" s="2"/>
      <c r="F43" s="6">
        <f t="shared" si="23"/>
        <v>0.23914350323401243</v>
      </c>
      <c r="G43" s="2"/>
      <c r="H43" s="7">
        <v>94613.72</v>
      </c>
      <c r="I43" s="2"/>
      <c r="J43" s="6">
        <f t="shared" si="24"/>
        <v>7.7197765212159444E-2</v>
      </c>
      <c r="K43" s="2"/>
      <c r="L43" s="7">
        <f t="shared" si="25"/>
        <v>-57008.66</v>
      </c>
      <c r="M43" s="2"/>
      <c r="N43" s="6">
        <f t="shared" si="26"/>
        <v>-0.60254115365086591</v>
      </c>
      <c r="O43" s="11"/>
      <c r="P43" s="7">
        <v>262878.76</v>
      </c>
      <c r="Q43" s="2"/>
      <c r="R43" s="6">
        <f t="shared" si="27"/>
        <v>0.31644922837810846</v>
      </c>
      <c r="S43" s="2"/>
      <c r="T43" s="7">
        <v>596405.98</v>
      </c>
      <c r="U43" s="2"/>
      <c r="V43" s="6">
        <f t="shared" si="28"/>
        <v>6.4927860829435871E-2</v>
      </c>
      <c r="W43" s="2"/>
      <c r="X43" s="7">
        <f t="shared" si="29"/>
        <v>-333527.21999999997</v>
      </c>
      <c r="Y43" s="2"/>
      <c r="Z43" s="6">
        <f t="shared" si="30"/>
        <v>-0.55922849734001656</v>
      </c>
    </row>
    <row r="44" spans="1:26" s="24" customFormat="1" hidden="1" outlineLevel="2" x14ac:dyDescent="0.25">
      <c r="A44" s="27"/>
      <c r="B44" s="11" t="str">
        <f>CONCATENATE("          ", "6004", " - ", "STAFF HOURLY")</f>
        <v xml:space="preserve">          6004 - STAFF HOURLY</v>
      </c>
      <c r="C44" s="11"/>
      <c r="D44" s="7">
        <v>38881</v>
      </c>
      <c r="E44" s="2"/>
      <c r="F44" s="6">
        <f t="shared" si="23"/>
        <v>0.24725764429684829</v>
      </c>
      <c r="G44" s="2"/>
      <c r="H44" s="7">
        <v>77556.710000000006</v>
      </c>
      <c r="I44" s="2"/>
      <c r="J44" s="6">
        <f t="shared" si="24"/>
        <v>6.3280512479665096E-2</v>
      </c>
      <c r="K44" s="2"/>
      <c r="L44" s="7">
        <f t="shared" si="25"/>
        <v>-38675.710000000006</v>
      </c>
      <c r="M44" s="2"/>
      <c r="N44" s="6">
        <f t="shared" si="26"/>
        <v>-0.4986765168352294</v>
      </c>
      <c r="O44" s="11"/>
      <c r="P44" s="7">
        <v>295841.39</v>
      </c>
      <c r="Q44" s="2"/>
      <c r="R44" s="6">
        <f t="shared" si="27"/>
        <v>0.35612911285722382</v>
      </c>
      <c r="S44" s="2"/>
      <c r="T44" s="7">
        <v>485365.24999999994</v>
      </c>
      <c r="U44" s="2"/>
      <c r="V44" s="6">
        <f t="shared" si="28"/>
        <v>5.2839388705398872E-2</v>
      </c>
      <c r="W44" s="2"/>
      <c r="X44" s="7">
        <f t="shared" si="29"/>
        <v>-189523.85999999993</v>
      </c>
      <c r="Y44" s="2"/>
      <c r="Z44" s="6">
        <f t="shared" si="30"/>
        <v>-0.39047678011559328</v>
      </c>
    </row>
    <row r="45" spans="1:26" s="24" customFormat="1" hidden="1" outlineLevel="2" x14ac:dyDescent="0.25">
      <c r="A45" s="27"/>
      <c r="B45" s="11" t="str">
        <f>CONCATENATE("          ", "6005", " - ", "TEMPORARY WAGES-HOURLY")</f>
        <v xml:space="preserve">          6005 - TEMPORARY WAGES-HOURLY</v>
      </c>
      <c r="C45" s="11"/>
      <c r="D45" s="7">
        <v>11854.5</v>
      </c>
      <c r="E45" s="2"/>
      <c r="F45" s="6">
        <f t="shared" si="23"/>
        <v>7.5386840470075045E-2</v>
      </c>
      <c r="G45" s="2"/>
      <c r="H45" s="7">
        <v>74447.92</v>
      </c>
      <c r="I45" s="2"/>
      <c r="J45" s="6">
        <f t="shared" si="24"/>
        <v>6.0743970839468413E-2</v>
      </c>
      <c r="K45" s="2"/>
      <c r="L45" s="7">
        <f t="shared" si="25"/>
        <v>-62593.42</v>
      </c>
      <c r="M45" s="2"/>
      <c r="N45" s="6">
        <f t="shared" si="26"/>
        <v>-0.84076788176217687</v>
      </c>
      <c r="O45" s="11"/>
      <c r="P45" s="7">
        <v>64900.44000000001</v>
      </c>
      <c r="Q45" s="2"/>
      <c r="R45" s="6">
        <f t="shared" si="27"/>
        <v>7.8126107105038561E-2</v>
      </c>
      <c r="S45" s="2"/>
      <c r="T45" s="7">
        <v>551048.30999999994</v>
      </c>
      <c r="U45" s="2"/>
      <c r="V45" s="6">
        <f t="shared" si="28"/>
        <v>5.998998866841649E-2</v>
      </c>
      <c r="W45" s="2"/>
      <c r="X45" s="7">
        <f t="shared" si="29"/>
        <v>-486147.86999999994</v>
      </c>
      <c r="Y45" s="2"/>
      <c r="Z45" s="6">
        <f t="shared" si="30"/>
        <v>-0.88222368380006466</v>
      </c>
    </row>
    <row r="46" spans="1:26" s="24" customFormat="1" hidden="1" outlineLevel="2" x14ac:dyDescent="0.25">
      <c r="A46" s="27"/>
      <c r="B46" s="11" t="str">
        <f>CONCATENATE("          ", "6006", " - ", "TEMPORARY PART TIME")</f>
        <v xml:space="preserve">          6006 - TEMPORARY PART TIME</v>
      </c>
      <c r="C46" s="11"/>
      <c r="D46" s="7"/>
      <c r="E46" s="2"/>
      <c r="F46" s="6">
        <f t="shared" si="23"/>
        <v>0</v>
      </c>
      <c r="G46" s="2"/>
      <c r="H46" s="7">
        <v>2776.06</v>
      </c>
      <c r="I46" s="2"/>
      <c r="J46" s="6">
        <f t="shared" si="24"/>
        <v>2.2650586838237345E-3</v>
      </c>
      <c r="K46" s="2"/>
      <c r="L46" s="7">
        <f t="shared" si="25"/>
        <v>-2776.06</v>
      </c>
      <c r="M46" s="2"/>
      <c r="N46" s="6">
        <f t="shared" si="26"/>
        <v>-1</v>
      </c>
      <c r="O46" s="11"/>
      <c r="P46" s="7"/>
      <c r="Q46" s="2"/>
      <c r="R46" s="6">
        <f t="shared" si="27"/>
        <v>0</v>
      </c>
      <c r="S46" s="2"/>
      <c r="T46" s="7">
        <v>40188.25</v>
      </c>
      <c r="U46" s="2"/>
      <c r="V46" s="6">
        <f t="shared" si="28"/>
        <v>4.3751021795230428E-3</v>
      </c>
      <c r="W46" s="2"/>
      <c r="X46" s="7">
        <f t="shared" si="29"/>
        <v>-40188.25</v>
      </c>
      <c r="Y46" s="2"/>
      <c r="Z46" s="6">
        <f t="shared" si="30"/>
        <v>-1</v>
      </c>
    </row>
    <row r="47" spans="1:26" s="24" customFormat="1" hidden="1" outlineLevel="2" x14ac:dyDescent="0.25">
      <c r="A47" s="27"/>
      <c r="B47" s="11" t="str">
        <f>CONCATENATE("          ", "6007", " - ", "STUDENT HOURLY")</f>
        <v xml:space="preserve">          6007 - STUDENT HOURLY</v>
      </c>
      <c r="C47" s="11"/>
      <c r="D47" s="7">
        <v>10668.46</v>
      </c>
      <c r="E47" s="2"/>
      <c r="F47" s="6">
        <f t="shared" si="23"/>
        <v>6.7844404410255743E-2</v>
      </c>
      <c r="G47" s="2"/>
      <c r="H47" s="7">
        <v>110001.64</v>
      </c>
      <c r="I47" s="2"/>
      <c r="J47" s="6">
        <f t="shared" si="24"/>
        <v>8.9753164527010321E-2</v>
      </c>
      <c r="K47" s="2"/>
      <c r="L47" s="7">
        <f t="shared" si="25"/>
        <v>-99333.18</v>
      </c>
      <c r="M47" s="2"/>
      <c r="N47" s="6">
        <f t="shared" si="26"/>
        <v>-0.90301544595153305</v>
      </c>
      <c r="O47" s="11"/>
      <c r="P47" s="7">
        <v>69207.14</v>
      </c>
      <c r="Q47" s="2"/>
      <c r="R47" s="6">
        <f t="shared" si="27"/>
        <v>8.3310443381792137E-2</v>
      </c>
      <c r="S47" s="2"/>
      <c r="T47" s="7">
        <v>854184.21</v>
      </c>
      <c r="U47" s="2"/>
      <c r="V47" s="6">
        <f t="shared" si="28"/>
        <v>9.2990941354380158E-2</v>
      </c>
      <c r="W47" s="2"/>
      <c r="X47" s="7">
        <f t="shared" si="29"/>
        <v>-784977.07</v>
      </c>
      <c r="Y47" s="2"/>
      <c r="Z47" s="6">
        <f t="shared" si="30"/>
        <v>-0.91897867088880036</v>
      </c>
    </row>
    <row r="48" spans="1:26" s="24" customFormat="1" hidden="1" outlineLevel="2" x14ac:dyDescent="0.25">
      <c r="A48" s="27"/>
      <c r="B48" s="11" t="str">
        <f>CONCATENATE("          ", "6008", " - ", "STUDENT HOURLY-FICA EXEMPT")</f>
        <v xml:space="preserve">          6008 - STUDENT HOURLY-FICA EXEMPT</v>
      </c>
      <c r="C48" s="11"/>
      <c r="D48" s="7">
        <v>1096.03</v>
      </c>
      <c r="E48" s="2"/>
      <c r="F48" s="6">
        <f t="shared" si="23"/>
        <v>6.9700315289903713E-3</v>
      </c>
      <c r="G48" s="2"/>
      <c r="H48" s="7">
        <v>17867.41</v>
      </c>
      <c r="I48" s="2"/>
      <c r="J48" s="6">
        <f t="shared" si="24"/>
        <v>1.4578478915419347E-2</v>
      </c>
      <c r="K48" s="2"/>
      <c r="L48" s="7">
        <f t="shared" si="25"/>
        <v>-16771.38</v>
      </c>
      <c r="M48" s="2"/>
      <c r="N48" s="6">
        <f t="shared" si="26"/>
        <v>-0.93865758943237998</v>
      </c>
      <c r="O48" s="11"/>
      <c r="P48" s="7">
        <v>10630.88</v>
      </c>
      <c r="Q48" s="2"/>
      <c r="R48" s="6">
        <f t="shared" si="27"/>
        <v>1.279728256851282E-2</v>
      </c>
      <c r="S48" s="2"/>
      <c r="T48" s="7">
        <v>136694.17000000001</v>
      </c>
      <c r="U48" s="2"/>
      <c r="V48" s="6">
        <f t="shared" si="28"/>
        <v>1.4881239195413919E-2</v>
      </c>
      <c r="W48" s="2"/>
      <c r="X48" s="7">
        <f t="shared" si="29"/>
        <v>-126063.29000000001</v>
      </c>
      <c r="Y48" s="2"/>
      <c r="Z48" s="6">
        <f t="shared" si="30"/>
        <v>-0.92222872416577817</v>
      </c>
    </row>
    <row r="49" spans="1:26" s="25" customFormat="1" outlineLevel="1" collapsed="1" x14ac:dyDescent="0.25">
      <c r="A49" s="26"/>
      <c r="B49" s="13" t="str">
        <f>CONCATENATE("     ","Advertising/Promo                                 ")</f>
        <v xml:space="preserve">     Advertising/Promo                                 </v>
      </c>
      <c r="C49" s="13"/>
      <c r="D49" s="1">
        <f>SUM(OSRRefD22_2x_0)</f>
        <v>7.42</v>
      </c>
      <c r="E49" s="1"/>
      <c r="F49" s="5">
        <f t="shared" ref="F49:F58" si="31">IF(D$12=0,0,D49/D$12)</f>
        <v>4.7186330616049334E-5</v>
      </c>
      <c r="G49" s="1"/>
      <c r="H49" s="1">
        <f>SUM(OSRRefH22_2x_0)</f>
        <v>2704.43</v>
      </c>
      <c r="I49" s="1"/>
      <c r="J49" s="5">
        <f t="shared" ref="J49:J58" si="32">IF(H$12=0,0,H49/H$12)</f>
        <v>2.2066139263176667E-3</v>
      </c>
      <c r="K49" s="1"/>
      <c r="L49" s="1">
        <f t="shared" ref="L49:L58" si="33">+D49-H49</f>
        <v>-2697.0099999999998</v>
      </c>
      <c r="M49" s="1"/>
      <c r="N49" s="5">
        <f t="shared" ref="N49:N58" si="34">IF(H49=0,0,L49/H49)</f>
        <v>-0.99725635346450081</v>
      </c>
      <c r="O49" s="13"/>
      <c r="P49" s="1">
        <f>SUM(OSRRefP22_2x_0)</f>
        <v>1562.95</v>
      </c>
      <c r="Q49" s="1"/>
      <c r="R49" s="5">
        <f t="shared" ref="R49:R58" si="35">IF(P$12=0,0,P49/P$12)</f>
        <v>1.8814541026196433E-3</v>
      </c>
      <c r="S49" s="1"/>
      <c r="T49" s="1">
        <f>SUM(OSRRefT22_2x_0)</f>
        <v>27570.230000000003</v>
      </c>
      <c r="U49" s="1"/>
      <c r="V49" s="5">
        <f t="shared" ref="V49:V58" si="36">IF(T$12=0,0,T49/T$12)</f>
        <v>3.0014388126617009E-3</v>
      </c>
      <c r="W49" s="1"/>
      <c r="X49" s="1">
        <f t="shared" ref="X49:X58" si="37">+P49-T49</f>
        <v>-26007.280000000002</v>
      </c>
      <c r="Y49" s="1"/>
      <c r="Z49" s="5">
        <f t="shared" ref="Z49:Z58" si="38">IF(T49=0,0,X49/T49)</f>
        <v>-0.94331022991103086</v>
      </c>
    </row>
    <row r="50" spans="1:26" s="24" customFormat="1" hidden="1" outlineLevel="2" x14ac:dyDescent="0.25">
      <c r="A50" s="27"/>
      <c r="B50" s="11" t="str">
        <f>CONCATENATE("          ", "6362", " - ", "ADVERTISING EXPENSE")</f>
        <v xml:space="preserve">          6362 - ADVERTISING EXPENSE</v>
      </c>
      <c r="C50" s="11"/>
      <c r="D50" s="7">
        <v>7.42</v>
      </c>
      <c r="E50" s="2"/>
      <c r="F50" s="6">
        <f t="shared" si="31"/>
        <v>4.7186330616049334E-5</v>
      </c>
      <c r="G50" s="2"/>
      <c r="H50" s="7">
        <v>2704.43</v>
      </c>
      <c r="I50" s="2"/>
      <c r="J50" s="6">
        <f t="shared" si="32"/>
        <v>2.2066139263176667E-3</v>
      </c>
      <c r="K50" s="2"/>
      <c r="L50" s="7">
        <f t="shared" si="33"/>
        <v>-2697.0099999999998</v>
      </c>
      <c r="M50" s="2"/>
      <c r="N50" s="6">
        <f t="shared" si="34"/>
        <v>-0.99725635346450081</v>
      </c>
      <c r="O50" s="11"/>
      <c r="P50" s="7">
        <v>1562.95</v>
      </c>
      <c r="Q50" s="2"/>
      <c r="R50" s="6">
        <f t="shared" si="35"/>
        <v>1.8814541026196433E-3</v>
      </c>
      <c r="S50" s="2"/>
      <c r="T50" s="7">
        <v>27570.230000000003</v>
      </c>
      <c r="U50" s="2"/>
      <c r="V50" s="6">
        <f t="shared" si="36"/>
        <v>3.0014388126617009E-3</v>
      </c>
      <c r="W50" s="2"/>
      <c r="X50" s="7">
        <f t="shared" si="37"/>
        <v>-26007.280000000002</v>
      </c>
      <c r="Y50" s="2"/>
      <c r="Z50" s="6">
        <f t="shared" si="38"/>
        <v>-0.94331022991103086</v>
      </c>
    </row>
    <row r="51" spans="1:26" s="25" customFormat="1" outlineLevel="1" collapsed="1" x14ac:dyDescent="0.25">
      <c r="A51" s="26"/>
      <c r="B51" s="13" t="str">
        <f>CONCATENATE("     ","Bad Debts/Over/Short                              ")</f>
        <v xml:space="preserve">     Bad Debts/Over/Short                              </v>
      </c>
      <c r="C51" s="13"/>
      <c r="D51" s="1">
        <f>SUM(OSRRefD22_3x_0)</f>
        <v>1.74</v>
      </c>
      <c r="E51" s="1"/>
      <c r="F51" s="5">
        <f t="shared" si="31"/>
        <v>1.1065258122901058E-5</v>
      </c>
      <c r="G51" s="1"/>
      <c r="H51" s="1">
        <f>SUM(OSRRefH22_3x_0)</f>
        <v>-71.27</v>
      </c>
      <c r="I51" s="1"/>
      <c r="J51" s="5">
        <f t="shared" si="32"/>
        <v>-5.8151024256002229E-5</v>
      </c>
      <c r="K51" s="1"/>
      <c r="L51" s="1">
        <f t="shared" si="33"/>
        <v>73.009999999999991</v>
      </c>
      <c r="M51" s="1"/>
      <c r="N51" s="5">
        <f t="shared" si="34"/>
        <v>-1.0244141995229408</v>
      </c>
      <c r="O51" s="13"/>
      <c r="P51" s="1">
        <f>SUM(OSRRefP22_3x_0)</f>
        <v>78.53</v>
      </c>
      <c r="Q51" s="1"/>
      <c r="R51" s="5">
        <f t="shared" si="35"/>
        <v>9.4533152486465076E-5</v>
      </c>
      <c r="S51" s="1"/>
      <c r="T51" s="1">
        <f>SUM(OSRRefT22_3x_0)</f>
        <v>-62.99</v>
      </c>
      <c r="U51" s="1"/>
      <c r="V51" s="5">
        <f t="shared" si="36"/>
        <v>-6.8574194270254737E-6</v>
      </c>
      <c r="W51" s="1"/>
      <c r="X51" s="1">
        <f t="shared" si="37"/>
        <v>141.52000000000001</v>
      </c>
      <c r="Y51" s="1"/>
      <c r="Z51" s="5">
        <f t="shared" si="38"/>
        <v>-2.2467058263216386</v>
      </c>
    </row>
    <row r="52" spans="1:26" s="24" customFormat="1" hidden="1" outlineLevel="2" x14ac:dyDescent="0.25">
      <c r="A52" s="27"/>
      <c r="B52" s="11" t="str">
        <f>CONCATENATE("          ", "6272", " - ", "CASH (OVER/SHORT)")</f>
        <v xml:space="preserve">          6272 - CASH (OVER/SHORT)</v>
      </c>
      <c r="C52" s="11"/>
      <c r="D52" s="7">
        <v>1.74</v>
      </c>
      <c r="E52" s="2"/>
      <c r="F52" s="6">
        <f t="shared" si="31"/>
        <v>1.1065258122901058E-5</v>
      </c>
      <c r="G52" s="2"/>
      <c r="H52" s="7">
        <v>-71.27</v>
      </c>
      <c r="I52" s="2"/>
      <c r="J52" s="6">
        <f t="shared" si="32"/>
        <v>-5.8151024256002229E-5</v>
      </c>
      <c r="K52" s="2"/>
      <c r="L52" s="7">
        <f t="shared" si="33"/>
        <v>73.009999999999991</v>
      </c>
      <c r="M52" s="2"/>
      <c r="N52" s="6">
        <f t="shared" si="34"/>
        <v>-1.0244141995229408</v>
      </c>
      <c r="O52" s="11"/>
      <c r="P52" s="7">
        <v>78.53</v>
      </c>
      <c r="Q52" s="2"/>
      <c r="R52" s="6">
        <f t="shared" si="35"/>
        <v>9.4533152486465076E-5</v>
      </c>
      <c r="S52" s="2"/>
      <c r="T52" s="7">
        <v>-62.99</v>
      </c>
      <c r="U52" s="2"/>
      <c r="V52" s="6">
        <f t="shared" si="36"/>
        <v>-6.8574194270254737E-6</v>
      </c>
      <c r="W52" s="2"/>
      <c r="X52" s="7">
        <f t="shared" si="37"/>
        <v>141.52000000000001</v>
      </c>
      <c r="Y52" s="2"/>
      <c r="Z52" s="6">
        <f t="shared" si="38"/>
        <v>-2.2467058263216386</v>
      </c>
    </row>
    <row r="53" spans="1:26" s="25" customFormat="1" outlineLevel="1" collapsed="1" x14ac:dyDescent="0.25">
      <c r="A53" s="26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664.59</v>
      </c>
      <c r="E53" s="1"/>
      <c r="F53" s="5">
        <f t="shared" si="31"/>
        <v>4.2263562620108129E-3</v>
      </c>
      <c r="G53" s="1"/>
      <c r="H53" s="1">
        <f>SUM(OSRRefH22_4x_0)</f>
        <v>25119.289999999997</v>
      </c>
      <c r="I53" s="1"/>
      <c r="J53" s="5">
        <f t="shared" si="32"/>
        <v>2.0495474141764475E-2</v>
      </c>
      <c r="K53" s="1"/>
      <c r="L53" s="1">
        <f t="shared" si="33"/>
        <v>-24454.699999999997</v>
      </c>
      <c r="M53" s="1"/>
      <c r="N53" s="5">
        <f t="shared" si="34"/>
        <v>-0.97354264392027001</v>
      </c>
      <c r="O53" s="13"/>
      <c r="P53" s="1">
        <f>SUM(OSRRefP22_4x_0)</f>
        <v>3289.96</v>
      </c>
      <c r="Q53" s="1"/>
      <c r="R53" s="5">
        <f t="shared" si="35"/>
        <v>3.9604009977635378E-3</v>
      </c>
      <c r="S53" s="1"/>
      <c r="T53" s="1">
        <f>SUM(OSRRefT22_4x_0)</f>
        <v>106038.81</v>
      </c>
      <c r="U53" s="1"/>
      <c r="V53" s="5">
        <f t="shared" si="36"/>
        <v>1.1543937064814462E-2</v>
      </c>
      <c r="W53" s="1"/>
      <c r="X53" s="1">
        <f t="shared" si="37"/>
        <v>-102748.84999999999</v>
      </c>
      <c r="Y53" s="1"/>
      <c r="Z53" s="5">
        <f t="shared" si="38"/>
        <v>-0.96897400112279641</v>
      </c>
    </row>
    <row r="54" spans="1:26" s="24" customFormat="1" hidden="1" outlineLevel="2" x14ac:dyDescent="0.25">
      <c r="A54" s="27"/>
      <c r="B54" s="11" t="str">
        <f>CONCATENATE("          ", "6381", " - ", "BANK/CREDIT CARD FEES")</f>
        <v xml:space="preserve">          6381 - BANK/CREDIT CARD FEES</v>
      </c>
      <c r="C54" s="11"/>
      <c r="D54" s="7">
        <v>664.59</v>
      </c>
      <c r="E54" s="2"/>
      <c r="F54" s="6">
        <f t="shared" si="31"/>
        <v>4.2263562620108129E-3</v>
      </c>
      <c r="G54" s="2"/>
      <c r="H54" s="7">
        <v>25119.289999999997</v>
      </c>
      <c r="I54" s="2"/>
      <c r="J54" s="6">
        <f t="shared" si="32"/>
        <v>2.0495474141764475E-2</v>
      </c>
      <c r="K54" s="2"/>
      <c r="L54" s="7">
        <f t="shared" si="33"/>
        <v>-24454.699999999997</v>
      </c>
      <c r="M54" s="2"/>
      <c r="N54" s="6">
        <f t="shared" si="34"/>
        <v>-0.97354264392027001</v>
      </c>
      <c r="O54" s="11"/>
      <c r="P54" s="7">
        <v>3289.96</v>
      </c>
      <c r="Q54" s="2"/>
      <c r="R54" s="6">
        <f t="shared" si="35"/>
        <v>3.9604009977635378E-3</v>
      </c>
      <c r="S54" s="2"/>
      <c r="T54" s="7">
        <v>106038.81</v>
      </c>
      <c r="U54" s="2"/>
      <c r="V54" s="6">
        <f t="shared" si="36"/>
        <v>1.1543937064814462E-2</v>
      </c>
      <c r="W54" s="2"/>
      <c r="X54" s="7">
        <f t="shared" si="37"/>
        <v>-102748.84999999999</v>
      </c>
      <c r="Y54" s="2"/>
      <c r="Z54" s="6">
        <f t="shared" si="38"/>
        <v>-0.96897400112279641</v>
      </c>
    </row>
    <row r="55" spans="1:26" s="25" customFormat="1" outlineLevel="1" collapsed="1" x14ac:dyDescent="0.25">
      <c r="A55" s="26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SUM(OSRRefD22_5x_0)</f>
        <v>37479.259999999995</v>
      </c>
      <c r="E55" s="1"/>
      <c r="F55" s="5">
        <f t="shared" si="31"/>
        <v>0.23834349779041414</v>
      </c>
      <c r="G55" s="1"/>
      <c r="H55" s="1">
        <f>SUM(OSRRefH22_5x_0)</f>
        <v>40745.619999999995</v>
      </c>
      <c r="I55" s="1"/>
      <c r="J55" s="5">
        <f t="shared" si="32"/>
        <v>3.3245398301471156E-2</v>
      </c>
      <c r="K55" s="1"/>
      <c r="L55" s="1">
        <f t="shared" si="33"/>
        <v>-3266.3600000000006</v>
      </c>
      <c r="M55" s="1"/>
      <c r="N55" s="5">
        <f t="shared" si="34"/>
        <v>-8.0164690094297275E-2</v>
      </c>
      <c r="O55" s="13"/>
      <c r="P55" s="1">
        <f>SUM(OSRRefP22_5x_0)</f>
        <v>227170.64</v>
      </c>
      <c r="Q55" s="1"/>
      <c r="R55" s="5">
        <f t="shared" si="35"/>
        <v>0.27346436714081068</v>
      </c>
      <c r="S55" s="1"/>
      <c r="T55" s="1">
        <f>SUM(OSRRefT22_5x_0)</f>
        <v>238600.87</v>
      </c>
      <c r="U55" s="1"/>
      <c r="V55" s="5">
        <f t="shared" si="36"/>
        <v>2.5975333247232568E-2</v>
      </c>
      <c r="W55" s="1"/>
      <c r="X55" s="1">
        <f t="shared" si="37"/>
        <v>-11430.229999999981</v>
      </c>
      <c r="Y55" s="1"/>
      <c r="Z55" s="5">
        <f t="shared" si="38"/>
        <v>-4.7905231862733703E-2</v>
      </c>
    </row>
    <row r="56" spans="1:26" s="24" customFormat="1" hidden="1" outlineLevel="2" x14ac:dyDescent="0.25">
      <c r="A56" s="27"/>
      <c r="B56" s="11" t="str">
        <f>CONCATENATE("          ", "6321", " - ", "BUILDING DEPRECIATION")</f>
        <v xml:space="preserve">          6321 - BUILDING DEPRECIATION</v>
      </c>
      <c r="C56" s="11"/>
      <c r="D56" s="7">
        <v>23583.489999999998</v>
      </c>
      <c r="E56" s="2"/>
      <c r="F56" s="6">
        <f t="shared" si="31"/>
        <v>0.14997551970623899</v>
      </c>
      <c r="G56" s="2"/>
      <c r="H56" s="7">
        <v>24042.959999999999</v>
      </c>
      <c r="I56" s="2"/>
      <c r="J56" s="6">
        <f t="shared" si="32"/>
        <v>1.9617268838867566E-2</v>
      </c>
      <c r="K56" s="2"/>
      <c r="L56" s="7">
        <f t="shared" si="33"/>
        <v>-459.47000000000116</v>
      </c>
      <c r="M56" s="2"/>
      <c r="N56" s="6">
        <f t="shared" si="34"/>
        <v>-1.9110375760721689E-2</v>
      </c>
      <c r="O56" s="11"/>
      <c r="P56" s="7">
        <v>142285.13</v>
      </c>
      <c r="Q56" s="2"/>
      <c r="R56" s="6">
        <f t="shared" si="35"/>
        <v>0.17128055381187454</v>
      </c>
      <c r="S56" s="2"/>
      <c r="T56" s="7">
        <v>144257.76</v>
      </c>
      <c r="U56" s="2"/>
      <c r="V56" s="6">
        <f t="shared" si="36"/>
        <v>1.5704650991001403E-2</v>
      </c>
      <c r="W56" s="2"/>
      <c r="X56" s="7">
        <f t="shared" si="37"/>
        <v>-1972.6300000000047</v>
      </c>
      <c r="Y56" s="2"/>
      <c r="Z56" s="6">
        <f t="shared" si="38"/>
        <v>-1.3674342371599313E-2</v>
      </c>
    </row>
    <row r="57" spans="1:26" s="24" customFormat="1" hidden="1" outlineLevel="2" x14ac:dyDescent="0.25">
      <c r="A57" s="27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13895.77</v>
      </c>
      <c r="E57" s="2"/>
      <c r="F57" s="6">
        <f t="shared" si="31"/>
        <v>8.8367978084175194E-2</v>
      </c>
      <c r="G57" s="2"/>
      <c r="H57" s="7">
        <v>16278.409999999998</v>
      </c>
      <c r="I57" s="2"/>
      <c r="J57" s="6">
        <f t="shared" si="32"/>
        <v>1.328197298665847E-2</v>
      </c>
      <c r="K57" s="2"/>
      <c r="L57" s="7">
        <f t="shared" si="33"/>
        <v>-2382.6399999999976</v>
      </c>
      <c r="M57" s="2"/>
      <c r="N57" s="6">
        <f t="shared" si="34"/>
        <v>-0.14636810351870963</v>
      </c>
      <c r="O57" s="11"/>
      <c r="P57" s="7">
        <v>84885.51</v>
      </c>
      <c r="Q57" s="2"/>
      <c r="R57" s="6">
        <f t="shared" si="35"/>
        <v>0.10218381332893614</v>
      </c>
      <c r="S57" s="2"/>
      <c r="T57" s="7">
        <v>91797.61</v>
      </c>
      <c r="U57" s="2"/>
      <c r="V57" s="6">
        <f t="shared" si="36"/>
        <v>9.9935658702731845E-3</v>
      </c>
      <c r="W57" s="2"/>
      <c r="X57" s="7">
        <f t="shared" si="37"/>
        <v>-6912.1000000000058</v>
      </c>
      <c r="Y57" s="2"/>
      <c r="Z57" s="6">
        <f t="shared" si="38"/>
        <v>-7.5297167322765868E-2</v>
      </c>
    </row>
    <row r="58" spans="1:26" s="24" customFormat="1" hidden="1" outlineLevel="2" x14ac:dyDescent="0.25">
      <c r="A58" s="27"/>
      <c r="B58" s="11" t="str">
        <f>CONCATENATE("          ", "6326", " - ", "VEHICLES DEPRECIATION EXPENSE")</f>
        <v xml:space="preserve">          6326 - VEHICLES DEPRECIATION EXPENSE</v>
      </c>
      <c r="C58" s="11"/>
      <c r="D58" s="7"/>
      <c r="E58" s="2"/>
      <c r="F58" s="6">
        <f t="shared" si="31"/>
        <v>0</v>
      </c>
      <c r="G58" s="2"/>
      <c r="H58" s="7">
        <v>424.25</v>
      </c>
      <c r="I58" s="2"/>
      <c r="J58" s="6">
        <f t="shared" si="32"/>
        <v>3.4615647594512345E-4</v>
      </c>
      <c r="K58" s="2"/>
      <c r="L58" s="7">
        <f t="shared" si="33"/>
        <v>-424.25</v>
      </c>
      <c r="M58" s="2"/>
      <c r="N58" s="6">
        <f t="shared" si="34"/>
        <v>-1</v>
      </c>
      <c r="O58" s="11"/>
      <c r="P58" s="7"/>
      <c r="Q58" s="2"/>
      <c r="R58" s="6">
        <f t="shared" si="35"/>
        <v>0</v>
      </c>
      <c r="S58" s="2"/>
      <c r="T58" s="7">
        <v>2545.5</v>
      </c>
      <c r="U58" s="2"/>
      <c r="V58" s="6">
        <f t="shared" si="36"/>
        <v>2.7711638595798291E-4</v>
      </c>
      <c r="W58" s="2"/>
      <c r="X58" s="7">
        <f t="shared" si="37"/>
        <v>-2545.5</v>
      </c>
      <c r="Y58" s="2"/>
      <c r="Z58" s="6">
        <f t="shared" si="38"/>
        <v>-1</v>
      </c>
    </row>
    <row r="59" spans="1:26" s="25" customFormat="1" outlineLevel="1" collapsed="1" x14ac:dyDescent="0.25">
      <c r="A59" s="26"/>
      <c r="B59" s="13" t="str">
        <f>CONCATENATE("     ","Donations                                         ")</f>
        <v xml:space="preserve">     Donations                                         </v>
      </c>
      <c r="C59" s="13"/>
      <c r="D59" s="1">
        <f>SUM(OSRRefD22_6x_0)</f>
        <v>6666.05</v>
      </c>
      <c r="E59" s="1"/>
      <c r="F59" s="5">
        <f t="shared" ref="F59:F69" si="39">IF(D$12=0,0,D59/D$12)</f>
        <v>4.2391703396646316E-2</v>
      </c>
      <c r="G59" s="1"/>
      <c r="H59" s="1">
        <f>SUM(OSRRefH22_6x_0)</f>
        <v>11203.09</v>
      </c>
      <c r="I59" s="1"/>
      <c r="J59" s="5">
        <f t="shared" ref="J59:J69" si="40">IF(H$12=0,0,H59/H$12)</f>
        <v>9.140888990208729E-3</v>
      </c>
      <c r="K59" s="1"/>
      <c r="L59" s="1">
        <f t="shared" ref="L59:L69" si="41">+D59-H59</f>
        <v>-4537.04</v>
      </c>
      <c r="M59" s="1"/>
      <c r="N59" s="5">
        <f t="shared" ref="N59:N69" si="42">IF(H59=0,0,L59/H59)</f>
        <v>-0.40498112574298695</v>
      </c>
      <c r="O59" s="13"/>
      <c r="P59" s="1">
        <f>SUM(OSRRefP22_6x_0)</f>
        <v>36822.009999999995</v>
      </c>
      <c r="Q59" s="1"/>
      <c r="R59" s="5">
        <f t="shared" ref="R59:R69" si="43">IF(P$12=0,0,P59/P$12)</f>
        <v>4.4325744125660788E-2</v>
      </c>
      <c r="S59" s="1"/>
      <c r="T59" s="1">
        <f>SUM(OSRRefT22_6x_0)</f>
        <v>77610.509999999995</v>
      </c>
      <c r="U59" s="1"/>
      <c r="V59" s="5">
        <f t="shared" ref="V59:V69" si="44">IF(T$12=0,0,T59/T$12)</f>
        <v>8.4490842834633231E-3</v>
      </c>
      <c r="W59" s="1"/>
      <c r="X59" s="1">
        <f t="shared" ref="X59:X69" si="45">+P59-T59</f>
        <v>-40788.5</v>
      </c>
      <c r="Y59" s="1"/>
      <c r="Z59" s="5">
        <f t="shared" ref="Z59:Z69" si="46">IF(T59=0,0,X59/T59)</f>
        <v>-0.52555381996587835</v>
      </c>
    </row>
    <row r="60" spans="1:26" s="24" customFormat="1" hidden="1" outlineLevel="2" x14ac:dyDescent="0.25">
      <c r="A60" s="27"/>
      <c r="B60" s="11" t="str">
        <f>CONCATENATE("          ", "6399", " - ", "DONATION-ON CAMPUS")</f>
        <v xml:space="preserve">          6399 - DONATION-ON CAMPUS</v>
      </c>
      <c r="C60" s="11"/>
      <c r="D60" s="7">
        <v>6666.05</v>
      </c>
      <c r="E60" s="2"/>
      <c r="F60" s="6">
        <f t="shared" si="39"/>
        <v>4.2391703396646316E-2</v>
      </c>
      <c r="G60" s="2"/>
      <c r="H60" s="7">
        <v>11203.09</v>
      </c>
      <c r="I60" s="2"/>
      <c r="J60" s="6">
        <f t="shared" si="40"/>
        <v>9.140888990208729E-3</v>
      </c>
      <c r="K60" s="2"/>
      <c r="L60" s="7">
        <f t="shared" si="41"/>
        <v>-4537.04</v>
      </c>
      <c r="M60" s="2"/>
      <c r="N60" s="6">
        <f t="shared" si="42"/>
        <v>-0.40498112574298695</v>
      </c>
      <c r="O60" s="11"/>
      <c r="P60" s="7">
        <v>36822.009999999995</v>
      </c>
      <c r="Q60" s="2"/>
      <c r="R60" s="6">
        <f t="shared" si="43"/>
        <v>4.4325744125660788E-2</v>
      </c>
      <c r="S60" s="2"/>
      <c r="T60" s="7">
        <v>77610.509999999995</v>
      </c>
      <c r="U60" s="2"/>
      <c r="V60" s="6">
        <f t="shared" si="44"/>
        <v>8.4490842834633231E-3</v>
      </c>
      <c r="W60" s="2"/>
      <c r="X60" s="7">
        <f t="shared" si="45"/>
        <v>-40788.5</v>
      </c>
      <c r="Y60" s="2"/>
      <c r="Z60" s="6">
        <f t="shared" si="46"/>
        <v>-0.52555381996587835</v>
      </c>
    </row>
    <row r="61" spans="1:26" s="25" customFormat="1" outlineLevel="1" collapsed="1" x14ac:dyDescent="0.25">
      <c r="A61" s="26"/>
      <c r="B61" s="13" t="str">
        <f>CONCATENATE("     ","Employees' Appreciation                           ")</f>
        <v xml:space="preserve">     Employees' Appreciation                           </v>
      </c>
      <c r="C61" s="13"/>
      <c r="D61" s="1">
        <f>SUM(OSRRefD22_7x_0)</f>
        <v>10</v>
      </c>
      <c r="E61" s="1"/>
      <c r="F61" s="5">
        <f t="shared" si="39"/>
        <v>6.3593437487937112E-5</v>
      </c>
      <c r="G61" s="1"/>
      <c r="H61" s="1">
        <f>SUM(OSRRefH22_7x_0)</f>
        <v>385.99</v>
      </c>
      <c r="I61" s="1"/>
      <c r="J61" s="5">
        <f t="shared" si="40"/>
        <v>3.149391588687288E-4</v>
      </c>
      <c r="K61" s="1"/>
      <c r="L61" s="1">
        <f t="shared" si="41"/>
        <v>-375.99</v>
      </c>
      <c r="M61" s="1"/>
      <c r="N61" s="5">
        <f t="shared" si="42"/>
        <v>-0.9740925930723594</v>
      </c>
      <c r="O61" s="13"/>
      <c r="P61" s="1">
        <f>SUM(OSRRefP22_7x_0)</f>
        <v>10</v>
      </c>
      <c r="Q61" s="1"/>
      <c r="R61" s="5">
        <f t="shared" si="43"/>
        <v>1.2037839359030317E-5</v>
      </c>
      <c r="S61" s="1"/>
      <c r="T61" s="1">
        <f>SUM(OSRRefT22_7x_0)</f>
        <v>2393.5500000000002</v>
      </c>
      <c r="U61" s="1"/>
      <c r="V61" s="5">
        <f t="shared" si="44"/>
        <v>2.6057431766243565E-4</v>
      </c>
      <c r="W61" s="1"/>
      <c r="X61" s="1">
        <f t="shared" si="45"/>
        <v>-2383.5500000000002</v>
      </c>
      <c r="Y61" s="1"/>
      <c r="Z61" s="5">
        <f t="shared" si="46"/>
        <v>-0.99582210524116899</v>
      </c>
    </row>
    <row r="62" spans="1:26" s="24" customFormat="1" hidden="1" outlineLevel="2" x14ac:dyDescent="0.25">
      <c r="A62" s="27"/>
      <c r="B62" s="11" t="str">
        <f>CONCATENATE("          ", "6277", " - ", "EMPLOYEE APPRECIATION")</f>
        <v xml:space="preserve">          6277 - EMPLOYEE APPRECIATION</v>
      </c>
      <c r="C62" s="11"/>
      <c r="D62" s="7">
        <v>10</v>
      </c>
      <c r="E62" s="2"/>
      <c r="F62" s="6">
        <f t="shared" si="39"/>
        <v>6.3593437487937112E-5</v>
      </c>
      <c r="G62" s="2"/>
      <c r="H62" s="7">
        <v>385.99</v>
      </c>
      <c r="I62" s="2"/>
      <c r="J62" s="6">
        <f t="shared" si="40"/>
        <v>3.149391588687288E-4</v>
      </c>
      <c r="K62" s="2"/>
      <c r="L62" s="7">
        <f t="shared" si="41"/>
        <v>-375.99</v>
      </c>
      <c r="M62" s="2"/>
      <c r="N62" s="6">
        <f t="shared" si="42"/>
        <v>-0.9740925930723594</v>
      </c>
      <c r="O62" s="11"/>
      <c r="P62" s="7">
        <v>10</v>
      </c>
      <c r="Q62" s="2"/>
      <c r="R62" s="6">
        <f t="shared" si="43"/>
        <v>1.2037839359030317E-5</v>
      </c>
      <c r="S62" s="2"/>
      <c r="T62" s="7">
        <v>2393.5500000000002</v>
      </c>
      <c r="U62" s="2"/>
      <c r="V62" s="6">
        <f t="shared" si="44"/>
        <v>2.6057431766243565E-4</v>
      </c>
      <c r="W62" s="2"/>
      <c r="X62" s="7">
        <f t="shared" si="45"/>
        <v>-2383.5500000000002</v>
      </c>
      <c r="Y62" s="2"/>
      <c r="Z62" s="6">
        <f t="shared" si="46"/>
        <v>-0.99582210524116899</v>
      </c>
    </row>
    <row r="63" spans="1:26" s="25" customFormat="1" outlineLevel="1" collapsed="1" x14ac:dyDescent="0.25">
      <c r="A63" s="26"/>
      <c r="B63" s="13" t="str">
        <f>CONCATENATE("     ","Equipment Rental                                  ")</f>
        <v xml:space="preserve">     Equipment Rental                                  </v>
      </c>
      <c r="C63" s="13"/>
      <c r="D63" s="1">
        <f>SUM(OSRRefD22_8x_0)</f>
        <v>684.84</v>
      </c>
      <c r="E63" s="1"/>
      <c r="F63" s="5">
        <f t="shared" si="39"/>
        <v>4.355132972923885E-3</v>
      </c>
      <c r="G63" s="1"/>
      <c r="H63" s="1">
        <f>SUM(OSRRefH22_8x_0)</f>
        <v>2902.95</v>
      </c>
      <c r="I63" s="1"/>
      <c r="J63" s="5">
        <f t="shared" si="40"/>
        <v>2.3685914952148402E-3</v>
      </c>
      <c r="K63" s="1"/>
      <c r="L63" s="1">
        <f t="shared" si="41"/>
        <v>-2218.1099999999997</v>
      </c>
      <c r="M63" s="1"/>
      <c r="N63" s="5">
        <f t="shared" si="42"/>
        <v>-0.76408825505089639</v>
      </c>
      <c r="O63" s="13"/>
      <c r="P63" s="1">
        <f>SUM(OSRRefP22_8x_0)</f>
        <v>7301.15</v>
      </c>
      <c r="Q63" s="1"/>
      <c r="R63" s="5">
        <f t="shared" si="43"/>
        <v>8.7890070836184192E-3</v>
      </c>
      <c r="S63" s="1"/>
      <c r="T63" s="1">
        <f>SUM(OSRRefT22_8x_0)</f>
        <v>17665.63</v>
      </c>
      <c r="U63" s="1"/>
      <c r="V63" s="5">
        <f t="shared" si="44"/>
        <v>1.9231724774193366E-3</v>
      </c>
      <c r="W63" s="1"/>
      <c r="X63" s="1">
        <f t="shared" si="45"/>
        <v>-10364.480000000001</v>
      </c>
      <c r="Y63" s="1"/>
      <c r="Z63" s="5">
        <f t="shared" si="46"/>
        <v>-0.58670310654078006</v>
      </c>
    </row>
    <row r="64" spans="1:26" s="24" customFormat="1" hidden="1" outlineLevel="2" x14ac:dyDescent="0.25">
      <c r="A64" s="27"/>
      <c r="B64" s="11" t="str">
        <f>CONCATENATE("          ", "6351", " - ", "EQUIPMENT RENTAL")</f>
        <v xml:space="preserve">          6351 - EQUIPMENT RENTAL</v>
      </c>
      <c r="C64" s="11"/>
      <c r="D64" s="7">
        <v>684.84</v>
      </c>
      <c r="E64" s="2"/>
      <c r="F64" s="6">
        <f t="shared" si="39"/>
        <v>4.355132972923885E-3</v>
      </c>
      <c r="G64" s="2"/>
      <c r="H64" s="7">
        <v>2902.95</v>
      </c>
      <c r="I64" s="2"/>
      <c r="J64" s="6">
        <f t="shared" si="40"/>
        <v>2.3685914952148402E-3</v>
      </c>
      <c r="K64" s="2"/>
      <c r="L64" s="7">
        <f t="shared" si="41"/>
        <v>-2218.1099999999997</v>
      </c>
      <c r="M64" s="2"/>
      <c r="N64" s="6">
        <f t="shared" si="42"/>
        <v>-0.76408825505089639</v>
      </c>
      <c r="O64" s="11"/>
      <c r="P64" s="7">
        <v>7301.15</v>
      </c>
      <c r="Q64" s="2"/>
      <c r="R64" s="6">
        <f t="shared" si="43"/>
        <v>8.7890070836184192E-3</v>
      </c>
      <c r="S64" s="2"/>
      <c r="T64" s="7">
        <v>17665.63</v>
      </c>
      <c r="U64" s="2"/>
      <c r="V64" s="6">
        <f t="shared" si="44"/>
        <v>1.9231724774193366E-3</v>
      </c>
      <c r="W64" s="2"/>
      <c r="X64" s="7">
        <f t="shared" si="45"/>
        <v>-10364.480000000001</v>
      </c>
      <c r="Y64" s="2"/>
      <c r="Z64" s="6">
        <f t="shared" si="46"/>
        <v>-0.58670310654078006</v>
      </c>
    </row>
    <row r="65" spans="1:26" s="25" customFormat="1" outlineLevel="1" collapsed="1" x14ac:dyDescent="0.25">
      <c r="A65" s="26"/>
      <c r="B65" s="13" t="str">
        <f>CONCATENATE("     ","Freight out/Postage                               ")</f>
        <v xml:space="preserve">     Freight out/Postage                               </v>
      </c>
      <c r="C65" s="13"/>
      <c r="D65" s="1">
        <f>SUM(OSRRefD22_9x_0)</f>
        <v>0</v>
      </c>
      <c r="E65" s="1"/>
      <c r="F65" s="5">
        <f t="shared" si="39"/>
        <v>0</v>
      </c>
      <c r="G65" s="1"/>
      <c r="H65" s="1">
        <f>SUM(OSRRefH22_9x_0)</f>
        <v>0</v>
      </c>
      <c r="I65" s="1"/>
      <c r="J65" s="5">
        <f t="shared" si="40"/>
        <v>0</v>
      </c>
      <c r="K65" s="1"/>
      <c r="L65" s="1">
        <f t="shared" si="41"/>
        <v>0</v>
      </c>
      <c r="M65" s="1"/>
      <c r="N65" s="5">
        <f t="shared" si="42"/>
        <v>0</v>
      </c>
      <c r="O65" s="13"/>
      <c r="P65" s="1">
        <f>SUM(OSRRefP22_9x_0)</f>
        <v>-5.41</v>
      </c>
      <c r="Q65" s="1"/>
      <c r="R65" s="5">
        <f t="shared" si="43"/>
        <v>-6.5124710932354014E-6</v>
      </c>
      <c r="S65" s="1"/>
      <c r="T65" s="1">
        <f>SUM(OSRRefT22_9x_0)</f>
        <v>0</v>
      </c>
      <c r="U65" s="1"/>
      <c r="V65" s="5">
        <f t="shared" si="44"/>
        <v>0</v>
      </c>
      <c r="W65" s="1"/>
      <c r="X65" s="1">
        <f t="shared" si="45"/>
        <v>-5.41</v>
      </c>
      <c r="Y65" s="1"/>
      <c r="Z65" s="5">
        <f t="shared" si="46"/>
        <v>0</v>
      </c>
    </row>
    <row r="66" spans="1:26" s="24" customFormat="1" hidden="1" outlineLevel="2" x14ac:dyDescent="0.25">
      <c r="A66" s="27"/>
      <c r="B66" s="11" t="str">
        <f>CONCATENATE("          ", "6307", " - ", "POSTAGE")</f>
        <v xml:space="preserve">          6307 - POSTAGE</v>
      </c>
      <c r="C66" s="11"/>
      <c r="D66" s="7"/>
      <c r="E66" s="2"/>
      <c r="F66" s="6">
        <f t="shared" si="39"/>
        <v>0</v>
      </c>
      <c r="G66" s="2"/>
      <c r="H66" s="7"/>
      <c r="I66" s="2"/>
      <c r="J66" s="6">
        <f t="shared" si="40"/>
        <v>0</v>
      </c>
      <c r="K66" s="2"/>
      <c r="L66" s="7">
        <f t="shared" si="41"/>
        <v>0</v>
      </c>
      <c r="M66" s="2"/>
      <c r="N66" s="6">
        <f t="shared" si="42"/>
        <v>0</v>
      </c>
      <c r="O66" s="11"/>
      <c r="P66" s="7">
        <v>-5.41</v>
      </c>
      <c r="Q66" s="2"/>
      <c r="R66" s="6">
        <f t="shared" si="43"/>
        <v>-6.5124710932354014E-6</v>
      </c>
      <c r="S66" s="2"/>
      <c r="T66" s="7"/>
      <c r="U66" s="2"/>
      <c r="V66" s="6">
        <f t="shared" si="44"/>
        <v>0</v>
      </c>
      <c r="W66" s="2"/>
      <c r="X66" s="7">
        <f t="shared" si="45"/>
        <v>-5.41</v>
      </c>
      <c r="Y66" s="2"/>
      <c r="Z66" s="6">
        <f t="shared" si="46"/>
        <v>0</v>
      </c>
    </row>
    <row r="67" spans="1:26" s="25" customFormat="1" outlineLevel="1" collapsed="1" x14ac:dyDescent="0.25">
      <c r="A67" s="26"/>
      <c r="B67" s="13" t="str">
        <f>CONCATENATE("     ","General                                           ")</f>
        <v xml:space="preserve">     General                                           </v>
      </c>
      <c r="C67" s="13"/>
      <c r="D67" s="1">
        <f>SUM(OSRRefD22_10x_0)</f>
        <v>1198.48</v>
      </c>
      <c r="E67" s="1"/>
      <c r="F67" s="5">
        <f t="shared" si="39"/>
        <v>7.6215462960542869E-3</v>
      </c>
      <c r="G67" s="1"/>
      <c r="H67" s="1">
        <f>SUM(OSRRefH22_10x_0)</f>
        <v>4979.25</v>
      </c>
      <c r="I67" s="1"/>
      <c r="J67" s="5">
        <f t="shared" si="40"/>
        <v>4.0626980149670146E-3</v>
      </c>
      <c r="K67" s="1"/>
      <c r="L67" s="1">
        <f t="shared" si="41"/>
        <v>-3780.77</v>
      </c>
      <c r="M67" s="1"/>
      <c r="N67" s="5">
        <f t="shared" si="42"/>
        <v>-0.7593051162323643</v>
      </c>
      <c r="O67" s="13"/>
      <c r="P67" s="1">
        <f>SUM(OSRRefP22_10x_0)</f>
        <v>11838.88</v>
      </c>
      <c r="Q67" s="1"/>
      <c r="R67" s="5">
        <f t="shared" si="43"/>
        <v>1.4251453563083683E-2</v>
      </c>
      <c r="S67" s="1"/>
      <c r="T67" s="1">
        <f>SUM(OSRRefT22_10x_0)</f>
        <v>72981.320000000007</v>
      </c>
      <c r="U67" s="1"/>
      <c r="V67" s="5">
        <f t="shared" si="44"/>
        <v>7.9451265530713251E-3</v>
      </c>
      <c r="W67" s="1"/>
      <c r="X67" s="1">
        <f t="shared" si="45"/>
        <v>-61142.44000000001</v>
      </c>
      <c r="Y67" s="1"/>
      <c r="Z67" s="5">
        <f t="shared" si="46"/>
        <v>-0.83778205162636143</v>
      </c>
    </row>
    <row r="68" spans="1:26" s="24" customFormat="1" hidden="1" outlineLevel="2" x14ac:dyDescent="0.25">
      <c r="A68" s="27"/>
      <c r="B68" s="11" t="str">
        <f>CONCATENATE("          ", "6269", " - ", "ENTERTAINMENT")</f>
        <v xml:space="preserve">          6269 - ENTERTAINMENT</v>
      </c>
      <c r="C68" s="11"/>
      <c r="D68" s="7"/>
      <c r="E68" s="2"/>
      <c r="F68" s="6">
        <f t="shared" si="39"/>
        <v>0</v>
      </c>
      <c r="G68" s="2"/>
      <c r="H68" s="7">
        <v>1250</v>
      </c>
      <c r="I68" s="2"/>
      <c r="J68" s="6">
        <f t="shared" si="40"/>
        <v>1.0199071182826266E-3</v>
      </c>
      <c r="K68" s="2"/>
      <c r="L68" s="7">
        <f t="shared" si="41"/>
        <v>-1250</v>
      </c>
      <c r="M68" s="2"/>
      <c r="N68" s="6">
        <f t="shared" si="42"/>
        <v>-1</v>
      </c>
      <c r="O68" s="11"/>
      <c r="P68" s="7"/>
      <c r="Q68" s="2"/>
      <c r="R68" s="6">
        <f t="shared" si="43"/>
        <v>0</v>
      </c>
      <c r="S68" s="2"/>
      <c r="T68" s="7">
        <v>7350</v>
      </c>
      <c r="U68" s="2"/>
      <c r="V68" s="6">
        <f t="shared" si="44"/>
        <v>8.0015927589517741E-4</v>
      </c>
      <c r="W68" s="2"/>
      <c r="X68" s="7">
        <f t="shared" si="45"/>
        <v>-7350</v>
      </c>
      <c r="Y68" s="2"/>
      <c r="Z68" s="6">
        <f t="shared" si="46"/>
        <v>-1</v>
      </c>
    </row>
    <row r="69" spans="1:26" s="24" customFormat="1" hidden="1" outlineLevel="2" x14ac:dyDescent="0.25">
      <c r="A69" s="27"/>
      <c r="B69" s="11" t="str">
        <f>CONCATENATE("          ", "6279", " - ", "GENERAL EXPENSE")</f>
        <v xml:space="preserve">          6279 - GENERAL EXPENSE</v>
      </c>
      <c r="C69" s="11"/>
      <c r="D69" s="7">
        <v>1198.48</v>
      </c>
      <c r="E69" s="2"/>
      <c r="F69" s="6">
        <f t="shared" si="39"/>
        <v>7.6215462960542869E-3</v>
      </c>
      <c r="G69" s="2"/>
      <c r="H69" s="7">
        <v>3729.25</v>
      </c>
      <c r="I69" s="2"/>
      <c r="J69" s="6">
        <f t="shared" si="40"/>
        <v>3.0427908966843878E-3</v>
      </c>
      <c r="K69" s="2"/>
      <c r="L69" s="7">
        <f t="shared" si="41"/>
        <v>-2530.77</v>
      </c>
      <c r="M69" s="2"/>
      <c r="N69" s="6">
        <f t="shared" si="42"/>
        <v>-0.67862706978615006</v>
      </c>
      <c r="O69" s="11"/>
      <c r="P69" s="7">
        <v>11838.88</v>
      </c>
      <c r="Q69" s="2"/>
      <c r="R69" s="6">
        <f t="shared" si="43"/>
        <v>1.4251453563083683E-2</v>
      </c>
      <c r="S69" s="2"/>
      <c r="T69" s="7">
        <v>65631.320000000007</v>
      </c>
      <c r="U69" s="2"/>
      <c r="V69" s="6">
        <f t="shared" si="44"/>
        <v>7.1449672771761478E-3</v>
      </c>
      <c r="W69" s="2"/>
      <c r="X69" s="7">
        <f t="shared" si="45"/>
        <v>-53792.44000000001</v>
      </c>
      <c r="Y69" s="2"/>
      <c r="Z69" s="6">
        <f t="shared" si="46"/>
        <v>-0.81961539094444547</v>
      </c>
    </row>
    <row r="70" spans="1:26" s="25" customFormat="1" outlineLevel="1" collapsed="1" x14ac:dyDescent="0.25">
      <c r="A70" s="26"/>
      <c r="B70" s="13" t="str">
        <f>CONCATENATE("     ","Insurance                                         ")</f>
        <v xml:space="preserve">     Insurance                                         </v>
      </c>
      <c r="C70" s="13"/>
      <c r="D70" s="1">
        <f>SUM(OSRRefD22_11x_0)</f>
        <v>4246.03</v>
      </c>
      <c r="E70" s="1"/>
      <c r="F70" s="5">
        <f t="shared" ref="F70:F83" si="47">IF(D$12=0,0,D70/D$12)</f>
        <v>2.7001964337690559E-2</v>
      </c>
      <c r="G70" s="1"/>
      <c r="H70" s="1">
        <f>SUM(OSRRefH22_11x_0)</f>
        <v>4246.03</v>
      </c>
      <c r="I70" s="1"/>
      <c r="J70" s="5">
        <f t="shared" ref="J70:J83" si="48">IF(H$12=0,0,H70/H$12)</f>
        <v>3.4644449771532642E-3</v>
      </c>
      <c r="K70" s="1"/>
      <c r="L70" s="1">
        <f t="shared" ref="L70:L83" si="49">+D70-H70</f>
        <v>0</v>
      </c>
      <c r="M70" s="1"/>
      <c r="N70" s="5">
        <f t="shared" ref="N70:N83" si="50">IF(H70=0,0,L70/H70)</f>
        <v>0</v>
      </c>
      <c r="O70" s="13"/>
      <c r="P70" s="1">
        <f>SUM(OSRRefP22_11x_0)</f>
        <v>31588.179999999997</v>
      </c>
      <c r="Q70" s="1"/>
      <c r="R70" s="5">
        <f t="shared" ref="R70:R83" si="51">IF(P$12=0,0,P70/P$12)</f>
        <v>3.8025343648413423E-2</v>
      </c>
      <c r="S70" s="1"/>
      <c r="T70" s="1">
        <f>SUM(OSRRefT22_11x_0)</f>
        <v>25476.18</v>
      </c>
      <c r="U70" s="1"/>
      <c r="V70" s="5">
        <f t="shared" ref="V70:V83" si="52">IF(T$12=0,0,T70/T$12)</f>
        <v>2.7734696246768981E-3</v>
      </c>
      <c r="W70" s="1"/>
      <c r="X70" s="1">
        <f t="shared" ref="X70:X83" si="53">+P70-T70</f>
        <v>6111.9999999999964</v>
      </c>
      <c r="Y70" s="1"/>
      <c r="Z70" s="5">
        <f t="shared" ref="Z70:Z83" si="54">IF(T70=0,0,X70/T70)</f>
        <v>0.23991037902856693</v>
      </c>
    </row>
    <row r="71" spans="1:26" s="24" customFormat="1" hidden="1" outlineLevel="2" x14ac:dyDescent="0.25">
      <c r="A71" s="27"/>
      <c r="B71" s="11" t="str">
        <f>CONCATENATE("          ", "6314", " - ", "LIABILITY INSURANCE")</f>
        <v xml:space="preserve">          6314 - LIABILITY INSURANCE</v>
      </c>
      <c r="C71" s="11"/>
      <c r="D71" s="7">
        <v>4246.03</v>
      </c>
      <c r="E71" s="2"/>
      <c r="F71" s="6">
        <f t="shared" si="47"/>
        <v>2.7001964337690559E-2</v>
      </c>
      <c r="G71" s="2"/>
      <c r="H71" s="7">
        <v>4246.03</v>
      </c>
      <c r="I71" s="2"/>
      <c r="J71" s="6">
        <f t="shared" si="48"/>
        <v>3.4644449771532642E-3</v>
      </c>
      <c r="K71" s="2"/>
      <c r="L71" s="7">
        <f t="shared" si="49"/>
        <v>0</v>
      </c>
      <c r="M71" s="2"/>
      <c r="N71" s="6">
        <f t="shared" si="50"/>
        <v>0</v>
      </c>
      <c r="O71" s="11"/>
      <c r="P71" s="7">
        <v>31588.179999999997</v>
      </c>
      <c r="Q71" s="2"/>
      <c r="R71" s="6">
        <f t="shared" si="51"/>
        <v>3.8025343648413423E-2</v>
      </c>
      <c r="S71" s="2"/>
      <c r="T71" s="7">
        <v>25476.18</v>
      </c>
      <c r="U71" s="2"/>
      <c r="V71" s="6">
        <f t="shared" si="52"/>
        <v>2.7734696246768981E-3</v>
      </c>
      <c r="W71" s="2"/>
      <c r="X71" s="7">
        <f t="shared" si="53"/>
        <v>6111.9999999999964</v>
      </c>
      <c r="Y71" s="2"/>
      <c r="Z71" s="6">
        <f t="shared" si="54"/>
        <v>0.23991037902856693</v>
      </c>
    </row>
    <row r="72" spans="1:26" s="25" customFormat="1" outlineLevel="1" collapsed="1" x14ac:dyDescent="0.25">
      <c r="A72" s="26"/>
      <c r="B72" s="13" t="str">
        <f>CONCATENATE("     ","Interest                                          ")</f>
        <v xml:space="preserve">     Interest                                          </v>
      </c>
      <c r="C72" s="13"/>
      <c r="D72" s="1">
        <f>SUM(OSRRefD22_12x_0)</f>
        <v>7510</v>
      </c>
      <c r="E72" s="1"/>
      <c r="F72" s="5">
        <f t="shared" si="47"/>
        <v>4.7758671553440768E-2</v>
      </c>
      <c r="G72" s="1"/>
      <c r="H72" s="1">
        <f>SUM(OSRRefH22_12x_0)</f>
        <v>7754</v>
      </c>
      <c r="I72" s="1"/>
      <c r="J72" s="5">
        <f t="shared" si="48"/>
        <v>6.3266878361307888E-3</v>
      </c>
      <c r="K72" s="1"/>
      <c r="L72" s="1">
        <f t="shared" si="49"/>
        <v>-244</v>
      </c>
      <c r="M72" s="1"/>
      <c r="N72" s="5">
        <f t="shared" si="50"/>
        <v>-3.1467629610523601E-2</v>
      </c>
      <c r="O72" s="13"/>
      <c r="P72" s="1">
        <f>SUM(OSRRefP22_12x_0)</f>
        <v>44573.15</v>
      </c>
      <c r="Q72" s="1"/>
      <c r="R72" s="5">
        <f t="shared" si="51"/>
        <v>5.3656441942596216E-2</v>
      </c>
      <c r="S72" s="1"/>
      <c r="T72" s="1">
        <f>SUM(OSRRefT22_12x_0)</f>
        <v>46131.049999999996</v>
      </c>
      <c r="U72" s="1"/>
      <c r="V72" s="5">
        <f t="shared" si="52"/>
        <v>5.0220663352767651E-3</v>
      </c>
      <c r="W72" s="1"/>
      <c r="X72" s="1">
        <f t="shared" si="53"/>
        <v>-1557.8999999999942</v>
      </c>
      <c r="Y72" s="1"/>
      <c r="Z72" s="5">
        <f t="shared" si="54"/>
        <v>-3.3771180148728333E-2</v>
      </c>
    </row>
    <row r="73" spans="1:26" s="24" customFormat="1" hidden="1" outlineLevel="2" x14ac:dyDescent="0.25">
      <c r="A73" s="27"/>
      <c r="B73" s="11" t="str">
        <f>CONCATENATE("          ", "6401", " - ", "INTEREST EXPENSE")</f>
        <v xml:space="preserve">          6401 - INTEREST EXPENSE</v>
      </c>
      <c r="C73" s="11"/>
      <c r="D73" s="7">
        <v>7510</v>
      </c>
      <c r="E73" s="2"/>
      <c r="F73" s="6">
        <f t="shared" si="47"/>
        <v>4.7758671553440768E-2</v>
      </c>
      <c r="G73" s="2"/>
      <c r="H73" s="7">
        <v>7754</v>
      </c>
      <c r="I73" s="2"/>
      <c r="J73" s="6">
        <f t="shared" si="48"/>
        <v>6.3266878361307888E-3</v>
      </c>
      <c r="K73" s="2"/>
      <c r="L73" s="7">
        <f t="shared" si="49"/>
        <v>-244</v>
      </c>
      <c r="M73" s="2"/>
      <c r="N73" s="6">
        <f t="shared" si="50"/>
        <v>-3.1467629610523601E-2</v>
      </c>
      <c r="O73" s="11"/>
      <c r="P73" s="7">
        <v>44573.15</v>
      </c>
      <c r="Q73" s="2"/>
      <c r="R73" s="6">
        <f t="shared" si="51"/>
        <v>5.3656441942596216E-2</v>
      </c>
      <c r="S73" s="2"/>
      <c r="T73" s="7">
        <v>46131.049999999996</v>
      </c>
      <c r="U73" s="2"/>
      <c r="V73" s="6">
        <f t="shared" si="52"/>
        <v>5.0220663352767651E-3</v>
      </c>
      <c r="W73" s="2"/>
      <c r="X73" s="7">
        <f t="shared" si="53"/>
        <v>-1557.8999999999942</v>
      </c>
      <c r="Y73" s="2"/>
      <c r="Z73" s="6">
        <f t="shared" si="54"/>
        <v>-3.3771180148728333E-2</v>
      </c>
    </row>
    <row r="74" spans="1:26" s="25" customFormat="1" outlineLevel="1" collapsed="1" x14ac:dyDescent="0.25">
      <c r="A74" s="26"/>
      <c r="B74" s="13" t="str">
        <f>CONCATENATE("     ","Professional Services                             ")</f>
        <v xml:space="preserve">     Professional Services                             </v>
      </c>
      <c r="C74" s="13"/>
      <c r="D74" s="1">
        <f>SUM(OSRRefD22_13x_0)</f>
        <v>0</v>
      </c>
      <c r="E74" s="1"/>
      <c r="F74" s="5">
        <f t="shared" si="47"/>
        <v>0</v>
      </c>
      <c r="G74" s="1"/>
      <c r="H74" s="1">
        <f>SUM(OSRRefH22_13x_0)</f>
        <v>0</v>
      </c>
      <c r="I74" s="1"/>
      <c r="J74" s="5">
        <f t="shared" si="48"/>
        <v>0</v>
      </c>
      <c r="K74" s="1"/>
      <c r="L74" s="1">
        <f t="shared" si="49"/>
        <v>0</v>
      </c>
      <c r="M74" s="1"/>
      <c r="N74" s="5">
        <f t="shared" si="50"/>
        <v>0</v>
      </c>
      <c r="O74" s="13"/>
      <c r="P74" s="1">
        <f>SUM(OSRRefP22_13x_0)</f>
        <v>0</v>
      </c>
      <c r="Q74" s="1"/>
      <c r="R74" s="5">
        <f t="shared" si="51"/>
        <v>0</v>
      </c>
      <c r="S74" s="1"/>
      <c r="T74" s="1">
        <f>SUM(OSRRefT22_13x_0)</f>
        <v>125</v>
      </c>
      <c r="U74" s="1"/>
      <c r="V74" s="5">
        <f t="shared" si="52"/>
        <v>1.3608150950598256E-5</v>
      </c>
      <c r="W74" s="1"/>
      <c r="X74" s="1">
        <f t="shared" si="53"/>
        <v>-125</v>
      </c>
      <c r="Y74" s="1"/>
      <c r="Z74" s="5">
        <f t="shared" si="54"/>
        <v>-1</v>
      </c>
    </row>
    <row r="75" spans="1:26" s="24" customFormat="1" hidden="1" outlineLevel="2" x14ac:dyDescent="0.25">
      <c r="A75" s="27"/>
      <c r="B75" s="11" t="str">
        <f>CONCATENATE("          ", "6336", " - ", "PROFESSIONAL SERVICES")</f>
        <v xml:space="preserve">          6336 - PROFESSIONAL SERVICES</v>
      </c>
      <c r="C75" s="11"/>
      <c r="D75" s="7"/>
      <c r="E75" s="2"/>
      <c r="F75" s="6">
        <f t="shared" si="47"/>
        <v>0</v>
      </c>
      <c r="G75" s="2"/>
      <c r="H75" s="7"/>
      <c r="I75" s="2"/>
      <c r="J75" s="6">
        <f t="shared" si="48"/>
        <v>0</v>
      </c>
      <c r="K75" s="2"/>
      <c r="L75" s="7">
        <f t="shared" si="49"/>
        <v>0</v>
      </c>
      <c r="M75" s="2"/>
      <c r="N75" s="6">
        <f t="shared" si="50"/>
        <v>0</v>
      </c>
      <c r="O75" s="11"/>
      <c r="P75" s="7"/>
      <c r="Q75" s="2"/>
      <c r="R75" s="6">
        <f t="shared" si="51"/>
        <v>0</v>
      </c>
      <c r="S75" s="2"/>
      <c r="T75" s="7">
        <v>125</v>
      </c>
      <c r="U75" s="2"/>
      <c r="V75" s="6">
        <f t="shared" si="52"/>
        <v>1.3608150950598256E-5</v>
      </c>
      <c r="W75" s="2"/>
      <c r="X75" s="7">
        <f t="shared" si="53"/>
        <v>-125</v>
      </c>
      <c r="Y75" s="2"/>
      <c r="Z75" s="6">
        <f t="shared" si="54"/>
        <v>-1</v>
      </c>
    </row>
    <row r="76" spans="1:26" s="25" customFormat="1" outlineLevel="1" collapsed="1" x14ac:dyDescent="0.25">
      <c r="A76" s="26"/>
      <c r="B76" s="13" t="str">
        <f>CONCATENATE("     ","R/H Commissions                                   ")</f>
        <v xml:space="preserve">     R/H Commissions                                   </v>
      </c>
      <c r="C76" s="13"/>
      <c r="D76" s="1">
        <f>SUM(OSRRefD22_14x_0)</f>
        <v>38313.420000000006</v>
      </c>
      <c r="E76" s="1"/>
      <c r="F76" s="5">
        <f t="shared" si="47"/>
        <v>0.24364820797190798</v>
      </c>
      <c r="G76" s="1"/>
      <c r="H76" s="1">
        <f>SUM(OSRRefH22_14x_0)</f>
        <v>64695.709999999992</v>
      </c>
      <c r="I76" s="1"/>
      <c r="J76" s="5">
        <f t="shared" si="48"/>
        <v>5.2786892121078795E-2</v>
      </c>
      <c r="K76" s="1"/>
      <c r="L76" s="1">
        <f t="shared" si="49"/>
        <v>-26382.289999999986</v>
      </c>
      <c r="M76" s="1"/>
      <c r="N76" s="5">
        <f t="shared" si="50"/>
        <v>-0.40779040835937946</v>
      </c>
      <c r="O76" s="13"/>
      <c r="P76" s="1">
        <f>SUM(OSRRefP22_14x_0)</f>
        <v>75016.490000000005</v>
      </c>
      <c r="Q76" s="1"/>
      <c r="R76" s="5">
        <f t="shared" si="51"/>
        <v>9.0303645589830422E-2</v>
      </c>
      <c r="S76" s="1"/>
      <c r="T76" s="1">
        <f>SUM(OSRRefT22_14x_0)</f>
        <v>471590.87</v>
      </c>
      <c r="U76" s="1"/>
      <c r="V76" s="5">
        <f t="shared" si="52"/>
        <v>5.1339837967071665E-2</v>
      </c>
      <c r="W76" s="1"/>
      <c r="X76" s="1">
        <f t="shared" si="53"/>
        <v>-396574.38</v>
      </c>
      <c r="Y76" s="1"/>
      <c r="Z76" s="5">
        <f t="shared" si="54"/>
        <v>-0.84092887548904416</v>
      </c>
    </row>
    <row r="77" spans="1:26" s="24" customFormat="1" hidden="1" outlineLevel="2" x14ac:dyDescent="0.25">
      <c r="A77" s="27"/>
      <c r="B77" s="11" t="str">
        <f>CONCATENATE("          ", "6387", " - ", "COMMISSION DUE HOUSING")</f>
        <v xml:space="preserve">          6387 - COMMISSION DUE HOUSING</v>
      </c>
      <c r="C77" s="11"/>
      <c r="D77" s="7">
        <v>38313.420000000006</v>
      </c>
      <c r="E77" s="2"/>
      <c r="F77" s="6">
        <f t="shared" si="47"/>
        <v>0.24364820797190798</v>
      </c>
      <c r="G77" s="2"/>
      <c r="H77" s="7">
        <v>64695.709999999992</v>
      </c>
      <c r="I77" s="2"/>
      <c r="J77" s="6">
        <f t="shared" si="48"/>
        <v>5.2786892121078795E-2</v>
      </c>
      <c r="K77" s="2"/>
      <c r="L77" s="7">
        <f t="shared" si="49"/>
        <v>-26382.289999999986</v>
      </c>
      <c r="M77" s="2"/>
      <c r="N77" s="6">
        <f t="shared" si="50"/>
        <v>-0.40779040835937946</v>
      </c>
      <c r="O77" s="11"/>
      <c r="P77" s="7">
        <v>75016.490000000005</v>
      </c>
      <c r="Q77" s="2"/>
      <c r="R77" s="6">
        <f t="shared" si="51"/>
        <v>9.0303645589830422E-2</v>
      </c>
      <c r="S77" s="2"/>
      <c r="T77" s="7">
        <v>471590.87</v>
      </c>
      <c r="U77" s="2"/>
      <c r="V77" s="6">
        <f t="shared" si="52"/>
        <v>5.1339837967071665E-2</v>
      </c>
      <c r="W77" s="2"/>
      <c r="X77" s="7">
        <f t="shared" si="53"/>
        <v>-396574.38</v>
      </c>
      <c r="Y77" s="2"/>
      <c r="Z77" s="6">
        <f t="shared" si="54"/>
        <v>-0.84092887548904416</v>
      </c>
    </row>
    <row r="78" spans="1:26" s="25" customFormat="1" outlineLevel="1" collapsed="1" x14ac:dyDescent="0.25">
      <c r="A78" s="26"/>
      <c r="B78" s="13" t="str">
        <f>CONCATENATE("     ","Rent                                              ")</f>
        <v xml:space="preserve">     Rent                                              </v>
      </c>
      <c r="C78" s="13"/>
      <c r="D78" s="1">
        <f>SUM(OSRRefD22_15x_0)</f>
        <v>5550</v>
      </c>
      <c r="E78" s="1"/>
      <c r="F78" s="5">
        <f t="shared" si="47"/>
        <v>3.5294357805805095E-2</v>
      </c>
      <c r="G78" s="1"/>
      <c r="H78" s="1">
        <f>SUM(OSRRefH22_15x_0)</f>
        <v>1850</v>
      </c>
      <c r="I78" s="1"/>
      <c r="J78" s="5">
        <f t="shared" si="48"/>
        <v>1.5094625350582872E-3</v>
      </c>
      <c r="K78" s="1"/>
      <c r="L78" s="1">
        <f t="shared" si="49"/>
        <v>3700</v>
      </c>
      <c r="M78" s="1"/>
      <c r="N78" s="5">
        <f t="shared" si="50"/>
        <v>2</v>
      </c>
      <c r="O78" s="13"/>
      <c r="P78" s="1">
        <f>SUM(OSRRefP22_15x_0)</f>
        <v>11100</v>
      </c>
      <c r="Q78" s="1"/>
      <c r="R78" s="5">
        <f t="shared" si="51"/>
        <v>1.3362001688523651E-2</v>
      </c>
      <c r="S78" s="1"/>
      <c r="T78" s="1">
        <f>SUM(OSRRefT22_15x_0)</f>
        <v>11100</v>
      </c>
      <c r="U78" s="1"/>
      <c r="V78" s="5">
        <f t="shared" si="52"/>
        <v>1.2084038044131251E-3</v>
      </c>
      <c r="W78" s="1"/>
      <c r="X78" s="1">
        <f t="shared" si="53"/>
        <v>0</v>
      </c>
      <c r="Y78" s="1"/>
      <c r="Z78" s="5">
        <f t="shared" si="54"/>
        <v>0</v>
      </c>
    </row>
    <row r="79" spans="1:26" s="24" customFormat="1" hidden="1" outlineLevel="2" x14ac:dyDescent="0.25">
      <c r="A79" s="27"/>
      <c r="B79" s="11" t="str">
        <f>CONCATENATE("          ", "6273", " - ", "RENT")</f>
        <v xml:space="preserve">          6273 - RENT</v>
      </c>
      <c r="C79" s="11"/>
      <c r="D79" s="7">
        <v>5550</v>
      </c>
      <c r="E79" s="2"/>
      <c r="F79" s="6">
        <f t="shared" si="47"/>
        <v>3.5294357805805095E-2</v>
      </c>
      <c r="G79" s="2"/>
      <c r="H79" s="7">
        <v>1850</v>
      </c>
      <c r="I79" s="2"/>
      <c r="J79" s="6">
        <f t="shared" si="48"/>
        <v>1.5094625350582872E-3</v>
      </c>
      <c r="K79" s="2"/>
      <c r="L79" s="7">
        <f t="shared" si="49"/>
        <v>3700</v>
      </c>
      <c r="M79" s="2"/>
      <c r="N79" s="6">
        <f t="shared" si="50"/>
        <v>2</v>
      </c>
      <c r="O79" s="11"/>
      <c r="P79" s="7">
        <v>11100</v>
      </c>
      <c r="Q79" s="2"/>
      <c r="R79" s="6">
        <f t="shared" si="51"/>
        <v>1.3362001688523651E-2</v>
      </c>
      <c r="S79" s="2"/>
      <c r="T79" s="7">
        <v>11100</v>
      </c>
      <c r="U79" s="2"/>
      <c r="V79" s="6">
        <f t="shared" si="52"/>
        <v>1.2084038044131251E-3</v>
      </c>
      <c r="W79" s="2"/>
      <c r="X79" s="7">
        <f t="shared" si="53"/>
        <v>0</v>
      </c>
      <c r="Y79" s="2"/>
      <c r="Z79" s="6">
        <f t="shared" si="54"/>
        <v>0</v>
      </c>
    </row>
    <row r="80" spans="1:26" s="25" customFormat="1" outlineLevel="1" collapsed="1" x14ac:dyDescent="0.25">
      <c r="A80" s="26"/>
      <c r="B80" s="13" t="str">
        <f>CONCATENATE("     ","Repair and Maintenance                            ")</f>
        <v xml:space="preserve">     Repair and Maintenance                            </v>
      </c>
      <c r="C80" s="13"/>
      <c r="D80" s="1">
        <f>SUM(OSRRefD22_16x_0)</f>
        <v>5421.87</v>
      </c>
      <c r="E80" s="1"/>
      <c r="F80" s="5">
        <f t="shared" si="47"/>
        <v>3.4479535091272155E-2</v>
      </c>
      <c r="G80" s="1"/>
      <c r="H80" s="1">
        <f>SUM(OSRRefH22_16x_0)</f>
        <v>26144.89</v>
      </c>
      <c r="I80" s="1"/>
      <c r="J80" s="5">
        <f t="shared" si="48"/>
        <v>2.1332287534173006E-2</v>
      </c>
      <c r="K80" s="1"/>
      <c r="L80" s="1">
        <f t="shared" si="49"/>
        <v>-20723.02</v>
      </c>
      <c r="M80" s="1"/>
      <c r="N80" s="5">
        <f t="shared" si="50"/>
        <v>-0.79262219118152732</v>
      </c>
      <c r="O80" s="13"/>
      <c r="P80" s="1">
        <f>SUM(OSRRefP22_16x_0)</f>
        <v>28005.77</v>
      </c>
      <c r="Q80" s="1"/>
      <c r="R80" s="5">
        <f t="shared" si="51"/>
        <v>3.371289603859505E-2</v>
      </c>
      <c r="S80" s="1"/>
      <c r="T80" s="1">
        <f>SUM(OSRRefT22_16x_0)</f>
        <v>168259.66</v>
      </c>
      <c r="U80" s="1"/>
      <c r="V80" s="5">
        <f t="shared" si="52"/>
        <v>1.8317622817410714E-2</v>
      </c>
      <c r="W80" s="1"/>
      <c r="X80" s="1">
        <f t="shared" si="53"/>
        <v>-140253.89000000001</v>
      </c>
      <c r="Y80" s="1"/>
      <c r="Z80" s="5">
        <f t="shared" si="54"/>
        <v>-0.83355624277381768</v>
      </c>
    </row>
    <row r="81" spans="1:26" s="24" customFormat="1" hidden="1" outlineLevel="2" x14ac:dyDescent="0.25">
      <c r="A81" s="27"/>
      <c r="B81" s="11" t="str">
        <f>CONCATENATE("          ", "6371", " - ", "COMPUTER SOFTWARE MAINTENANCE")</f>
        <v xml:space="preserve">          6371 - COMPUTER SOFTWARE MAINTENANCE</v>
      </c>
      <c r="C81" s="11"/>
      <c r="D81" s="7">
        <v>3500</v>
      </c>
      <c r="E81" s="2"/>
      <c r="F81" s="6">
        <f t="shared" si="47"/>
        <v>2.2257703120777989E-2</v>
      </c>
      <c r="G81" s="2"/>
      <c r="H81" s="7"/>
      <c r="I81" s="2"/>
      <c r="J81" s="6">
        <f t="shared" si="48"/>
        <v>0</v>
      </c>
      <c r="K81" s="2"/>
      <c r="L81" s="7">
        <f t="shared" si="49"/>
        <v>3500</v>
      </c>
      <c r="M81" s="2"/>
      <c r="N81" s="6">
        <f t="shared" si="50"/>
        <v>0</v>
      </c>
      <c r="O81" s="11"/>
      <c r="P81" s="7">
        <v>3500</v>
      </c>
      <c r="Q81" s="2"/>
      <c r="R81" s="6">
        <f t="shared" si="51"/>
        <v>4.2132437756606106E-3</v>
      </c>
      <c r="S81" s="2"/>
      <c r="T81" s="7">
        <v>33750.620000000003</v>
      </c>
      <c r="U81" s="2"/>
      <c r="V81" s="6">
        <f t="shared" si="52"/>
        <v>3.6742682530902446E-3</v>
      </c>
      <c r="W81" s="2"/>
      <c r="X81" s="7">
        <f t="shared" si="53"/>
        <v>-30250.620000000003</v>
      </c>
      <c r="Y81" s="2"/>
      <c r="Z81" s="6">
        <f t="shared" si="54"/>
        <v>-0.89629820133674587</v>
      </c>
    </row>
    <row r="82" spans="1:26" s="24" customFormat="1" hidden="1" outlineLevel="2" x14ac:dyDescent="0.25">
      <c r="A82" s="27"/>
      <c r="B82" s="11" t="str">
        <f>CONCATENATE("          ", "6373", " - ", "MAINTENANCE CONTRACTS")</f>
        <v xml:space="preserve">          6373 - MAINTENANCE CONTRACTS</v>
      </c>
      <c r="C82" s="11"/>
      <c r="D82" s="7">
        <v>1479.4</v>
      </c>
      <c r="E82" s="2"/>
      <c r="F82" s="6">
        <f t="shared" si="47"/>
        <v>9.4080131419654166E-3</v>
      </c>
      <c r="G82" s="2"/>
      <c r="H82" s="7">
        <v>17476.52</v>
      </c>
      <c r="I82" s="2"/>
      <c r="J82" s="6">
        <f t="shared" si="48"/>
        <v>1.4259541720646951E-2</v>
      </c>
      <c r="K82" s="2"/>
      <c r="L82" s="7">
        <f t="shared" si="49"/>
        <v>-15997.12</v>
      </c>
      <c r="M82" s="2"/>
      <c r="N82" s="6">
        <f t="shared" si="50"/>
        <v>-0.91534928006262117</v>
      </c>
      <c r="O82" s="11"/>
      <c r="P82" s="7">
        <v>13991.41</v>
      </c>
      <c r="Q82" s="2"/>
      <c r="R82" s="6">
        <f t="shared" si="51"/>
        <v>1.6842634598633038E-2</v>
      </c>
      <c r="S82" s="2"/>
      <c r="T82" s="7">
        <v>58803.44</v>
      </c>
      <c r="U82" s="2"/>
      <c r="V82" s="6">
        <f t="shared" si="52"/>
        <v>6.4016487034755801E-3</v>
      </c>
      <c r="W82" s="2"/>
      <c r="X82" s="7">
        <f t="shared" si="53"/>
        <v>-44812.03</v>
      </c>
      <c r="Y82" s="2"/>
      <c r="Z82" s="6">
        <f t="shared" si="54"/>
        <v>-0.76206477036037346</v>
      </c>
    </row>
    <row r="83" spans="1:26" s="24" customFormat="1" hidden="1" outlineLevel="2" x14ac:dyDescent="0.25">
      <c r="A83" s="27"/>
      <c r="B83" s="11" t="str">
        <f>CONCATENATE("          ", "6375", " - ", "OUTSIDE REPAIRS &amp; MAINTENANCE")</f>
        <v xml:space="preserve">          6375 - OUTSIDE REPAIRS &amp; MAINTENANCE</v>
      </c>
      <c r="C83" s="11"/>
      <c r="D83" s="7">
        <v>442.47</v>
      </c>
      <c r="E83" s="2"/>
      <c r="F83" s="6">
        <f t="shared" si="47"/>
        <v>2.8138188285287535E-3</v>
      </c>
      <c r="G83" s="2"/>
      <c r="H83" s="7">
        <v>8668.3700000000008</v>
      </c>
      <c r="I83" s="2"/>
      <c r="J83" s="6">
        <f t="shared" si="48"/>
        <v>7.0727458135260574E-3</v>
      </c>
      <c r="K83" s="2"/>
      <c r="L83" s="7">
        <f t="shared" si="49"/>
        <v>-8225.9000000000015</v>
      </c>
      <c r="M83" s="2"/>
      <c r="N83" s="6">
        <f t="shared" si="50"/>
        <v>-0.94895580137903679</v>
      </c>
      <c r="O83" s="11"/>
      <c r="P83" s="7">
        <v>10514.36</v>
      </c>
      <c r="Q83" s="2"/>
      <c r="R83" s="6">
        <f t="shared" si="51"/>
        <v>1.26570176643014E-2</v>
      </c>
      <c r="S83" s="2"/>
      <c r="T83" s="7">
        <v>75705.600000000006</v>
      </c>
      <c r="U83" s="2"/>
      <c r="V83" s="6">
        <f t="shared" si="52"/>
        <v>8.2417058608448921E-3</v>
      </c>
      <c r="W83" s="2"/>
      <c r="X83" s="7">
        <f t="shared" si="53"/>
        <v>-65191.240000000005</v>
      </c>
      <c r="Y83" s="2"/>
      <c r="Z83" s="6">
        <f t="shared" si="54"/>
        <v>-0.86111516189026971</v>
      </c>
    </row>
    <row r="84" spans="1:26" s="25" customFormat="1" outlineLevel="1" collapsed="1" x14ac:dyDescent="0.25">
      <c r="A84" s="26"/>
      <c r="B84" s="13" t="str">
        <f>CONCATENATE("     ","Royalty &amp; Commissions                             ")</f>
        <v xml:space="preserve">     Royalty &amp; Commissions                             </v>
      </c>
      <c r="C84" s="13"/>
      <c r="D84" s="1">
        <f>SUM(OSRRefD22_17x_0)</f>
        <v>0</v>
      </c>
      <c r="E84" s="1"/>
      <c r="F84" s="5">
        <f t="shared" ref="F84:F86" si="55">IF(D$12=0,0,D84/D$12)</f>
        <v>0</v>
      </c>
      <c r="G84" s="1"/>
      <c r="H84" s="1">
        <f>SUM(OSRRefH22_17x_0)</f>
        <v>18952.580000000002</v>
      </c>
      <c r="I84" s="1"/>
      <c r="J84" s="5">
        <f t="shared" ref="J84:J86" si="56">IF(H$12=0,0,H84/H$12)</f>
        <v>1.5463897001456754E-2</v>
      </c>
      <c r="K84" s="1"/>
      <c r="L84" s="1">
        <f t="shared" ref="L84:L86" si="57">+D84-H84</f>
        <v>-18952.580000000002</v>
      </c>
      <c r="M84" s="1"/>
      <c r="N84" s="5">
        <f t="shared" ref="N84:N86" si="58">IF(H84=0,0,L84/H84)</f>
        <v>-1</v>
      </c>
      <c r="O84" s="13"/>
      <c r="P84" s="1">
        <f>SUM(OSRRefP22_17x_0)</f>
        <v>0</v>
      </c>
      <c r="Q84" s="1"/>
      <c r="R84" s="5">
        <f t="shared" ref="R84:R86" si="59">IF(P$12=0,0,P84/P$12)</f>
        <v>0</v>
      </c>
      <c r="S84" s="1"/>
      <c r="T84" s="1">
        <f>SUM(OSRRefT22_17x_0)</f>
        <v>133672.18</v>
      </c>
      <c r="U84" s="1"/>
      <c r="V84" s="5">
        <f t="shared" ref="V84:V86" si="60">IF(T$12=0,0,T84/T$12)</f>
        <v>1.4552249626684329E-2</v>
      </c>
      <c r="W84" s="1"/>
      <c r="X84" s="1">
        <f t="shared" ref="X84:X86" si="61">+P84-T84</f>
        <v>-133672.18</v>
      </c>
      <c r="Y84" s="1"/>
      <c r="Z84" s="5">
        <f t="shared" ref="Z84:Z86" si="62">IF(T84=0,0,X84/T84)</f>
        <v>-1</v>
      </c>
    </row>
    <row r="85" spans="1:26" s="24" customFormat="1" hidden="1" outlineLevel="2" x14ac:dyDescent="0.25">
      <c r="A85" s="27"/>
      <c r="B85" s="11" t="str">
        <f>CONCATENATE("          ", "6254", " - ", "ROYALTY &amp; COMMISSIONS")</f>
        <v xml:space="preserve">          6254 - ROYALTY &amp; COMMISSIONS</v>
      </c>
      <c r="C85" s="11"/>
      <c r="D85" s="7"/>
      <c r="E85" s="2"/>
      <c r="F85" s="6">
        <f t="shared" si="55"/>
        <v>0</v>
      </c>
      <c r="G85" s="2"/>
      <c r="H85" s="7">
        <v>8040.34</v>
      </c>
      <c r="I85" s="2"/>
      <c r="J85" s="6">
        <f t="shared" si="56"/>
        <v>6.5603199995300267E-3</v>
      </c>
      <c r="K85" s="2"/>
      <c r="L85" s="7">
        <f t="shared" si="57"/>
        <v>-8040.34</v>
      </c>
      <c r="M85" s="2"/>
      <c r="N85" s="6">
        <f t="shared" si="58"/>
        <v>-1</v>
      </c>
      <c r="O85" s="11"/>
      <c r="P85" s="7"/>
      <c r="Q85" s="2"/>
      <c r="R85" s="6">
        <f t="shared" si="59"/>
        <v>0</v>
      </c>
      <c r="S85" s="2"/>
      <c r="T85" s="7">
        <v>61027.06</v>
      </c>
      <c r="U85" s="2"/>
      <c r="V85" s="6">
        <f t="shared" si="60"/>
        <v>6.6437235564097341E-3</v>
      </c>
      <c r="W85" s="2"/>
      <c r="X85" s="7">
        <f t="shared" si="61"/>
        <v>-61027.06</v>
      </c>
      <c r="Y85" s="2"/>
      <c r="Z85" s="6">
        <f t="shared" si="62"/>
        <v>-1</v>
      </c>
    </row>
    <row r="86" spans="1:26" s="24" customFormat="1" hidden="1" outlineLevel="2" x14ac:dyDescent="0.25">
      <c r="A86" s="27"/>
      <c r="B86" s="11" t="str">
        <f>CONCATENATE("          ", "6259", " - ", "ROYALTY &amp; COMMISSIONS")</f>
        <v xml:space="preserve">          6259 - ROYALTY &amp; COMMISSIONS</v>
      </c>
      <c r="C86" s="11"/>
      <c r="D86" s="7"/>
      <c r="E86" s="2"/>
      <c r="F86" s="6">
        <f t="shared" si="55"/>
        <v>0</v>
      </c>
      <c r="G86" s="2"/>
      <c r="H86" s="7">
        <v>10912.24</v>
      </c>
      <c r="I86" s="2"/>
      <c r="J86" s="6">
        <f t="shared" si="56"/>
        <v>8.9035770019267272E-3</v>
      </c>
      <c r="K86" s="2"/>
      <c r="L86" s="7">
        <f t="shared" si="57"/>
        <v>-10912.24</v>
      </c>
      <c r="M86" s="2"/>
      <c r="N86" s="6">
        <f t="shared" si="58"/>
        <v>-1</v>
      </c>
      <c r="O86" s="11"/>
      <c r="P86" s="7"/>
      <c r="Q86" s="2"/>
      <c r="R86" s="6">
        <f t="shared" si="59"/>
        <v>0</v>
      </c>
      <c r="S86" s="2"/>
      <c r="T86" s="7">
        <v>72645.119999999995</v>
      </c>
      <c r="U86" s="2"/>
      <c r="V86" s="6">
        <f t="shared" si="60"/>
        <v>7.9085260702745942E-3</v>
      </c>
      <c r="W86" s="2"/>
      <c r="X86" s="7">
        <f t="shared" si="61"/>
        <v>-72645.119999999995</v>
      </c>
      <c r="Y86" s="2"/>
      <c r="Z86" s="6">
        <f t="shared" si="62"/>
        <v>-1</v>
      </c>
    </row>
    <row r="87" spans="1:26" s="25" customFormat="1" outlineLevel="1" collapsed="1" x14ac:dyDescent="0.25">
      <c r="A87" s="26"/>
      <c r="B87" s="13" t="str">
        <f>CONCATENATE("     ","Services                                          ")</f>
        <v xml:space="preserve">     Services                                          </v>
      </c>
      <c r="C87" s="13"/>
      <c r="D87" s="1">
        <f>SUM(OSRRefD22_18x_0)</f>
        <v>23770.14</v>
      </c>
      <c r="E87" s="1"/>
      <c r="F87" s="5">
        <f t="shared" ref="F87:F92" si="63">IF(D$12=0,0,D87/D$12)</f>
        <v>0.15116249121695133</v>
      </c>
      <c r="G87" s="1"/>
      <c r="H87" s="1">
        <f>SUM(OSRRefH22_18x_0)</f>
        <v>46186.89</v>
      </c>
      <c r="I87" s="1"/>
      <c r="J87" s="5">
        <f t="shared" ref="J87:J92" si="64">IF(H$12=0,0,H87/H$12)</f>
        <v>3.7685070305869324E-2</v>
      </c>
      <c r="K87" s="1"/>
      <c r="L87" s="1">
        <f t="shared" ref="L87:L92" si="65">+D87-H87</f>
        <v>-22416.75</v>
      </c>
      <c r="M87" s="1"/>
      <c r="N87" s="5">
        <f t="shared" ref="N87:N92" si="66">IF(H87=0,0,L87/H87)</f>
        <v>-0.48534876455201897</v>
      </c>
      <c r="O87" s="13"/>
      <c r="P87" s="1">
        <f>SUM(OSRRefP22_18x_0)</f>
        <v>102215.25</v>
      </c>
      <c r="Q87" s="1"/>
      <c r="R87" s="5">
        <f t="shared" ref="R87:R92" si="67">IF(P$12=0,0,P87/P$12)</f>
        <v>0.12304507595431236</v>
      </c>
      <c r="S87" s="1"/>
      <c r="T87" s="1">
        <f>SUM(OSRRefT22_18x_0)</f>
        <v>244794.68</v>
      </c>
      <c r="U87" s="1"/>
      <c r="V87" s="5">
        <f t="shared" ref="V87:V92" si="68">IF(T$12=0,0,T87/T$12)</f>
        <v>2.6649623658747165E-2</v>
      </c>
      <c r="W87" s="1"/>
      <c r="X87" s="1">
        <f t="shared" ref="X87:X92" si="69">+P87-T87</f>
        <v>-142579.43</v>
      </c>
      <c r="Y87" s="1"/>
      <c r="Z87" s="5">
        <f t="shared" ref="Z87:Z92" si="70">IF(T87=0,0,X87/T87)</f>
        <v>-0.58244496980081428</v>
      </c>
    </row>
    <row r="88" spans="1:26" s="24" customFormat="1" hidden="1" outlineLevel="2" x14ac:dyDescent="0.25">
      <c r="A88" s="27"/>
      <c r="B88" s="11" t="str">
        <f>CONCATENATE("          ", "6282", " - ", "JANITORIAL/EXTERMINATOR EXPENS")</f>
        <v xml:space="preserve">          6282 - JANITORIAL/EXTERMINATOR EXPENS</v>
      </c>
      <c r="C88" s="11"/>
      <c r="D88" s="7">
        <v>4501.1899999999996</v>
      </c>
      <c r="E88" s="2"/>
      <c r="F88" s="6">
        <f t="shared" si="63"/>
        <v>2.8624614488632762E-2</v>
      </c>
      <c r="G88" s="2"/>
      <c r="H88" s="7">
        <v>5571.74</v>
      </c>
      <c r="I88" s="2"/>
      <c r="J88" s="6">
        <f t="shared" si="64"/>
        <v>4.5461258297760333E-3</v>
      </c>
      <c r="K88" s="2"/>
      <c r="L88" s="7">
        <f t="shared" si="65"/>
        <v>-1070.5500000000002</v>
      </c>
      <c r="M88" s="2"/>
      <c r="N88" s="6">
        <f t="shared" si="66"/>
        <v>-0.19213925990803596</v>
      </c>
      <c r="O88" s="11"/>
      <c r="P88" s="7">
        <v>10142.549999999999</v>
      </c>
      <c r="Q88" s="2"/>
      <c r="R88" s="6">
        <f t="shared" si="67"/>
        <v>1.2209438759093293E-2</v>
      </c>
      <c r="S88" s="2"/>
      <c r="T88" s="7">
        <v>19771.09</v>
      </c>
      <c r="U88" s="2"/>
      <c r="V88" s="6">
        <f t="shared" si="68"/>
        <v>2.1523838174229092E-3</v>
      </c>
      <c r="W88" s="2"/>
      <c r="X88" s="7">
        <f t="shared" si="69"/>
        <v>-9628.5400000000009</v>
      </c>
      <c r="Y88" s="2"/>
      <c r="Z88" s="6">
        <f t="shared" si="70"/>
        <v>-0.48700096959752853</v>
      </c>
    </row>
    <row r="89" spans="1:26" s="24" customFormat="1" hidden="1" outlineLevel="2" x14ac:dyDescent="0.25">
      <c r="A89" s="27"/>
      <c r="B89" s="11" t="str">
        <f>CONCATENATE("          ", "6283", " - ", "PLANT SERVICE")</f>
        <v xml:space="preserve">          6283 - PLANT SERVICE</v>
      </c>
      <c r="C89" s="11"/>
      <c r="D89" s="7"/>
      <c r="E89" s="2"/>
      <c r="F89" s="6">
        <f t="shared" si="63"/>
        <v>0</v>
      </c>
      <c r="G89" s="2"/>
      <c r="H89" s="7"/>
      <c r="I89" s="2"/>
      <c r="J89" s="6">
        <f t="shared" si="64"/>
        <v>0</v>
      </c>
      <c r="K89" s="2"/>
      <c r="L89" s="7">
        <f t="shared" si="65"/>
        <v>0</v>
      </c>
      <c r="M89" s="2"/>
      <c r="N89" s="6">
        <f t="shared" si="66"/>
        <v>0</v>
      </c>
      <c r="O89" s="11"/>
      <c r="P89" s="7"/>
      <c r="Q89" s="2"/>
      <c r="R89" s="6">
        <f t="shared" si="67"/>
        <v>0</v>
      </c>
      <c r="S89" s="2"/>
      <c r="T89" s="7">
        <v>799.12</v>
      </c>
      <c r="U89" s="2"/>
      <c r="V89" s="6">
        <f t="shared" si="68"/>
        <v>8.6996364701136632E-5</v>
      </c>
      <c r="W89" s="2"/>
      <c r="X89" s="7">
        <f t="shared" si="69"/>
        <v>-799.12</v>
      </c>
      <c r="Y89" s="2"/>
      <c r="Z89" s="6">
        <f t="shared" si="70"/>
        <v>-1</v>
      </c>
    </row>
    <row r="90" spans="1:26" s="24" customFormat="1" hidden="1" outlineLevel="2" x14ac:dyDescent="0.25">
      <c r="A90" s="27"/>
      <c r="B90" s="11" t="str">
        <f>CONCATENATE("          ", "6284", " - ", "TRASH REMOVAL EXPENSE")</f>
        <v xml:space="preserve">          6284 - TRASH REMOVAL EXPENSE</v>
      </c>
      <c r="C90" s="11"/>
      <c r="D90" s="7">
        <v>5651.75</v>
      </c>
      <c r="E90" s="2"/>
      <c r="F90" s="6">
        <f t="shared" si="63"/>
        <v>3.5941421032244854E-2</v>
      </c>
      <c r="G90" s="2"/>
      <c r="H90" s="7">
        <v>9673</v>
      </c>
      <c r="I90" s="2"/>
      <c r="J90" s="6">
        <f t="shared" si="64"/>
        <v>7.892449244118277E-3</v>
      </c>
      <c r="K90" s="2"/>
      <c r="L90" s="7">
        <f t="shared" si="65"/>
        <v>-4021.25</v>
      </c>
      <c r="M90" s="2"/>
      <c r="N90" s="6">
        <f t="shared" si="66"/>
        <v>-0.41571901168200143</v>
      </c>
      <c r="O90" s="11"/>
      <c r="P90" s="7">
        <v>19150.75</v>
      </c>
      <c r="Q90" s="2"/>
      <c r="R90" s="6">
        <f t="shared" si="67"/>
        <v>2.3053365210494985E-2</v>
      </c>
      <c r="S90" s="2"/>
      <c r="T90" s="7">
        <v>22893</v>
      </c>
      <c r="U90" s="2"/>
      <c r="V90" s="6">
        <f t="shared" si="68"/>
        <v>2.4922511976963671E-3</v>
      </c>
      <c r="W90" s="2"/>
      <c r="X90" s="7">
        <f t="shared" si="69"/>
        <v>-3742.25</v>
      </c>
      <c r="Y90" s="2"/>
      <c r="Z90" s="6">
        <f t="shared" si="70"/>
        <v>-0.16346699864587427</v>
      </c>
    </row>
    <row r="91" spans="1:26" s="24" customFormat="1" hidden="1" outlineLevel="2" x14ac:dyDescent="0.25">
      <c r="A91" s="27"/>
      <c r="B91" s="11" t="str">
        <f>CONCATENATE("          ", "6285", " - ", "JANITORIAL SERVICES")</f>
        <v xml:space="preserve">          6285 - JANITORIAL SERVICES</v>
      </c>
      <c r="C91" s="11"/>
      <c r="D91" s="7">
        <v>11530.59</v>
      </c>
      <c r="E91" s="2"/>
      <c r="F91" s="6">
        <f t="shared" si="63"/>
        <v>7.3326985436403272E-2</v>
      </c>
      <c r="G91" s="2"/>
      <c r="H91" s="7">
        <v>24757.47</v>
      </c>
      <c r="I91" s="2"/>
      <c r="J91" s="6">
        <f t="shared" si="64"/>
        <v>2.0200255906934864E-2</v>
      </c>
      <c r="K91" s="2"/>
      <c r="L91" s="7">
        <f t="shared" si="65"/>
        <v>-13226.880000000001</v>
      </c>
      <c r="M91" s="2"/>
      <c r="N91" s="6">
        <f t="shared" si="66"/>
        <v>-0.5342581451174131</v>
      </c>
      <c r="O91" s="11"/>
      <c r="P91" s="7">
        <v>62072.79</v>
      </c>
      <c r="Q91" s="2"/>
      <c r="R91" s="6">
        <f t="shared" si="67"/>
        <v>7.4722227458682344E-2</v>
      </c>
      <c r="S91" s="2"/>
      <c r="T91" s="7">
        <v>153731.78</v>
      </c>
      <c r="U91" s="2"/>
      <c r="V91" s="6">
        <f t="shared" si="68"/>
        <v>1.6736042145153295E-2</v>
      </c>
      <c r="W91" s="2"/>
      <c r="X91" s="7">
        <f t="shared" si="69"/>
        <v>-91658.989999999991</v>
      </c>
      <c r="Y91" s="2"/>
      <c r="Z91" s="6">
        <f t="shared" si="70"/>
        <v>-0.59622668780651589</v>
      </c>
    </row>
    <row r="92" spans="1:26" s="24" customFormat="1" hidden="1" outlineLevel="2" x14ac:dyDescent="0.25">
      <c r="A92" s="27"/>
      <c r="B92" s="11" t="str">
        <f>CONCATENATE("          ", "6286", " - ", "LAUNDRY EXPENSE")</f>
        <v xml:space="preserve">          6286 - LAUNDRY EXPENSE</v>
      </c>
      <c r="C92" s="11"/>
      <c r="D92" s="7">
        <v>2086.61</v>
      </c>
      <c r="E92" s="2"/>
      <c r="F92" s="6">
        <f t="shared" si="63"/>
        <v>1.3269470259670447E-2</v>
      </c>
      <c r="G92" s="2"/>
      <c r="H92" s="7">
        <v>6184.68</v>
      </c>
      <c r="I92" s="2"/>
      <c r="J92" s="6">
        <f t="shared" si="64"/>
        <v>5.0462393250401555E-3</v>
      </c>
      <c r="K92" s="2"/>
      <c r="L92" s="7">
        <f t="shared" si="65"/>
        <v>-4098.07</v>
      </c>
      <c r="M92" s="2"/>
      <c r="N92" s="6">
        <f t="shared" si="66"/>
        <v>-0.66261633584922741</v>
      </c>
      <c r="O92" s="11"/>
      <c r="P92" s="7">
        <v>10849.16</v>
      </c>
      <c r="Q92" s="2"/>
      <c r="R92" s="6">
        <f t="shared" si="67"/>
        <v>1.3060044526041734E-2</v>
      </c>
      <c r="S92" s="2"/>
      <c r="T92" s="7">
        <v>47599.689999999995</v>
      </c>
      <c r="U92" s="2"/>
      <c r="V92" s="6">
        <f t="shared" si="68"/>
        <v>5.1819501337734579E-3</v>
      </c>
      <c r="W92" s="2"/>
      <c r="X92" s="7">
        <f t="shared" si="69"/>
        <v>-36750.53</v>
      </c>
      <c r="Y92" s="2"/>
      <c r="Z92" s="6">
        <f t="shared" si="70"/>
        <v>-0.77207498620264126</v>
      </c>
    </row>
    <row r="93" spans="1:26" s="25" customFormat="1" outlineLevel="1" collapsed="1" x14ac:dyDescent="0.25">
      <c r="A93" s="26"/>
      <c r="B93" s="13" t="str">
        <f>CONCATENATE("     ","Subscriptions &amp; Dues                              ")</f>
        <v xml:space="preserve">     Subscriptions &amp; Dues                              </v>
      </c>
      <c r="C93" s="13"/>
      <c r="D93" s="1">
        <f>SUM(OSRRefD22_19x_0)</f>
        <v>262.83999999999997</v>
      </c>
      <c r="E93" s="1"/>
      <c r="F93" s="5">
        <f t="shared" ref="F93:F95" si="71">IF(D$12=0,0,D93/D$12)</f>
        <v>1.6714899109329389E-3</v>
      </c>
      <c r="G93" s="1"/>
      <c r="H93" s="1">
        <f>SUM(OSRRefH22_19x_0)</f>
        <v>4123.42</v>
      </c>
      <c r="I93" s="1"/>
      <c r="J93" s="5">
        <f t="shared" ref="J93:J95" si="72">IF(H$12=0,0,H93/H$12)</f>
        <v>3.3644043277351581E-3</v>
      </c>
      <c r="K93" s="1"/>
      <c r="L93" s="1">
        <f t="shared" ref="L93:L95" si="73">+D93-H93</f>
        <v>-3860.58</v>
      </c>
      <c r="M93" s="1"/>
      <c r="N93" s="5">
        <f t="shared" ref="N93:N95" si="74">IF(H93=0,0,L93/H93)</f>
        <v>-0.93625679654267568</v>
      </c>
      <c r="O93" s="13"/>
      <c r="P93" s="1">
        <f>SUM(OSRRefP22_19x_0)</f>
        <v>1329.17</v>
      </c>
      <c r="Q93" s="1"/>
      <c r="R93" s="5">
        <f t="shared" ref="R93:R95" si="75">IF(P$12=0,0,P93/P$12)</f>
        <v>1.6000334940842328E-3</v>
      </c>
      <c r="S93" s="1"/>
      <c r="T93" s="1">
        <f>SUM(OSRRefT22_19x_0)</f>
        <v>6274.6</v>
      </c>
      <c r="U93" s="1"/>
      <c r="V93" s="5">
        <f t="shared" ref="V93:V95" si="76">IF(T$12=0,0,T93/T$12)</f>
        <v>6.8308563163699059E-4</v>
      </c>
      <c r="W93" s="1"/>
      <c r="X93" s="1">
        <f t="shared" ref="X93:X95" si="77">+P93-T93</f>
        <v>-4945.43</v>
      </c>
      <c r="Y93" s="1"/>
      <c r="Z93" s="5">
        <f t="shared" ref="Z93:Z95" si="78">IF(T93=0,0,X93/T93)</f>
        <v>-0.78816657635546494</v>
      </c>
    </row>
    <row r="94" spans="1:26" s="24" customFormat="1" hidden="1" outlineLevel="2" x14ac:dyDescent="0.25">
      <c r="A94" s="27"/>
      <c r="B94" s="11" t="str">
        <f>CONCATENATE("          ", "6258", " - ", "MEMBERSHIP DUES")</f>
        <v xml:space="preserve">          6258 - MEMBERSHIP DUES</v>
      </c>
      <c r="C94" s="11"/>
      <c r="D94" s="7"/>
      <c r="E94" s="2"/>
      <c r="F94" s="6">
        <f t="shared" si="71"/>
        <v>0</v>
      </c>
      <c r="G94" s="2"/>
      <c r="H94" s="7">
        <v>3730</v>
      </c>
      <c r="I94" s="2"/>
      <c r="J94" s="6">
        <f t="shared" si="72"/>
        <v>3.0434028409553576E-3</v>
      </c>
      <c r="K94" s="2"/>
      <c r="L94" s="7">
        <f t="shared" si="73"/>
        <v>-3730</v>
      </c>
      <c r="M94" s="2"/>
      <c r="N94" s="6">
        <f t="shared" si="74"/>
        <v>-1</v>
      </c>
      <c r="O94" s="11"/>
      <c r="P94" s="7">
        <v>795</v>
      </c>
      <c r="Q94" s="2"/>
      <c r="R94" s="6">
        <f t="shared" si="75"/>
        <v>9.5700822904291015E-4</v>
      </c>
      <c r="S94" s="2"/>
      <c r="T94" s="7">
        <v>3730</v>
      </c>
      <c r="U94" s="2"/>
      <c r="V94" s="6">
        <f t="shared" si="76"/>
        <v>4.0606722436585193E-4</v>
      </c>
      <c r="W94" s="2"/>
      <c r="X94" s="7">
        <f t="shared" si="77"/>
        <v>-2935</v>
      </c>
      <c r="Y94" s="2"/>
      <c r="Z94" s="6">
        <f t="shared" si="78"/>
        <v>-0.78686327077747986</v>
      </c>
    </row>
    <row r="95" spans="1:26" s="24" customFormat="1" hidden="1" outlineLevel="2" x14ac:dyDescent="0.25">
      <c r="A95" s="27"/>
      <c r="B95" s="11" t="str">
        <f>CONCATENATE("          ", "6275", " - ", "SUBSCRIPTIONS")</f>
        <v xml:space="preserve">          6275 - SUBSCRIPTIONS</v>
      </c>
      <c r="C95" s="11"/>
      <c r="D95" s="7">
        <v>262.83999999999997</v>
      </c>
      <c r="E95" s="2"/>
      <c r="F95" s="6">
        <f t="shared" si="71"/>
        <v>1.6714899109329389E-3</v>
      </c>
      <c r="G95" s="2"/>
      <c r="H95" s="7">
        <v>393.42</v>
      </c>
      <c r="I95" s="2"/>
      <c r="J95" s="6">
        <f t="shared" si="72"/>
        <v>3.2100148677980072E-4</v>
      </c>
      <c r="K95" s="2"/>
      <c r="L95" s="7">
        <f t="shared" si="73"/>
        <v>-130.58000000000004</v>
      </c>
      <c r="M95" s="2"/>
      <c r="N95" s="6">
        <f t="shared" si="74"/>
        <v>-0.33190991815362725</v>
      </c>
      <c r="O95" s="11"/>
      <c r="P95" s="7">
        <v>534.16999999999996</v>
      </c>
      <c r="Q95" s="2"/>
      <c r="R95" s="6">
        <f t="shared" si="75"/>
        <v>6.4302526504132242E-4</v>
      </c>
      <c r="S95" s="2"/>
      <c r="T95" s="7">
        <v>2544.6</v>
      </c>
      <c r="U95" s="2"/>
      <c r="V95" s="6">
        <f t="shared" si="76"/>
        <v>2.7701840727113855E-4</v>
      </c>
      <c r="W95" s="2"/>
      <c r="X95" s="7">
        <f t="shared" si="77"/>
        <v>-2010.4299999999998</v>
      </c>
      <c r="Y95" s="2"/>
      <c r="Z95" s="6">
        <f t="shared" si="78"/>
        <v>-0.79007702585868111</v>
      </c>
    </row>
    <row r="96" spans="1:26" s="25" customFormat="1" outlineLevel="1" collapsed="1" x14ac:dyDescent="0.25">
      <c r="A96" s="26"/>
      <c r="B96" s="13" t="str">
        <f>CONCATENATE("     ","Supplies                                          ")</f>
        <v xml:space="preserve">     Supplies                                          </v>
      </c>
      <c r="C96" s="13"/>
      <c r="D96" s="1">
        <f>SUM(OSRRefD22_20x_0)</f>
        <v>13761.939999999999</v>
      </c>
      <c r="E96" s="1"/>
      <c r="F96" s="5">
        <f t="shared" ref="F96:F105" si="79">IF(D$12=0,0,D96/D$12)</f>
        <v>8.7516907110274114E-2</v>
      </c>
      <c r="G96" s="1"/>
      <c r="H96" s="1">
        <f>SUM(OSRRefH22_20x_0)</f>
        <v>22929.22</v>
      </c>
      <c r="I96" s="1"/>
      <c r="J96" s="5">
        <f t="shared" ref="J96:J105" si="80">IF(H$12=0,0,H96/H$12)</f>
        <v>1.8708539755734693E-2</v>
      </c>
      <c r="K96" s="1"/>
      <c r="L96" s="1">
        <f t="shared" ref="L96:L105" si="81">+D96-H96</f>
        <v>-9167.2800000000025</v>
      </c>
      <c r="M96" s="1"/>
      <c r="N96" s="5">
        <f t="shared" ref="N96:N105" si="82">IF(H96=0,0,L96/H96)</f>
        <v>-0.39980775621674014</v>
      </c>
      <c r="O96" s="13"/>
      <c r="P96" s="1">
        <f>SUM(OSRRefP22_20x_0)</f>
        <v>68194.460000000006</v>
      </c>
      <c r="Q96" s="1"/>
      <c r="R96" s="5">
        <f t="shared" ref="R96:R105" si="83">IF(P$12=0,0,P96/P$12)</f>
        <v>8.2091395465581862E-2</v>
      </c>
      <c r="S96" s="1"/>
      <c r="T96" s="1">
        <f>SUM(OSRRefT22_20x_0)</f>
        <v>251002.27999999997</v>
      </c>
      <c r="U96" s="1"/>
      <c r="V96" s="5">
        <f t="shared" ref="V96:V105" si="84">IF(T$12=0,0,T96/T$12)</f>
        <v>2.7325415321474634E-2</v>
      </c>
      <c r="W96" s="1"/>
      <c r="X96" s="1">
        <f t="shared" ref="X96:X105" si="85">+P96-T96</f>
        <v>-182807.81999999995</v>
      </c>
      <c r="Y96" s="1"/>
      <c r="Z96" s="5">
        <f t="shared" ref="Z96:Z105" si="86">IF(T96=0,0,X96/T96)</f>
        <v>-0.72831139223117802</v>
      </c>
    </row>
    <row r="97" spans="1:26" s="24" customFormat="1" hidden="1" outlineLevel="2" x14ac:dyDescent="0.25">
      <c r="A97" s="27"/>
      <c r="B97" s="11" t="str">
        <f>CONCATENATE("          ", "6234", " - ", "EXPENDABLE SUPPLIES &amp; EQUIPMEN")</f>
        <v xml:space="preserve">          6234 - EXPENDABLE SUPPLIES &amp; EQUIPMEN</v>
      </c>
      <c r="C97" s="11"/>
      <c r="D97" s="7"/>
      <c r="E97" s="2"/>
      <c r="F97" s="6">
        <f t="shared" si="79"/>
        <v>0</v>
      </c>
      <c r="G97" s="2"/>
      <c r="H97" s="7"/>
      <c r="I97" s="2"/>
      <c r="J97" s="6">
        <f t="shared" si="80"/>
        <v>0</v>
      </c>
      <c r="K97" s="2"/>
      <c r="L97" s="7">
        <f t="shared" si="81"/>
        <v>0</v>
      </c>
      <c r="M97" s="2"/>
      <c r="N97" s="6">
        <f t="shared" si="82"/>
        <v>0</v>
      </c>
      <c r="O97" s="11"/>
      <c r="P97" s="7">
        <v>310.91000000000003</v>
      </c>
      <c r="Q97" s="2"/>
      <c r="R97" s="6">
        <f t="shared" si="83"/>
        <v>3.7426846351161161E-4</v>
      </c>
      <c r="S97" s="2"/>
      <c r="T97" s="7">
        <v>12302.72</v>
      </c>
      <c r="U97" s="2"/>
      <c r="V97" s="6">
        <f t="shared" si="84"/>
        <v>1.3393381669035533E-3</v>
      </c>
      <c r="W97" s="2"/>
      <c r="X97" s="7">
        <f t="shared" si="85"/>
        <v>-11991.81</v>
      </c>
      <c r="Y97" s="2"/>
      <c r="Z97" s="6">
        <f t="shared" si="86"/>
        <v>-0.97472835275451286</v>
      </c>
    </row>
    <row r="98" spans="1:26" s="24" customFormat="1" hidden="1" outlineLevel="2" x14ac:dyDescent="0.25">
      <c r="A98" s="27"/>
      <c r="B98" s="11" t="str">
        <f>CONCATENATE("          ", "6235", " - ", "COVID-19 EXPENSES")</f>
        <v xml:space="preserve">          6235 - COVID-19 EXPENSES</v>
      </c>
      <c r="C98" s="11"/>
      <c r="D98" s="7">
        <v>4714.9799999999996</v>
      </c>
      <c r="E98" s="2"/>
      <c r="F98" s="6">
        <f t="shared" si="79"/>
        <v>2.998417858868737E-2</v>
      </c>
      <c r="G98" s="2"/>
      <c r="H98" s="7"/>
      <c r="I98" s="2"/>
      <c r="J98" s="6">
        <f t="shared" si="80"/>
        <v>0</v>
      </c>
      <c r="K98" s="2"/>
      <c r="L98" s="7">
        <f t="shared" si="81"/>
        <v>4714.9799999999996</v>
      </c>
      <c r="M98" s="2"/>
      <c r="N98" s="6">
        <f t="shared" si="82"/>
        <v>0</v>
      </c>
      <c r="O98" s="11"/>
      <c r="P98" s="7">
        <v>54609.009999999995</v>
      </c>
      <c r="Q98" s="2"/>
      <c r="R98" s="6">
        <f t="shared" si="83"/>
        <v>6.573744899356801E-2</v>
      </c>
      <c r="S98" s="2"/>
      <c r="T98" s="7"/>
      <c r="U98" s="2"/>
      <c r="V98" s="6">
        <f t="shared" si="84"/>
        <v>0</v>
      </c>
      <c r="W98" s="2"/>
      <c r="X98" s="7">
        <f t="shared" si="85"/>
        <v>54609.009999999995</v>
      </c>
      <c r="Y98" s="2"/>
      <c r="Z98" s="6">
        <f t="shared" si="86"/>
        <v>0</v>
      </c>
    </row>
    <row r="99" spans="1:26" s="24" customFormat="1" hidden="1" outlineLevel="2" x14ac:dyDescent="0.25">
      <c r="A99" s="27"/>
      <c r="B99" s="11" t="str">
        <f>CONCATENATE("          ", "6237", " - ", "JANITORIAL SUPPLIES")</f>
        <v xml:space="preserve">          6237 - JANITORIAL SUPPLIES</v>
      </c>
      <c r="C99" s="11"/>
      <c r="D99" s="7">
        <v>4801.05</v>
      </c>
      <c r="E99" s="2"/>
      <c r="F99" s="6">
        <f t="shared" si="79"/>
        <v>3.0531527305146047E-2</v>
      </c>
      <c r="G99" s="2"/>
      <c r="H99" s="7">
        <v>10587.19</v>
      </c>
      <c r="I99" s="2"/>
      <c r="J99" s="6">
        <f t="shared" si="80"/>
        <v>8.6383603548885121E-3</v>
      </c>
      <c r="K99" s="2"/>
      <c r="L99" s="7">
        <f t="shared" si="81"/>
        <v>-5786.14</v>
      </c>
      <c r="M99" s="2"/>
      <c r="N99" s="6">
        <f t="shared" si="82"/>
        <v>-0.5465227317163478</v>
      </c>
      <c r="O99" s="11"/>
      <c r="P99" s="7">
        <v>13423.36</v>
      </c>
      <c r="Q99" s="2"/>
      <c r="R99" s="6">
        <f t="shared" si="83"/>
        <v>1.615882513384332E-2</v>
      </c>
      <c r="S99" s="2"/>
      <c r="T99" s="7">
        <v>80188.67</v>
      </c>
      <c r="U99" s="2"/>
      <c r="V99" s="6">
        <f t="shared" si="84"/>
        <v>8.7297562071016778E-3</v>
      </c>
      <c r="W99" s="2"/>
      <c r="X99" s="7">
        <f t="shared" si="85"/>
        <v>-66765.31</v>
      </c>
      <c r="Y99" s="2"/>
      <c r="Z99" s="6">
        <f t="shared" si="86"/>
        <v>-0.83260278540596822</v>
      </c>
    </row>
    <row r="100" spans="1:26" s="24" customFormat="1" hidden="1" outlineLevel="2" x14ac:dyDescent="0.25">
      <c r="A100" s="27"/>
      <c r="B100" s="11" t="str">
        <f>CONCATENATE("          ", "6239", " - ", "KITCHEN SUPPLIES")</f>
        <v xml:space="preserve">          6239 - KITCHEN SUPPLIES</v>
      </c>
      <c r="C100" s="11"/>
      <c r="D100" s="7">
        <v>148.04</v>
      </c>
      <c r="E100" s="2"/>
      <c r="F100" s="6">
        <f t="shared" si="79"/>
        <v>9.4143724857142098E-4</v>
      </c>
      <c r="G100" s="2"/>
      <c r="H100" s="7">
        <v>3255.8</v>
      </c>
      <c r="I100" s="2"/>
      <c r="J100" s="6">
        <f t="shared" si="80"/>
        <v>2.6564908765636603E-3</v>
      </c>
      <c r="K100" s="2"/>
      <c r="L100" s="7">
        <f t="shared" si="81"/>
        <v>-3107.76</v>
      </c>
      <c r="M100" s="2"/>
      <c r="N100" s="6">
        <f t="shared" si="82"/>
        <v>-0.95453037655875672</v>
      </c>
      <c r="O100" s="11"/>
      <c r="P100" s="7">
        <v>5834.38</v>
      </c>
      <c r="Q100" s="2"/>
      <c r="R100" s="6">
        <f t="shared" si="83"/>
        <v>7.0233329199539301E-3</v>
      </c>
      <c r="S100" s="2"/>
      <c r="T100" s="7">
        <v>55062.03</v>
      </c>
      <c r="U100" s="2"/>
      <c r="V100" s="6">
        <f t="shared" si="84"/>
        <v>5.9943393270909572E-3</v>
      </c>
      <c r="W100" s="2"/>
      <c r="X100" s="7">
        <f t="shared" si="85"/>
        <v>-49227.65</v>
      </c>
      <c r="Y100" s="2"/>
      <c r="Z100" s="6">
        <f t="shared" si="86"/>
        <v>-0.89403986740045727</v>
      </c>
    </row>
    <row r="101" spans="1:26" s="24" customFormat="1" hidden="1" outlineLevel="2" x14ac:dyDescent="0.25">
      <c r="A101" s="27"/>
      <c r="B101" s="11" t="str">
        <f>CONCATENATE("          ", "6241", " - ", "OFFICE EXPENSE")</f>
        <v xml:space="preserve">          6241 - OFFICE EXPENSE</v>
      </c>
      <c r="C101" s="11"/>
      <c r="D101" s="7">
        <v>731.4</v>
      </c>
      <c r="E101" s="2"/>
      <c r="F101" s="6">
        <f t="shared" si="79"/>
        <v>4.6512240178677201E-3</v>
      </c>
      <c r="G101" s="2"/>
      <c r="H101" s="7">
        <v>1992.22</v>
      </c>
      <c r="I101" s="2"/>
      <c r="J101" s="6">
        <f t="shared" si="80"/>
        <v>1.6255034873480113E-3</v>
      </c>
      <c r="K101" s="2"/>
      <c r="L101" s="7">
        <f t="shared" si="81"/>
        <v>-1260.8200000000002</v>
      </c>
      <c r="M101" s="2"/>
      <c r="N101" s="6">
        <f t="shared" si="82"/>
        <v>-0.632871871580448</v>
      </c>
      <c r="O101" s="11"/>
      <c r="P101" s="7">
        <v>-25829.95</v>
      </c>
      <c r="Q101" s="2"/>
      <c r="R101" s="6">
        <f t="shared" si="83"/>
        <v>-3.1093678875178513E-2</v>
      </c>
      <c r="S101" s="2"/>
      <c r="T101" s="7">
        <v>41238.550000000003</v>
      </c>
      <c r="U101" s="2"/>
      <c r="V101" s="6">
        <f t="shared" si="84"/>
        <v>4.4894433070703501E-3</v>
      </c>
      <c r="W101" s="2"/>
      <c r="X101" s="7">
        <f t="shared" si="85"/>
        <v>-67068.5</v>
      </c>
      <c r="Y101" s="2"/>
      <c r="Z101" s="6">
        <f t="shared" si="86"/>
        <v>-1.6263544668762602</v>
      </c>
    </row>
    <row r="102" spans="1:26" s="24" customFormat="1" hidden="1" outlineLevel="2" x14ac:dyDescent="0.25">
      <c r="A102" s="27"/>
      <c r="B102" s="11" t="str">
        <f>CONCATENATE("          ", "6243", " - ", "PAPER SUPPLIES")</f>
        <v xml:space="preserve">          6243 - PAPER SUPPLIES</v>
      </c>
      <c r="C102" s="11"/>
      <c r="D102" s="7">
        <v>3366.47</v>
      </c>
      <c r="E102" s="2"/>
      <c r="F102" s="6">
        <f t="shared" si="79"/>
        <v>2.1408539950001564E-2</v>
      </c>
      <c r="G102" s="2"/>
      <c r="H102" s="7">
        <v>6593.33</v>
      </c>
      <c r="I102" s="2"/>
      <c r="J102" s="6">
        <f t="shared" si="80"/>
        <v>5.3796673601491114E-3</v>
      </c>
      <c r="K102" s="2"/>
      <c r="L102" s="7">
        <f t="shared" si="81"/>
        <v>-3226.86</v>
      </c>
      <c r="M102" s="2"/>
      <c r="N102" s="6">
        <f t="shared" si="82"/>
        <v>-0.48941278534518978</v>
      </c>
      <c r="O102" s="11"/>
      <c r="P102" s="7">
        <v>15346.16</v>
      </c>
      <c r="Q102" s="2"/>
      <c r="R102" s="6">
        <f t="shared" si="83"/>
        <v>1.8473460885797668E-2</v>
      </c>
      <c r="S102" s="2"/>
      <c r="T102" s="7">
        <v>56679.219999999994</v>
      </c>
      <c r="U102" s="2"/>
      <c r="V102" s="6">
        <f t="shared" si="84"/>
        <v>6.170395052177341E-3</v>
      </c>
      <c r="W102" s="2"/>
      <c r="X102" s="7">
        <f t="shared" si="85"/>
        <v>-41333.06</v>
      </c>
      <c r="Y102" s="2"/>
      <c r="Z102" s="6">
        <f t="shared" si="86"/>
        <v>-0.72924539187377668</v>
      </c>
    </row>
    <row r="103" spans="1:26" s="24" customFormat="1" hidden="1" outlineLevel="2" x14ac:dyDescent="0.25">
      <c r="A103" s="27"/>
      <c r="B103" s="11" t="str">
        <f>CONCATENATE("          ", "6245", " - ", "PRINTING")</f>
        <v xml:space="preserve">          6245 - PRINTING</v>
      </c>
      <c r="C103" s="11"/>
      <c r="D103" s="7"/>
      <c r="E103" s="2"/>
      <c r="F103" s="6">
        <f t="shared" si="79"/>
        <v>0</v>
      </c>
      <c r="G103" s="2"/>
      <c r="H103" s="7"/>
      <c r="I103" s="2"/>
      <c r="J103" s="6">
        <f t="shared" si="80"/>
        <v>0</v>
      </c>
      <c r="K103" s="2"/>
      <c r="L103" s="7">
        <f t="shared" si="81"/>
        <v>0</v>
      </c>
      <c r="M103" s="2"/>
      <c r="N103" s="6">
        <f t="shared" si="82"/>
        <v>0</v>
      </c>
      <c r="O103" s="11"/>
      <c r="P103" s="7"/>
      <c r="Q103" s="2"/>
      <c r="R103" s="6">
        <f t="shared" si="83"/>
        <v>0</v>
      </c>
      <c r="S103" s="2"/>
      <c r="T103" s="7">
        <v>1622.34</v>
      </c>
      <c r="U103" s="2"/>
      <c r="V103" s="6">
        <f t="shared" si="84"/>
        <v>1.7661638090554858E-4</v>
      </c>
      <c r="W103" s="2"/>
      <c r="X103" s="7">
        <f t="shared" si="85"/>
        <v>-1622.34</v>
      </c>
      <c r="Y103" s="2"/>
      <c r="Z103" s="6">
        <f t="shared" si="86"/>
        <v>-1</v>
      </c>
    </row>
    <row r="104" spans="1:26" s="24" customFormat="1" hidden="1" outlineLevel="2" x14ac:dyDescent="0.25">
      <c r="A104" s="27"/>
      <c r="B104" s="11" t="str">
        <f>CONCATENATE("          ", "6247", " - ", "STORE SUPPLIES")</f>
        <v xml:space="preserve">          6247 - STORE SUPPLIES</v>
      </c>
      <c r="C104" s="11"/>
      <c r="D104" s="7"/>
      <c r="E104" s="2"/>
      <c r="F104" s="6">
        <f t="shared" si="79"/>
        <v>0</v>
      </c>
      <c r="G104" s="2"/>
      <c r="H104" s="7">
        <v>500.68</v>
      </c>
      <c r="I104" s="2"/>
      <c r="J104" s="6">
        <f t="shared" si="80"/>
        <v>4.0851767678539634E-4</v>
      </c>
      <c r="K104" s="2"/>
      <c r="L104" s="7">
        <f t="shared" si="81"/>
        <v>-500.68</v>
      </c>
      <c r="M104" s="2"/>
      <c r="N104" s="6">
        <f t="shared" si="82"/>
        <v>-1</v>
      </c>
      <c r="O104" s="11"/>
      <c r="P104" s="7"/>
      <c r="Q104" s="2"/>
      <c r="R104" s="6">
        <f t="shared" si="83"/>
        <v>0</v>
      </c>
      <c r="S104" s="2"/>
      <c r="T104" s="7">
        <v>4060.35</v>
      </c>
      <c r="U104" s="2"/>
      <c r="V104" s="6">
        <f t="shared" si="84"/>
        <v>4.4203084569809304E-4</v>
      </c>
      <c r="W104" s="2"/>
      <c r="X104" s="7">
        <f t="shared" si="85"/>
        <v>-4060.35</v>
      </c>
      <c r="Y104" s="2"/>
      <c r="Z104" s="6">
        <f t="shared" si="86"/>
        <v>-1</v>
      </c>
    </row>
    <row r="105" spans="1:26" s="24" customFormat="1" hidden="1" outlineLevel="2" x14ac:dyDescent="0.25">
      <c r="A105" s="27"/>
      <c r="B105" s="11" t="str">
        <f>CONCATENATE("          ", "6248", " - ", "UNIFORMS")</f>
        <v xml:space="preserve">          6248 - UNIFORMS</v>
      </c>
      <c r="C105" s="11"/>
      <c r="D105" s="7"/>
      <c r="E105" s="2"/>
      <c r="F105" s="6">
        <f t="shared" si="79"/>
        <v>0</v>
      </c>
      <c r="G105" s="2"/>
      <c r="H105" s="7"/>
      <c r="I105" s="2"/>
      <c r="J105" s="6">
        <f t="shared" si="80"/>
        <v>0</v>
      </c>
      <c r="K105" s="2"/>
      <c r="L105" s="7">
        <f t="shared" si="81"/>
        <v>0</v>
      </c>
      <c r="M105" s="2"/>
      <c r="N105" s="6">
        <f t="shared" si="82"/>
        <v>0</v>
      </c>
      <c r="O105" s="11"/>
      <c r="P105" s="7">
        <v>4500.59</v>
      </c>
      <c r="Q105" s="2"/>
      <c r="R105" s="6">
        <f t="shared" si="83"/>
        <v>5.4177379440858257E-3</v>
      </c>
      <c r="S105" s="2"/>
      <c r="T105" s="7">
        <v>-151.6</v>
      </c>
      <c r="U105" s="2"/>
      <c r="V105" s="6">
        <f t="shared" si="84"/>
        <v>-1.6503965472885563E-5</v>
      </c>
      <c r="W105" s="2"/>
      <c r="X105" s="7">
        <f t="shared" si="85"/>
        <v>4652.1900000000005</v>
      </c>
      <c r="Y105" s="2"/>
      <c r="Z105" s="6">
        <f t="shared" si="86"/>
        <v>-30.687269129287603</v>
      </c>
    </row>
    <row r="106" spans="1:26" s="25" customFormat="1" outlineLevel="1" collapsed="1" x14ac:dyDescent="0.25">
      <c r="A106" s="26"/>
      <c r="B106" s="13" t="str">
        <f>CONCATENATE("     ","Telephone/Data Lines                              ")</f>
        <v xml:space="preserve">     Telephone/Data Lines                              </v>
      </c>
      <c r="C106" s="13"/>
      <c r="D106" s="1">
        <f>SUM(OSRRefD22_21x_0)</f>
        <v>1091.0999999999999</v>
      </c>
      <c r="E106" s="1"/>
      <c r="F106" s="5">
        <f t="shared" ref="F106:F113" si="87">IF(D$12=0,0,D106/D$12)</f>
        <v>6.9386799643088174E-3</v>
      </c>
      <c r="G106" s="1"/>
      <c r="H106" s="1">
        <f>SUM(OSRRefH22_21x_0)</f>
        <v>2651.34</v>
      </c>
      <c r="I106" s="1"/>
      <c r="J106" s="5">
        <f t="shared" ref="J106:J113" si="88">IF(H$12=0,0,H106/H$12)</f>
        <v>2.1632964311899673E-3</v>
      </c>
      <c r="K106" s="1"/>
      <c r="L106" s="1">
        <f t="shared" ref="L106:L113" si="89">+D106-H106</f>
        <v>-1560.2400000000002</v>
      </c>
      <c r="M106" s="1"/>
      <c r="N106" s="5">
        <f t="shared" ref="N106:N113" si="90">IF(H106=0,0,L106/H106)</f>
        <v>-0.58847224422367561</v>
      </c>
      <c r="O106" s="13"/>
      <c r="P106" s="1">
        <f>SUM(OSRRefP22_21x_0)</f>
        <v>8434.59</v>
      </c>
      <c r="Q106" s="1"/>
      <c r="R106" s="5">
        <f t="shared" ref="R106:R113" si="91">IF(P$12=0,0,P106/P$12)</f>
        <v>1.0153423947928352E-2</v>
      </c>
      <c r="S106" s="1"/>
      <c r="T106" s="1">
        <f>SUM(OSRRefT22_21x_0)</f>
        <v>14189.57</v>
      </c>
      <c r="U106" s="1"/>
      <c r="V106" s="5">
        <f t="shared" ref="V106:V113" si="92">IF(T$12=0,0,T106/T$12)</f>
        <v>1.5447504838726439E-3</v>
      </c>
      <c r="W106" s="1"/>
      <c r="X106" s="1">
        <f t="shared" ref="X106:X113" si="93">+P106-T106</f>
        <v>-5754.98</v>
      </c>
      <c r="Y106" s="1"/>
      <c r="Z106" s="5">
        <f t="shared" ref="Z106:Z113" si="94">IF(T106=0,0,X106/T106)</f>
        <v>-0.40557818172079912</v>
      </c>
    </row>
    <row r="107" spans="1:26" s="24" customFormat="1" hidden="1" outlineLevel="2" x14ac:dyDescent="0.25">
      <c r="A107" s="27"/>
      <c r="B107" s="11" t="str">
        <f>CONCATENATE("          ", "6309", " - ", "TELEPHONE")</f>
        <v xml:space="preserve">          6309 - TELEPHONE</v>
      </c>
      <c r="C107" s="11"/>
      <c r="D107" s="7">
        <v>1091.0999999999999</v>
      </c>
      <c r="E107" s="2"/>
      <c r="F107" s="6">
        <f t="shared" si="87"/>
        <v>6.9386799643088174E-3</v>
      </c>
      <c r="G107" s="2"/>
      <c r="H107" s="7">
        <v>2651.34</v>
      </c>
      <c r="I107" s="2"/>
      <c r="J107" s="6">
        <f t="shared" si="88"/>
        <v>2.1632964311899673E-3</v>
      </c>
      <c r="K107" s="2"/>
      <c r="L107" s="7">
        <f t="shared" si="89"/>
        <v>-1560.2400000000002</v>
      </c>
      <c r="M107" s="2"/>
      <c r="N107" s="6">
        <f t="shared" si="90"/>
        <v>-0.58847224422367561</v>
      </c>
      <c r="O107" s="11"/>
      <c r="P107" s="7">
        <v>8434.59</v>
      </c>
      <c r="Q107" s="2"/>
      <c r="R107" s="6">
        <f t="shared" si="91"/>
        <v>1.0153423947928352E-2</v>
      </c>
      <c r="S107" s="2"/>
      <c r="T107" s="7">
        <v>14189.57</v>
      </c>
      <c r="U107" s="2"/>
      <c r="V107" s="6">
        <f t="shared" si="92"/>
        <v>1.5447504838726439E-3</v>
      </c>
      <c r="W107" s="2"/>
      <c r="X107" s="7">
        <f t="shared" si="93"/>
        <v>-5754.98</v>
      </c>
      <c r="Y107" s="2"/>
      <c r="Z107" s="6">
        <f t="shared" si="94"/>
        <v>-0.40557818172079912</v>
      </c>
    </row>
    <row r="108" spans="1:26" s="25" customFormat="1" outlineLevel="1" collapsed="1" x14ac:dyDescent="0.25">
      <c r="A108" s="26"/>
      <c r="B108" s="13" t="str">
        <f>CONCATENATE("     ","Training                                          ")</f>
        <v xml:space="preserve">     Training                                          </v>
      </c>
      <c r="C108" s="13"/>
      <c r="D108" s="1">
        <f>SUM(OSRRefD22_22x_0)</f>
        <v>0</v>
      </c>
      <c r="E108" s="1"/>
      <c r="F108" s="5">
        <f t="shared" si="87"/>
        <v>0</v>
      </c>
      <c r="G108" s="1"/>
      <c r="H108" s="1">
        <f>SUM(OSRRefH22_22x_0)</f>
        <v>1663.1</v>
      </c>
      <c r="I108" s="1"/>
      <c r="J108" s="5">
        <f t="shared" si="88"/>
        <v>1.3569660227326689E-3</v>
      </c>
      <c r="K108" s="1"/>
      <c r="L108" s="1">
        <f t="shared" si="89"/>
        <v>-1663.1</v>
      </c>
      <c r="M108" s="1"/>
      <c r="N108" s="5">
        <f t="shared" si="90"/>
        <v>-1</v>
      </c>
      <c r="O108" s="13"/>
      <c r="P108" s="1">
        <f>SUM(OSRRefP22_22x_0)</f>
        <v>1135</v>
      </c>
      <c r="Q108" s="1"/>
      <c r="R108" s="5">
        <f t="shared" si="91"/>
        <v>1.366294767249941E-3</v>
      </c>
      <c r="S108" s="1"/>
      <c r="T108" s="1">
        <f>SUM(OSRRefT22_22x_0)</f>
        <v>7572.87</v>
      </c>
      <c r="U108" s="1"/>
      <c r="V108" s="5">
        <f t="shared" si="92"/>
        <v>8.2442206471405606E-4</v>
      </c>
      <c r="W108" s="1"/>
      <c r="X108" s="1">
        <f t="shared" si="93"/>
        <v>-6437.87</v>
      </c>
      <c r="Y108" s="1"/>
      <c r="Z108" s="5">
        <f t="shared" si="94"/>
        <v>-0.85012287283420951</v>
      </c>
    </row>
    <row r="109" spans="1:26" s="24" customFormat="1" hidden="1" outlineLevel="2" x14ac:dyDescent="0.25">
      <c r="A109" s="27"/>
      <c r="B109" s="11" t="str">
        <f>CONCATENATE("          ", "6376", " - ", "TRAINING")</f>
        <v xml:space="preserve">          6376 - TRAINING</v>
      </c>
      <c r="C109" s="11"/>
      <c r="D109" s="7"/>
      <c r="E109" s="2"/>
      <c r="F109" s="6">
        <f t="shared" si="87"/>
        <v>0</v>
      </c>
      <c r="G109" s="2"/>
      <c r="H109" s="7">
        <v>1663.1</v>
      </c>
      <c r="I109" s="2"/>
      <c r="J109" s="6">
        <f t="shared" si="88"/>
        <v>1.3569660227326689E-3</v>
      </c>
      <c r="K109" s="2"/>
      <c r="L109" s="7">
        <f t="shared" si="89"/>
        <v>-1663.1</v>
      </c>
      <c r="M109" s="2"/>
      <c r="N109" s="6">
        <f t="shared" si="90"/>
        <v>-1</v>
      </c>
      <c r="O109" s="11"/>
      <c r="P109" s="7">
        <v>1135</v>
      </c>
      <c r="Q109" s="2"/>
      <c r="R109" s="6">
        <f t="shared" si="91"/>
        <v>1.366294767249941E-3</v>
      </c>
      <c r="S109" s="2"/>
      <c r="T109" s="7">
        <v>7572.87</v>
      </c>
      <c r="U109" s="2"/>
      <c r="V109" s="6">
        <f t="shared" si="92"/>
        <v>8.2442206471405606E-4</v>
      </c>
      <c r="W109" s="2"/>
      <c r="X109" s="7">
        <f t="shared" si="93"/>
        <v>-6437.87</v>
      </c>
      <c r="Y109" s="2"/>
      <c r="Z109" s="6">
        <f t="shared" si="94"/>
        <v>-0.85012287283420951</v>
      </c>
    </row>
    <row r="110" spans="1:26" s="25" customFormat="1" outlineLevel="1" collapsed="1" x14ac:dyDescent="0.25">
      <c r="A110" s="26"/>
      <c r="B110" s="13" t="str">
        <f>CONCATENATE("     ","Travel                                            ")</f>
        <v xml:space="preserve">     Travel                                            </v>
      </c>
      <c r="C110" s="13"/>
      <c r="D110" s="1">
        <f>SUM(OSRRefD22_23x_0)</f>
        <v>0</v>
      </c>
      <c r="E110" s="1"/>
      <c r="F110" s="5">
        <f t="shared" si="87"/>
        <v>0</v>
      </c>
      <c r="G110" s="1"/>
      <c r="H110" s="1">
        <f>SUM(OSRRefH22_23x_0)</f>
        <v>1273.6300000000001</v>
      </c>
      <c r="I110" s="1"/>
      <c r="J110" s="5">
        <f t="shared" si="88"/>
        <v>1.0391874424466414E-3</v>
      </c>
      <c r="K110" s="1"/>
      <c r="L110" s="1">
        <f t="shared" si="89"/>
        <v>-1273.6300000000001</v>
      </c>
      <c r="M110" s="1"/>
      <c r="N110" s="5">
        <f t="shared" si="90"/>
        <v>-1</v>
      </c>
      <c r="O110" s="13"/>
      <c r="P110" s="1">
        <f>SUM(OSRRefP22_23x_0)</f>
        <v>332.21</v>
      </c>
      <c r="Q110" s="1"/>
      <c r="R110" s="5">
        <f t="shared" si="91"/>
        <v>3.9990906134634613E-4</v>
      </c>
      <c r="S110" s="1"/>
      <c r="T110" s="1">
        <f>SUM(OSRRefT22_23x_0)</f>
        <v>4683.1000000000004</v>
      </c>
      <c r="U110" s="1"/>
      <c r="V110" s="5">
        <f t="shared" si="92"/>
        <v>5.0982665373397354E-4</v>
      </c>
      <c r="W110" s="1"/>
      <c r="X110" s="1">
        <f t="shared" si="93"/>
        <v>-4350.8900000000003</v>
      </c>
      <c r="Y110" s="1"/>
      <c r="Z110" s="5">
        <f t="shared" si="94"/>
        <v>-0.92906194614678306</v>
      </c>
    </row>
    <row r="111" spans="1:26" s="24" customFormat="1" hidden="1" outlineLevel="2" x14ac:dyDescent="0.25">
      <c r="A111" s="27"/>
      <c r="B111" s="11" t="str">
        <f>CONCATENATE("          ", "6292", " - ", "TRAVEL/CONFERENCE")</f>
        <v xml:space="preserve">          6292 - TRAVEL/CONFERENCE</v>
      </c>
      <c r="C111" s="11"/>
      <c r="D111" s="7"/>
      <c r="E111" s="2"/>
      <c r="F111" s="6">
        <f t="shared" si="87"/>
        <v>0</v>
      </c>
      <c r="G111" s="2"/>
      <c r="H111" s="7">
        <v>1158.95</v>
      </c>
      <c r="I111" s="2"/>
      <c r="J111" s="6">
        <f t="shared" si="88"/>
        <v>9.4561708378692005E-4</v>
      </c>
      <c r="K111" s="2"/>
      <c r="L111" s="7">
        <f t="shared" si="89"/>
        <v>-1158.95</v>
      </c>
      <c r="M111" s="2"/>
      <c r="N111" s="6">
        <f t="shared" si="90"/>
        <v>-1</v>
      </c>
      <c r="O111" s="11"/>
      <c r="P111" s="7"/>
      <c r="Q111" s="2"/>
      <c r="R111" s="6">
        <f t="shared" si="91"/>
        <v>0</v>
      </c>
      <c r="S111" s="2"/>
      <c r="T111" s="7">
        <v>3864.88</v>
      </c>
      <c r="U111" s="2"/>
      <c r="V111" s="6">
        <f t="shared" si="92"/>
        <v>4.2075096356758554E-4</v>
      </c>
      <c r="W111" s="2"/>
      <c r="X111" s="7">
        <f t="shared" si="93"/>
        <v>-3864.88</v>
      </c>
      <c r="Y111" s="2"/>
      <c r="Z111" s="6">
        <f t="shared" si="94"/>
        <v>-1</v>
      </c>
    </row>
    <row r="112" spans="1:26" s="24" customFormat="1" hidden="1" outlineLevel="2" x14ac:dyDescent="0.25">
      <c r="A112" s="27"/>
      <c r="B112" s="11" t="str">
        <f>CONCATENATE("          ", "6294", " - ", "TRAVEL OPERATIONAL")</f>
        <v xml:space="preserve">          6294 - TRAVEL OPERATIONAL</v>
      </c>
      <c r="C112" s="11"/>
      <c r="D112" s="7"/>
      <c r="E112" s="2"/>
      <c r="F112" s="6">
        <f t="shared" si="87"/>
        <v>0</v>
      </c>
      <c r="G112" s="2"/>
      <c r="H112" s="7"/>
      <c r="I112" s="2"/>
      <c r="J112" s="6">
        <f t="shared" si="88"/>
        <v>0</v>
      </c>
      <c r="K112" s="2"/>
      <c r="L112" s="7">
        <f t="shared" si="89"/>
        <v>0</v>
      </c>
      <c r="M112" s="2"/>
      <c r="N112" s="6">
        <f t="shared" si="90"/>
        <v>0</v>
      </c>
      <c r="O112" s="11"/>
      <c r="P112" s="7"/>
      <c r="Q112" s="2"/>
      <c r="R112" s="6">
        <f t="shared" si="91"/>
        <v>0</v>
      </c>
      <c r="S112" s="2"/>
      <c r="T112" s="7">
        <v>45.49</v>
      </c>
      <c r="U112" s="2"/>
      <c r="V112" s="6">
        <f t="shared" si="92"/>
        <v>4.9522782939417176E-6</v>
      </c>
      <c r="W112" s="2"/>
      <c r="X112" s="7">
        <f t="shared" si="93"/>
        <v>-45.49</v>
      </c>
      <c r="Y112" s="2"/>
      <c r="Z112" s="6">
        <f t="shared" si="94"/>
        <v>-1</v>
      </c>
    </row>
    <row r="113" spans="1:26" s="24" customFormat="1" hidden="1" outlineLevel="2" x14ac:dyDescent="0.25">
      <c r="A113" s="27"/>
      <c r="B113" s="11" t="str">
        <f>CONCATENATE("          ", "6298", " - ", "VEHICLE MILEAGE")</f>
        <v xml:space="preserve">          6298 - VEHICLE MILEAGE</v>
      </c>
      <c r="C113" s="11"/>
      <c r="D113" s="7"/>
      <c r="E113" s="2"/>
      <c r="F113" s="6">
        <f t="shared" si="87"/>
        <v>0</v>
      </c>
      <c r="G113" s="2"/>
      <c r="H113" s="7">
        <v>114.68</v>
      </c>
      <c r="I113" s="2"/>
      <c r="J113" s="6">
        <f t="shared" si="88"/>
        <v>9.3570358659721294E-5</v>
      </c>
      <c r="K113" s="2"/>
      <c r="L113" s="7">
        <f t="shared" si="89"/>
        <v>-114.68</v>
      </c>
      <c r="M113" s="2"/>
      <c r="N113" s="6">
        <f t="shared" si="90"/>
        <v>-1</v>
      </c>
      <c r="O113" s="11"/>
      <c r="P113" s="7">
        <v>332.21</v>
      </c>
      <c r="Q113" s="2"/>
      <c r="R113" s="6">
        <f t="shared" si="91"/>
        <v>3.9990906134634613E-4</v>
      </c>
      <c r="S113" s="2"/>
      <c r="T113" s="7">
        <v>772.73</v>
      </c>
      <c r="U113" s="2"/>
      <c r="V113" s="6">
        <f t="shared" si="92"/>
        <v>8.4123411872446326E-5</v>
      </c>
      <c r="W113" s="2"/>
      <c r="X113" s="7">
        <f t="shared" si="93"/>
        <v>-440.52000000000004</v>
      </c>
      <c r="Y113" s="2"/>
      <c r="Z113" s="6">
        <f t="shared" si="94"/>
        <v>-0.57008269382578658</v>
      </c>
    </row>
    <row r="114" spans="1:26" s="25" customFormat="1" outlineLevel="1" collapsed="1" x14ac:dyDescent="0.25">
      <c r="A114" s="26"/>
      <c r="B114" s="13" t="str">
        <f>CONCATENATE("     ","Utilities                                         ")</f>
        <v xml:space="preserve">     Utilities                                         </v>
      </c>
      <c r="C114" s="13"/>
      <c r="D114" s="1">
        <f>SUM(OSRRefD22_24x_0)</f>
        <v>3660</v>
      </c>
      <c r="E114" s="1"/>
      <c r="F114" s="5">
        <f t="shared" ref="F114:F115" si="95">IF(D$12=0,0,D114/D$12)</f>
        <v>2.3275198120584983E-2</v>
      </c>
      <c r="G114" s="1"/>
      <c r="H114" s="1">
        <f>SUM(OSRRefH22_24x_0)</f>
        <v>38547</v>
      </c>
      <c r="I114" s="1"/>
      <c r="J114" s="5">
        <f t="shared" ref="J114:J115" si="96">IF(H$12=0,0,H114/H$12)</f>
        <v>3.1451487750752322E-2</v>
      </c>
      <c r="K114" s="1"/>
      <c r="L114" s="1">
        <f t="shared" ref="L114:L115" si="97">+D114-H114</f>
        <v>-34887</v>
      </c>
      <c r="M114" s="1"/>
      <c r="N114" s="5">
        <f t="shared" ref="N114:N115" si="98">IF(H114=0,0,L114/H114)</f>
        <v>-0.90505097672970658</v>
      </c>
      <c r="O114" s="13"/>
      <c r="P114" s="1">
        <f>SUM(OSRRefP22_24x_0)</f>
        <v>992</v>
      </c>
      <c r="Q114" s="1"/>
      <c r="R114" s="5">
        <f t="shared" ref="R114:R115" si="99">IF(P$12=0,0,P114/P$12)</f>
        <v>1.1941536644158074E-3</v>
      </c>
      <c r="S114" s="1"/>
      <c r="T114" s="1">
        <f>SUM(OSRRefT22_24x_0)</f>
        <v>96887</v>
      </c>
      <c r="U114" s="1"/>
      <c r="V114" s="5">
        <f t="shared" ref="V114:V115" si="100">IF(T$12=0,0,T114/T$12)</f>
        <v>1.0547623369204905E-2</v>
      </c>
      <c r="W114" s="1"/>
      <c r="X114" s="1">
        <f t="shared" ref="X114:X115" si="101">+P114-T114</f>
        <v>-95895</v>
      </c>
      <c r="Y114" s="1"/>
      <c r="Z114" s="5">
        <f t="shared" ref="Z114:Z115" si="102">IF(T114=0,0,X114/T114)</f>
        <v>-0.98976126828160638</v>
      </c>
    </row>
    <row r="115" spans="1:26" s="24" customFormat="1" hidden="1" outlineLevel="2" x14ac:dyDescent="0.25">
      <c r="A115" s="27"/>
      <c r="B115" s="11" t="str">
        <f>CONCATENATE("          ", "6274", " - ", "UTILITIES")</f>
        <v xml:space="preserve">          6274 - UTILITIES</v>
      </c>
      <c r="C115" s="11"/>
      <c r="D115" s="7">
        <v>3660</v>
      </c>
      <c r="E115" s="2"/>
      <c r="F115" s="6">
        <f t="shared" si="95"/>
        <v>2.3275198120584983E-2</v>
      </c>
      <c r="G115" s="2"/>
      <c r="H115" s="7">
        <v>38547</v>
      </c>
      <c r="I115" s="2"/>
      <c r="J115" s="6">
        <f t="shared" si="96"/>
        <v>3.1451487750752322E-2</v>
      </c>
      <c r="K115" s="2"/>
      <c r="L115" s="7">
        <f t="shared" si="97"/>
        <v>-34887</v>
      </c>
      <c r="M115" s="2"/>
      <c r="N115" s="6">
        <f t="shared" si="98"/>
        <v>-0.90505097672970658</v>
      </c>
      <c r="O115" s="11"/>
      <c r="P115" s="7">
        <v>992</v>
      </c>
      <c r="Q115" s="2"/>
      <c r="R115" s="6">
        <f t="shared" si="99"/>
        <v>1.1941536644158074E-3</v>
      </c>
      <c r="S115" s="2"/>
      <c r="T115" s="7">
        <v>96887</v>
      </c>
      <c r="U115" s="2"/>
      <c r="V115" s="6">
        <f t="shared" si="100"/>
        <v>1.0547623369204905E-2</v>
      </c>
      <c r="W115" s="2"/>
      <c r="X115" s="7">
        <f t="shared" si="101"/>
        <v>-95895</v>
      </c>
      <c r="Y115" s="2"/>
      <c r="Z115" s="6">
        <f t="shared" si="102"/>
        <v>-0.98976126828160638</v>
      </c>
    </row>
    <row r="116" spans="1:26" s="55" customFormat="1" x14ac:dyDescent="0.25">
      <c r="A116" s="37"/>
      <c r="B116" s="37"/>
      <c r="C116" s="37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7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collapsed="1" x14ac:dyDescent="0.25">
      <c r="A117" s="10"/>
      <c r="B117" s="29" t="s">
        <v>0</v>
      </c>
      <c r="C117" s="10"/>
      <c r="D117" s="4">
        <f>SUM(OSRRefD25x_0)</f>
        <v>11120.800000000001</v>
      </c>
      <c r="E117" s="4"/>
      <c r="F117" s="12">
        <f t="shared" ref="F117:F120" si="103">IF(D$12=0,0,D117/D$12)</f>
        <v>7.0720989961585115E-2</v>
      </c>
      <c r="G117" s="4"/>
      <c r="H117" s="4">
        <f>SUM(OSRRefH25x_0)</f>
        <v>21370.27</v>
      </c>
      <c r="I117" s="4"/>
      <c r="J117" s="12">
        <f t="shared" ref="J117:J120" si="104">IF(H$12=0,0,H117/H$12)</f>
        <v>1.7436552394097332E-2</v>
      </c>
      <c r="K117" s="4"/>
      <c r="L117" s="4">
        <f t="shared" ref="L117:L120" si="105">+D117-H117</f>
        <v>-10249.469999999999</v>
      </c>
      <c r="M117" s="4"/>
      <c r="N117" s="12">
        <f t="shared" ref="N117:N120" si="106">IF(H117=0,0,L117/H117)</f>
        <v>-0.47961350043775763</v>
      </c>
      <c r="O117" s="10"/>
      <c r="P117" s="4">
        <f>SUM(OSRRefP25x_0)</f>
        <v>15371.47</v>
      </c>
      <c r="Q117" s="4"/>
      <c r="R117" s="12">
        <f t="shared" ref="R117:R120" si="107">IF(P$12=0,0,P117/P$12)</f>
        <v>1.8503928657215372E-2</v>
      </c>
      <c r="S117" s="4"/>
      <c r="T117" s="4">
        <f>SUM(OSRRefT25x_0)</f>
        <v>514437.52999999997</v>
      </c>
      <c r="U117" s="4"/>
      <c r="V117" s="12">
        <f t="shared" ref="V117:V120" si="108">IF(T$12=0,0,T117/T$12)</f>
        <v>5.6004348503143349E-2</v>
      </c>
      <c r="W117" s="4"/>
      <c r="X117" s="4">
        <f t="shared" ref="X117:X120" si="109">+P117-T117</f>
        <v>-499066.06</v>
      </c>
      <c r="Y117" s="4"/>
      <c r="Z117" s="12">
        <f t="shared" ref="Z117:Z120" si="110">IF(T117=0,0,X117/T117)</f>
        <v>-0.97011985109251264</v>
      </c>
    </row>
    <row r="118" spans="1:26" s="24" customFormat="1" hidden="1" outlineLevel="1" x14ac:dyDescent="0.25">
      <c r="A118" s="44"/>
      <c r="B118" s="11" t="str">
        <f>CONCATENATE("          ", "9150", " - ", "MISC. INCOME")</f>
        <v xml:space="preserve">          9150 - MISC. INCOME</v>
      </c>
      <c r="C118" s="11"/>
      <c r="D118" s="2">
        <f>--804.28</f>
        <v>804.28</v>
      </c>
      <c r="E118" s="2"/>
      <c r="F118" s="19">
        <f t="shared" si="103"/>
        <v>5.1146929902798057E-3</v>
      </c>
      <c r="G118" s="2"/>
      <c r="H118" s="2">
        <f>--17328.33</f>
        <v>17328.330000000002</v>
      </c>
      <c r="I118" s="2"/>
      <c r="J118" s="19">
        <f t="shared" si="104"/>
        <v>1.413862969196031E-2</v>
      </c>
      <c r="K118" s="2"/>
      <c r="L118" s="2">
        <f t="shared" si="105"/>
        <v>-16524.050000000003</v>
      </c>
      <c r="M118" s="2"/>
      <c r="N118" s="19">
        <f t="shared" si="106"/>
        <v>-0.95358583314145107</v>
      </c>
      <c r="O118" s="11"/>
      <c r="P118" s="2">
        <f>--1728.05</f>
        <v>1728.05</v>
      </c>
      <c r="Q118" s="2"/>
      <c r="R118" s="19">
        <f t="shared" si="107"/>
        <v>2.0801988304372339E-3</v>
      </c>
      <c r="S118" s="2"/>
      <c r="T118" s="2">
        <f>--182971.27</f>
        <v>182971.27</v>
      </c>
      <c r="U118" s="2"/>
      <c r="V118" s="19">
        <f t="shared" si="108"/>
        <v>1.9919205294261361E-2</v>
      </c>
      <c r="W118" s="2"/>
      <c r="X118" s="2">
        <f t="shared" si="109"/>
        <v>-181243.22</v>
      </c>
      <c r="Y118" s="2"/>
      <c r="Z118" s="19">
        <f t="shared" si="110"/>
        <v>-0.99055562110925943</v>
      </c>
    </row>
    <row r="119" spans="1:26" s="24" customFormat="1" hidden="1" outlineLevel="1" x14ac:dyDescent="0.25">
      <c r="A119" s="44"/>
      <c r="B119" s="11" t="str">
        <f>CONCATENATE("          ", "9160", " - ", "MISC. INCOME")</f>
        <v xml:space="preserve">          9160 - MISC. INCOME</v>
      </c>
      <c r="C119" s="11"/>
      <c r="D119" s="2">
        <f>--10000</f>
        <v>10000</v>
      </c>
      <c r="E119" s="2"/>
      <c r="F119" s="19">
        <f t="shared" si="103"/>
        <v>6.359343748793711E-2</v>
      </c>
      <c r="G119" s="2"/>
      <c r="H119" s="2">
        <f>0</f>
        <v>0</v>
      </c>
      <c r="I119" s="2"/>
      <c r="J119" s="19">
        <f t="shared" si="104"/>
        <v>0</v>
      </c>
      <c r="K119" s="2"/>
      <c r="L119" s="2">
        <f t="shared" si="105"/>
        <v>10000</v>
      </c>
      <c r="M119" s="2"/>
      <c r="N119" s="19">
        <f t="shared" si="106"/>
        <v>0</v>
      </c>
      <c r="O119" s="11"/>
      <c r="P119" s="2">
        <f>--12328.25</f>
        <v>12328.25</v>
      </c>
      <c r="Q119" s="2"/>
      <c r="R119" s="19">
        <f t="shared" si="107"/>
        <v>1.484054930779655E-2</v>
      </c>
      <c r="S119" s="2"/>
      <c r="T119" s="2">
        <f>--104050.2</f>
        <v>104050.2</v>
      </c>
      <c r="U119" s="2"/>
      <c r="V119" s="19">
        <f t="shared" si="108"/>
        <v>1.1327446624319509E-2</v>
      </c>
      <c r="W119" s="2"/>
      <c r="X119" s="2">
        <f t="shared" si="109"/>
        <v>-91721.95</v>
      </c>
      <c r="Y119" s="2"/>
      <c r="Z119" s="19">
        <f t="shared" si="110"/>
        <v>-0.8815163257735209</v>
      </c>
    </row>
    <row r="120" spans="1:26" s="24" customFormat="1" hidden="1" outlineLevel="1" x14ac:dyDescent="0.25">
      <c r="A120" s="44"/>
      <c r="B120" s="11" t="str">
        <f>CONCATENATE("          ", "9165", " - ", "OTHER INCOME")</f>
        <v xml:space="preserve">          9165 - OTHER INCOME</v>
      </c>
      <c r="C120" s="11"/>
      <c r="D120" s="2">
        <f>--316.52</f>
        <v>316.52</v>
      </c>
      <c r="E120" s="2"/>
      <c r="F120" s="19">
        <f t="shared" si="103"/>
        <v>2.0128594833681854E-3</v>
      </c>
      <c r="G120" s="2"/>
      <c r="H120" s="2">
        <f>--4041.94</f>
        <v>4041.94</v>
      </c>
      <c r="I120" s="2"/>
      <c r="J120" s="19">
        <f t="shared" si="104"/>
        <v>3.2979227021370234E-3</v>
      </c>
      <c r="K120" s="2"/>
      <c r="L120" s="2">
        <f t="shared" si="105"/>
        <v>-3725.42</v>
      </c>
      <c r="M120" s="2"/>
      <c r="N120" s="19">
        <f t="shared" si="106"/>
        <v>-0.92169106914006638</v>
      </c>
      <c r="O120" s="11"/>
      <c r="P120" s="2">
        <f>--1315.17</f>
        <v>1315.17</v>
      </c>
      <c r="Q120" s="2"/>
      <c r="R120" s="19">
        <f t="shared" si="107"/>
        <v>1.5831805189815901E-3</v>
      </c>
      <c r="S120" s="2"/>
      <c r="T120" s="2">
        <f>--227416.06</f>
        <v>227416.06</v>
      </c>
      <c r="U120" s="2"/>
      <c r="V120" s="19">
        <f t="shared" si="108"/>
        <v>2.4757696584562481E-2</v>
      </c>
      <c r="W120" s="2"/>
      <c r="X120" s="2">
        <f t="shared" si="109"/>
        <v>-226100.88999999998</v>
      </c>
      <c r="Y120" s="2"/>
      <c r="Z120" s="19">
        <f t="shared" si="110"/>
        <v>-0.99421689919348699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10"/>
      <c r="B122" s="28" t="s">
        <v>3</v>
      </c>
      <c r="C122" s="28"/>
      <c r="D122" s="20">
        <f>+D28-D30+D117</f>
        <v>-234522.9899999999</v>
      </c>
      <c r="E122" s="14"/>
      <c r="F122" s="21">
        <f>IF(D$12=0,0,D122/D$12)</f>
        <v>-1.4914123104049095</v>
      </c>
      <c r="G122" s="14"/>
      <c r="H122" s="20">
        <f>+H28-H30+H117</f>
        <v>16166.740000000089</v>
      </c>
      <c r="I122" s="14"/>
      <c r="J122" s="21">
        <f>IF(H$12=0,0,H122/H$12)</f>
        <v>1.3190858564339648E-2</v>
      </c>
      <c r="K122" s="15"/>
      <c r="L122" s="20">
        <f>+D122-H122</f>
        <v>-250689.72999999998</v>
      </c>
      <c r="M122" s="15"/>
      <c r="N122" s="21">
        <f>IF(H122=0,0,L122/H122)</f>
        <v>-15.506510898300993</v>
      </c>
      <c r="O122" s="29"/>
      <c r="P122" s="20">
        <f>+P28-P30+P117</f>
        <v>-1501942.9299999992</v>
      </c>
      <c r="Q122" s="14"/>
      <c r="R122" s="21">
        <f>IF(P$12=0,0,P122/P$12)</f>
        <v>-1.8080147717771307</v>
      </c>
      <c r="S122" s="14"/>
      <c r="T122" s="20">
        <f>+T28-T30+T117</f>
        <v>1405381.2700000003</v>
      </c>
      <c r="U122" s="14"/>
      <c r="V122" s="21">
        <f>IF(T$12=0,0,T122/T$12)</f>
        <v>0.15299712372242791</v>
      </c>
      <c r="W122" s="15"/>
      <c r="X122" s="20">
        <f>+P122-T122</f>
        <v>-2907324.1999999993</v>
      </c>
      <c r="Y122" s="15"/>
      <c r="Z122" s="21">
        <f>IF(T122=0,0,X122/T122)</f>
        <v>-2.068708514949825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51"/>
      <c r="B124" s="10" t="s">
        <v>13</v>
      </c>
      <c r="C124" s="10"/>
      <c r="D124" s="4">
        <v>46686.049999999996</v>
      </c>
      <c r="E124" s="4"/>
      <c r="F124" s="12">
        <f>IF(D$12=0,0,D124/D$12)</f>
        <v>0.29689264022337059</v>
      </c>
      <c r="G124" s="4"/>
      <c r="H124" s="4">
        <v>149205.74</v>
      </c>
      <c r="I124" s="4"/>
      <c r="J124" s="12">
        <f>IF(H$12=0,0,H124/H$12)</f>
        <v>0.12174079705170145</v>
      </c>
      <c r="K124" s="4"/>
      <c r="L124" s="4">
        <f>+D124-H124</f>
        <v>-102519.69</v>
      </c>
      <c r="M124" s="4"/>
      <c r="N124" s="12">
        <f>IF(H124=0,0,L124/H124)</f>
        <v>-0.68710285542633953</v>
      </c>
      <c r="O124" s="10"/>
      <c r="P124" s="4">
        <v>153699.64000000001</v>
      </c>
      <c r="Q124" s="4"/>
      <c r="R124" s="12">
        <f>IF(P$12=0,0,P124/P$12)</f>
        <v>0.18502115758607907</v>
      </c>
      <c r="S124" s="4"/>
      <c r="T124" s="4">
        <v>992123.2300000001</v>
      </c>
      <c r="U124" s="4"/>
      <c r="V124" s="12">
        <f>IF(T$12=0,0,T124/T$12)</f>
        <v>0.10800770140348091</v>
      </c>
      <c r="W124" s="4"/>
      <c r="X124" s="4">
        <f>+P124-T124</f>
        <v>-838423.59000000008</v>
      </c>
      <c r="Y124" s="4"/>
      <c r="Z124" s="12">
        <f>IF(T124=0,0,X124/T124)</f>
        <v>-0.84508009151242225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8" t="s">
        <v>4</v>
      </c>
      <c r="C126" s="28"/>
      <c r="D126" s="33">
        <f>+D122-D124</f>
        <v>-281209.03999999992</v>
      </c>
      <c r="E126" s="14"/>
      <c r="F126" s="34">
        <f>IF(D$12=0,0,D126/D$12)</f>
        <v>-1.7883049506282802</v>
      </c>
      <c r="G126" s="14"/>
      <c r="H126" s="33">
        <f>+H122-H124</f>
        <v>-133038.99999999991</v>
      </c>
      <c r="I126" s="14"/>
      <c r="J126" s="34">
        <f>IF(H$12=0,0,H126/H$12)</f>
        <v>-0.1085499384873618</v>
      </c>
      <c r="K126" s="15"/>
      <c r="L126" s="33">
        <f>D126-H126</f>
        <v>-148170.04</v>
      </c>
      <c r="M126" s="15"/>
      <c r="N126" s="34">
        <f>IF(H126=0,0,L126/H126)</f>
        <v>1.1137338675125348</v>
      </c>
      <c r="O126" s="29"/>
      <c r="P126" s="33">
        <f>+P122-P124</f>
        <v>-1655642.5699999994</v>
      </c>
      <c r="Q126" s="14"/>
      <c r="R126" s="34">
        <f>IF(P$12=0,0,P126/P$12)</f>
        <v>-1.9930359293632098</v>
      </c>
      <c r="S126" s="14"/>
      <c r="T126" s="33">
        <f>+T122-T124</f>
        <v>413258.04000000015</v>
      </c>
      <c r="U126" s="14"/>
      <c r="V126" s="34">
        <f>IF(T$12=0,0,T126/T$12)</f>
        <v>4.4989422318946995E-2</v>
      </c>
      <c r="W126" s="15"/>
      <c r="X126" s="33">
        <f>P126-T126</f>
        <v>-2068900.6099999994</v>
      </c>
      <c r="Y126" s="15"/>
      <c r="Z126" s="34">
        <f>IF(T126=0,0,X126/T126)</f>
        <v>-5.0063166587152148</v>
      </c>
    </row>
    <row r="127" spans="1:26" ht="15.75" thickTop="1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8" t="s">
        <v>5</v>
      </c>
      <c r="C129" s="28"/>
      <c r="D129" s="30">
        <f>SUM(D126:D128)</f>
        <v>-281209.03999999992</v>
      </c>
      <c r="E129" s="14"/>
      <c r="F129" s="32">
        <f>IF(D$12=0,0,D129/D$12)</f>
        <v>-1.7883049506282802</v>
      </c>
      <c r="G129" s="14"/>
      <c r="H129" s="30">
        <f>SUM(H126:H128)</f>
        <v>-133038.99999999991</v>
      </c>
      <c r="I129" s="14"/>
      <c r="J129" s="32">
        <f>IF(H$12=0,0,H129/H$12)</f>
        <v>-0.1085499384873618</v>
      </c>
      <c r="K129" s="15"/>
      <c r="L129" s="30">
        <f>+D129-H129</f>
        <v>-148170.04</v>
      </c>
      <c r="M129" s="15"/>
      <c r="N129" s="32">
        <f>IF(H129=0,0,L129/H129)</f>
        <v>1.1137338675125348</v>
      </c>
      <c r="O129" s="29"/>
      <c r="P129" s="30">
        <f>SUM(P126:P128)</f>
        <v>-1655642.5699999994</v>
      </c>
      <c r="Q129" s="14"/>
      <c r="R129" s="32">
        <f>IF(P$12=0,0,P129/P$12)</f>
        <v>-1.9930359293632098</v>
      </c>
      <c r="S129" s="14"/>
      <c r="T129" s="30">
        <f>SUM(T126:T128)</f>
        <v>413258.04000000015</v>
      </c>
      <c r="U129" s="14"/>
      <c r="V129" s="32">
        <f>IF(T$12=0,0,T129/T$12)</f>
        <v>4.4989422318946995E-2</v>
      </c>
      <c r="W129" s="15"/>
      <c r="X129" s="30">
        <f>+P129-T129</f>
        <v>-2068900.6099999994</v>
      </c>
      <c r="Y129" s="15"/>
      <c r="Z129" s="32">
        <f>IF(T129=0,0,X129/T129)</f>
        <v>-5.0063166587152148</v>
      </c>
    </row>
    <row r="130" spans="1:26" ht="15.75" thickTop="1" x14ac:dyDescent="0.25">
      <c r="A130" s="9"/>
      <c r="C130" s="9"/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6" x14ac:dyDescent="0.25">
      <c r="A131" s="9"/>
      <c r="B131" s="58">
        <v>44209.521442013887</v>
      </c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  <row r="132" spans="1:26" x14ac:dyDescent="0.25">
      <c r="A132" s="9"/>
      <c r="B132" s="61" t="s">
        <v>313</v>
      </c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6" x14ac:dyDescent="0.25">
      <c r="A133" s="9"/>
      <c r="B133" s="57"/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25"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312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72170.009999999995</v>
      </c>
      <c r="E12" s="4"/>
      <c r="F12" s="12"/>
      <c r="G12" s="4"/>
      <c r="H12" s="4">
        <f>SUM(OSRRefH13x_0)</f>
        <v>634954.82999999996</v>
      </c>
      <c r="I12" s="4"/>
      <c r="J12" s="12"/>
      <c r="K12" s="4"/>
      <c r="L12" s="4">
        <f t="shared" ref="L12:L27" si="0">+D12-H12</f>
        <v>-562784.81999999995</v>
      </c>
      <c r="M12" s="4"/>
      <c r="N12" s="12">
        <f t="shared" ref="N12:N27" si="1">IF(H12=0,0,L12/H12)</f>
        <v>-0.88633835575358955</v>
      </c>
      <c r="O12" s="10"/>
      <c r="P12" s="4">
        <f>SUM(OSRRefP13x_0)</f>
        <v>196800.47000000003</v>
      </c>
      <c r="Q12" s="4"/>
      <c r="R12" s="12"/>
      <c r="S12" s="4"/>
      <c r="T12" s="4">
        <f>SUM(OSRRefT13x_0)</f>
        <v>4724149.870000001</v>
      </c>
      <c r="U12" s="4"/>
      <c r="V12" s="12"/>
      <c r="W12" s="4"/>
      <c r="X12" s="4">
        <f t="shared" ref="X12:X27" si="2">+P12-T12</f>
        <v>-4527349.4000000013</v>
      </c>
      <c r="Y12" s="4"/>
      <c r="Z12" s="12">
        <f t="shared" ref="Z12:Z27" si="3">IF(T12=0,0,X12/T12)</f>
        <v>-0.95834161163053877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--28435.15</f>
        <v>28435.15</v>
      </c>
      <c r="I13" s="2"/>
      <c r="J13" s="19"/>
      <c r="K13" s="2"/>
      <c r="L13" s="2">
        <f t="shared" si="0"/>
        <v>-28435.15</v>
      </c>
      <c r="M13" s="2"/>
      <c r="N13" s="19">
        <f t="shared" si="1"/>
        <v>-1</v>
      </c>
      <c r="O13" s="11"/>
      <c r="P13" s="2">
        <f>--444.59</f>
        <v>444.59</v>
      </c>
      <c r="Q13" s="2"/>
      <c r="R13" s="19"/>
      <c r="S13" s="2"/>
      <c r="T13" s="2">
        <f>--189948.88</f>
        <v>189948.88</v>
      </c>
      <c r="U13" s="2"/>
      <c r="V13" s="19"/>
      <c r="W13" s="2"/>
      <c r="X13" s="2">
        <f t="shared" si="2"/>
        <v>-189504.29</v>
      </c>
      <c r="Y13" s="2"/>
      <c r="Z13" s="19">
        <f t="shared" si="3"/>
        <v>-0.99765942289314891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--282.75</f>
        <v>282.75</v>
      </c>
      <c r="I14" s="2"/>
      <c r="J14" s="19"/>
      <c r="K14" s="2"/>
      <c r="L14" s="2">
        <f t="shared" si="0"/>
        <v>-282.75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--2201.92</f>
        <v>2201.92</v>
      </c>
      <c r="U14" s="2"/>
      <c r="V14" s="19"/>
      <c r="W14" s="2"/>
      <c r="X14" s="2">
        <f t="shared" si="2"/>
        <v>-2201.92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"4051", " - ", "TAXABLE SALES-FOOD")</f>
        <v xml:space="preserve">          4051 - TAXABLE SALES-FOOD</v>
      </c>
      <c r="C15" s="11"/>
      <c r="D15" s="2">
        <f>--5713.27</f>
        <v>5713.27</v>
      </c>
      <c r="E15" s="2"/>
      <c r="F15" s="19"/>
      <c r="G15" s="2"/>
      <c r="H15" s="2">
        <f>--57092.23</f>
        <v>57092.23</v>
      </c>
      <c r="I15" s="2"/>
      <c r="J15" s="19"/>
      <c r="K15" s="2"/>
      <c r="L15" s="2">
        <f t="shared" si="0"/>
        <v>-51378.960000000006</v>
      </c>
      <c r="M15" s="2"/>
      <c r="N15" s="19">
        <f t="shared" si="1"/>
        <v>-0.89992911469739412</v>
      </c>
      <c r="O15" s="11"/>
      <c r="P15" s="2">
        <f>--22964.48</f>
        <v>22964.48</v>
      </c>
      <c r="Q15" s="2"/>
      <c r="R15" s="19"/>
      <c r="S15" s="2"/>
      <c r="T15" s="2">
        <f>--432096.75</f>
        <v>432096.75</v>
      </c>
      <c r="U15" s="2"/>
      <c r="V15" s="19"/>
      <c r="W15" s="2"/>
      <c r="X15" s="2">
        <f t="shared" si="2"/>
        <v>-409132.27</v>
      </c>
      <c r="Y15" s="2"/>
      <c r="Z15" s="19">
        <f t="shared" si="3"/>
        <v>-0.94685338410899877</v>
      </c>
    </row>
    <row r="16" spans="1:26" s="24" customFormat="1" hidden="1" outlineLevel="1" x14ac:dyDescent="0.25">
      <c r="A16" s="44"/>
      <c r="B16" s="11" t="str">
        <f>CONCATENATE("          ", "4052", " - ", "TAXABLE SALES-FOOD")</f>
        <v xml:space="preserve">          4052 - TAXABLE SALES-FOOD</v>
      </c>
      <c r="C16" s="11"/>
      <c r="D16" s="2">
        <f>--62378.23</f>
        <v>62378.23</v>
      </c>
      <c r="E16" s="2"/>
      <c r="F16" s="19"/>
      <c r="G16" s="2"/>
      <c r="H16" s="2">
        <f>--82451.12</f>
        <v>82451.12</v>
      </c>
      <c r="I16" s="2"/>
      <c r="J16" s="19"/>
      <c r="K16" s="2"/>
      <c r="L16" s="2">
        <f t="shared" si="0"/>
        <v>-20072.889999999992</v>
      </c>
      <c r="M16" s="2"/>
      <c r="N16" s="19">
        <f t="shared" si="1"/>
        <v>-0.24345199919661484</v>
      </c>
      <c r="O16" s="11"/>
      <c r="P16" s="2">
        <f>--148103.39</f>
        <v>148103.39000000001</v>
      </c>
      <c r="Q16" s="2"/>
      <c r="R16" s="19"/>
      <c r="S16" s="2"/>
      <c r="T16" s="2">
        <f>--536296.65</f>
        <v>536296.65</v>
      </c>
      <c r="U16" s="2"/>
      <c r="V16" s="19"/>
      <c r="W16" s="2"/>
      <c r="X16" s="2">
        <f t="shared" si="2"/>
        <v>-388193.26</v>
      </c>
      <c r="Y16" s="2"/>
      <c r="Z16" s="19">
        <f t="shared" si="3"/>
        <v>-0.72384054608582771</v>
      </c>
    </row>
    <row r="17" spans="1:26" s="24" customFormat="1" hidden="1" outlineLevel="1" x14ac:dyDescent="0.25">
      <c r="A17" s="44"/>
      <c r="B17" s="11" t="str">
        <f>CONCATENATE("          ", "4053", " - ", "TAXABLE SALES-FOOD")</f>
        <v xml:space="preserve">          4053 - TAXABLE SALES-FOOD</v>
      </c>
      <c r="C17" s="11"/>
      <c r="D17" s="2">
        <f t="shared" ref="D17:D22" si="5">0</f>
        <v>0</v>
      </c>
      <c r="E17" s="2"/>
      <c r="F17" s="19"/>
      <c r="G17" s="2"/>
      <c r="H17" s="2">
        <f>--15916.58</f>
        <v>15916.58</v>
      </c>
      <c r="I17" s="2"/>
      <c r="J17" s="19"/>
      <c r="K17" s="2"/>
      <c r="L17" s="2">
        <f t="shared" si="0"/>
        <v>-15916.58</v>
      </c>
      <c r="M17" s="2"/>
      <c r="N17" s="19">
        <f t="shared" si="1"/>
        <v>-1</v>
      </c>
      <c r="O17" s="11"/>
      <c r="P17" s="2">
        <f t="shared" ref="P17:P18" si="6">0</f>
        <v>0</v>
      </c>
      <c r="Q17" s="2"/>
      <c r="R17" s="19"/>
      <c r="S17" s="2"/>
      <c r="T17" s="2">
        <f>--86431.87</f>
        <v>86431.87</v>
      </c>
      <c r="U17" s="2"/>
      <c r="V17" s="19"/>
      <c r="W17" s="2"/>
      <c r="X17" s="2">
        <f t="shared" si="2"/>
        <v>-86431.87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"4055", " - ", "TAXABLE SALES-FOOD")</f>
        <v xml:space="preserve">          4055 - TAXABLE SALES-FOOD</v>
      </c>
      <c r="C18" s="11"/>
      <c r="D18" s="2">
        <f t="shared" si="5"/>
        <v>0</v>
      </c>
      <c r="E18" s="2"/>
      <c r="F18" s="19"/>
      <c r="G18" s="2"/>
      <c r="H18" s="2">
        <f>--36745.98</f>
        <v>36745.980000000003</v>
      </c>
      <c r="I18" s="2"/>
      <c r="J18" s="19"/>
      <c r="K18" s="2"/>
      <c r="L18" s="2">
        <f t="shared" si="0"/>
        <v>-36745.980000000003</v>
      </c>
      <c r="M18" s="2"/>
      <c r="N18" s="19">
        <f t="shared" si="1"/>
        <v>-1</v>
      </c>
      <c r="O18" s="11"/>
      <c r="P18" s="2">
        <f t="shared" si="6"/>
        <v>0</v>
      </c>
      <c r="Q18" s="2"/>
      <c r="R18" s="19"/>
      <c r="S18" s="2"/>
      <c r="T18" s="2">
        <f>--271853.95</f>
        <v>271853.95</v>
      </c>
      <c r="U18" s="2"/>
      <c r="V18" s="19"/>
      <c r="W18" s="2"/>
      <c r="X18" s="2">
        <f t="shared" si="2"/>
        <v>-271853.95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"4058", " - ", "TAXABLE SALES-FOOD")</f>
        <v xml:space="preserve">          4058 - TAXABLE SALES-FOOD</v>
      </c>
      <c r="C19" s="11"/>
      <c r="D19" s="2">
        <f t="shared" si="5"/>
        <v>0</v>
      </c>
      <c r="E19" s="2"/>
      <c r="F19" s="19"/>
      <c r="G19" s="2"/>
      <c r="H19" s="2">
        <f>--9096.8</f>
        <v>9096.7999999999993</v>
      </c>
      <c r="I19" s="2"/>
      <c r="J19" s="19"/>
      <c r="K19" s="2"/>
      <c r="L19" s="2">
        <f t="shared" si="0"/>
        <v>-9096.7999999999993</v>
      </c>
      <c r="M19" s="2"/>
      <c r="N19" s="19">
        <f t="shared" si="1"/>
        <v>-1</v>
      </c>
      <c r="O19" s="11"/>
      <c r="P19" s="2">
        <f>--974.91</f>
        <v>974.91</v>
      </c>
      <c r="Q19" s="2"/>
      <c r="R19" s="19"/>
      <c r="S19" s="2"/>
      <c r="T19" s="2">
        <f>--87899.21</f>
        <v>87899.21</v>
      </c>
      <c r="U19" s="2"/>
      <c r="V19" s="19"/>
      <c r="W19" s="2"/>
      <c r="X19" s="2">
        <f t="shared" si="2"/>
        <v>-86924.3</v>
      </c>
      <c r="Y19" s="2"/>
      <c r="Z19" s="19">
        <f t="shared" si="3"/>
        <v>-0.9889087740379009</v>
      </c>
    </row>
    <row r="20" spans="1:26" s="24" customFormat="1" hidden="1" outlineLevel="1" x14ac:dyDescent="0.25">
      <c r="A20" s="44"/>
      <c r="B20" s="11" t="str">
        <f>CONCATENATE("          ", "4132", " - ", "NON-TAXABLE SALES-JUICE")</f>
        <v xml:space="preserve">          4132 - NON-TAXABLE SALES-JUICE</v>
      </c>
      <c r="C20" s="11"/>
      <c r="D20" s="2">
        <f t="shared" si="5"/>
        <v>0</v>
      </c>
      <c r="E20" s="2"/>
      <c r="F20" s="19"/>
      <c r="G20" s="2"/>
      <c r="H20" s="2">
        <f>--84051.32</f>
        <v>84051.32</v>
      </c>
      <c r="I20" s="2"/>
      <c r="J20" s="19"/>
      <c r="K20" s="2"/>
      <c r="L20" s="2">
        <f t="shared" si="0"/>
        <v>-84051.32</v>
      </c>
      <c r="M20" s="2"/>
      <c r="N20" s="19">
        <f t="shared" si="1"/>
        <v>-1</v>
      </c>
      <c r="O20" s="11"/>
      <c r="P20" s="2">
        <f>--2031.88</f>
        <v>2031.88</v>
      </c>
      <c r="Q20" s="2"/>
      <c r="R20" s="19"/>
      <c r="S20" s="2"/>
      <c r="T20" s="2">
        <f>--739121.72</f>
        <v>739121.72</v>
      </c>
      <c r="U20" s="2"/>
      <c r="V20" s="19"/>
      <c r="W20" s="2"/>
      <c r="X20" s="2">
        <f t="shared" si="2"/>
        <v>-737089.84</v>
      </c>
      <c r="Y20" s="2"/>
      <c r="Z20" s="19">
        <f t="shared" si="3"/>
        <v>-0.99725095346947723</v>
      </c>
    </row>
    <row r="21" spans="1:26" s="24" customFormat="1" hidden="1" outlineLevel="1" x14ac:dyDescent="0.25">
      <c r="A21" s="44"/>
      <c r="B21" s="11" t="str">
        <f>CONCATENATE("          ", "4134", " - ", "NON-TAXABLE SALES-SODA")</f>
        <v xml:space="preserve">          4134 - NON-TAXABLE SALES-SODA</v>
      </c>
      <c r="C21" s="11"/>
      <c r="D21" s="2">
        <f t="shared" si="5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2" si="7">0</f>
        <v>0</v>
      </c>
      <c r="Q21" s="2"/>
      <c r="R21" s="19"/>
      <c r="S21" s="2"/>
      <c r="T21" s="2">
        <f>--0.39</f>
        <v>0.39</v>
      </c>
      <c r="U21" s="2"/>
      <c r="V21" s="19"/>
      <c r="W21" s="2"/>
      <c r="X21" s="2">
        <f t="shared" si="2"/>
        <v>-0.39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"4137", " - ", "NON-TAXABLE SALES-WATER")</f>
        <v xml:space="preserve">          4137 - NON-TAXABLE SALES-WATER</v>
      </c>
      <c r="C22" s="11"/>
      <c r="D22" s="2">
        <f t="shared" si="5"/>
        <v>0</v>
      </c>
      <c r="E22" s="2"/>
      <c r="F22" s="19"/>
      <c r="G22" s="2"/>
      <c r="H22" s="2">
        <f>--125.56</f>
        <v>125.56</v>
      </c>
      <c r="I22" s="2"/>
      <c r="J22" s="19"/>
      <c r="K22" s="2"/>
      <c r="L22" s="2">
        <f t="shared" si="0"/>
        <v>-125.56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--1150.1</f>
        <v>1150.0999999999999</v>
      </c>
      <c r="U22" s="2"/>
      <c r="V22" s="19"/>
      <c r="W22" s="2"/>
      <c r="X22" s="2">
        <f t="shared" si="2"/>
        <v>-1150.0999999999999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"4151", " - ", "NON-TAXABLE SALES-FOOD")</f>
        <v xml:space="preserve">          4151 - NON-TAXABLE SALES-FOOD</v>
      </c>
      <c r="C23" s="11"/>
      <c r="D23" s="2">
        <f>--4078.51</f>
        <v>4078.51</v>
      </c>
      <c r="E23" s="2"/>
      <c r="F23" s="19"/>
      <c r="G23" s="2"/>
      <c r="H23" s="2">
        <f>--204747.05</f>
        <v>204747.05</v>
      </c>
      <c r="I23" s="2"/>
      <c r="J23" s="19"/>
      <c r="K23" s="2"/>
      <c r="L23" s="2">
        <f t="shared" si="0"/>
        <v>-200668.53999999998</v>
      </c>
      <c r="M23" s="2"/>
      <c r="N23" s="19">
        <f t="shared" si="1"/>
        <v>-0.98008025024047962</v>
      </c>
      <c r="O23" s="11"/>
      <c r="P23" s="2">
        <f>--22171.22</f>
        <v>22171.22</v>
      </c>
      <c r="Q23" s="2"/>
      <c r="R23" s="19"/>
      <c r="S23" s="2"/>
      <c r="T23" s="2">
        <f>--1529617.24</f>
        <v>1529617.24</v>
      </c>
      <c r="U23" s="2"/>
      <c r="V23" s="19"/>
      <c r="W23" s="2"/>
      <c r="X23" s="2">
        <f t="shared" si="2"/>
        <v>-1507446.02</v>
      </c>
      <c r="Y23" s="2"/>
      <c r="Z23" s="19">
        <f t="shared" si="3"/>
        <v>-0.98550538041791425</v>
      </c>
    </row>
    <row r="24" spans="1:26" s="24" customFormat="1" hidden="1" outlineLevel="1" x14ac:dyDescent="0.25">
      <c r="A24" s="44"/>
      <c r="B24" s="11" t="str">
        <f>CONCATENATE("          ", "4152", " - ", "NON-TAXABLE SALES-FOOD")</f>
        <v xml:space="preserve">          4152 - NON-TAXABLE SALES-FOOD</v>
      </c>
      <c r="C24" s="11"/>
      <c r="D24" s="2">
        <f t="shared" ref="D24:D27" si="8">0</f>
        <v>0</v>
      </c>
      <c r="E24" s="2"/>
      <c r="F24" s="19"/>
      <c r="G24" s="2"/>
      <c r="H24" s="2">
        <f>--4293.35</f>
        <v>4293.3500000000004</v>
      </c>
      <c r="I24" s="2"/>
      <c r="J24" s="19"/>
      <c r="K24" s="2"/>
      <c r="L24" s="2">
        <f t="shared" si="0"/>
        <v>-4293.3500000000004</v>
      </c>
      <c r="M24" s="2"/>
      <c r="N24" s="19">
        <f t="shared" si="1"/>
        <v>-1</v>
      </c>
      <c r="O24" s="11"/>
      <c r="P24" s="2">
        <f>0</f>
        <v>0</v>
      </c>
      <c r="Q24" s="2"/>
      <c r="R24" s="19"/>
      <c r="S24" s="2"/>
      <c r="T24" s="2">
        <f>--34634.8</f>
        <v>34634.800000000003</v>
      </c>
      <c r="U24" s="2"/>
      <c r="V24" s="19"/>
      <c r="W24" s="2"/>
      <c r="X24" s="2">
        <f t="shared" si="2"/>
        <v>-34634.800000000003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"4153", " - ", "NON-TAXABLE SALES-FOOD")</f>
        <v xml:space="preserve">          4153 - NON-TAXABLE SALES-FOOD</v>
      </c>
      <c r="C25" s="11"/>
      <c r="D25" s="2">
        <f t="shared" si="8"/>
        <v>0</v>
      </c>
      <c r="E25" s="2"/>
      <c r="F25" s="19"/>
      <c r="G25" s="2"/>
      <c r="H25" s="2">
        <f>--2733</f>
        <v>2733</v>
      </c>
      <c r="I25" s="2"/>
      <c r="J25" s="19"/>
      <c r="K25" s="2"/>
      <c r="L25" s="2">
        <f t="shared" si="0"/>
        <v>-2733</v>
      </c>
      <c r="M25" s="2"/>
      <c r="N25" s="19">
        <f t="shared" si="1"/>
        <v>-1</v>
      </c>
      <c r="O25" s="11"/>
      <c r="P25" s="2">
        <f>--110</f>
        <v>110</v>
      </c>
      <c r="Q25" s="2"/>
      <c r="R25" s="19"/>
      <c r="S25" s="2"/>
      <c r="T25" s="2">
        <f>--9560</f>
        <v>9560</v>
      </c>
      <c r="U25" s="2"/>
      <c r="V25" s="19"/>
      <c r="W25" s="2"/>
      <c r="X25" s="2">
        <f t="shared" si="2"/>
        <v>-9450</v>
      </c>
      <c r="Y25" s="2"/>
      <c r="Z25" s="19">
        <f t="shared" si="3"/>
        <v>-0.9884937238493724</v>
      </c>
    </row>
    <row r="26" spans="1:26" s="24" customFormat="1" hidden="1" outlineLevel="1" x14ac:dyDescent="0.25">
      <c r="A26" s="44"/>
      <c r="B26" s="11" t="str">
        <f>CONCATENATE("          ", "4155", " - ", "NON-TAXABLE SALES-FOOD")</f>
        <v xml:space="preserve">          4155 - NON-TAXABLE SALES-FOOD</v>
      </c>
      <c r="C26" s="11"/>
      <c r="D26" s="2">
        <f t="shared" si="8"/>
        <v>0</v>
      </c>
      <c r="E26" s="2"/>
      <c r="F26" s="19"/>
      <c r="G26" s="2"/>
      <c r="H26" s="2">
        <f>--63255.26</f>
        <v>63255.26</v>
      </c>
      <c r="I26" s="2"/>
      <c r="J26" s="19"/>
      <c r="K26" s="2"/>
      <c r="L26" s="2">
        <f t="shared" si="0"/>
        <v>-63255.26</v>
      </c>
      <c r="M26" s="2"/>
      <c r="N26" s="19">
        <f t="shared" si="1"/>
        <v>-1</v>
      </c>
      <c r="O26" s="11"/>
      <c r="P26" s="2">
        <f t="shared" ref="P26:P27" si="9">0</f>
        <v>0</v>
      </c>
      <c r="Q26" s="2"/>
      <c r="R26" s="19"/>
      <c r="S26" s="2"/>
      <c r="T26" s="2">
        <f>--484720.45</f>
        <v>484720.45</v>
      </c>
      <c r="U26" s="2"/>
      <c r="V26" s="19"/>
      <c r="W26" s="2"/>
      <c r="X26" s="2">
        <f t="shared" si="2"/>
        <v>-484720.45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"4158", " - ", "NON-TAXABLE SALES-FOOD")</f>
        <v xml:space="preserve">          4158 - NON-TAXABLE SALES-FOOD</v>
      </c>
      <c r="C27" s="11"/>
      <c r="D27" s="2">
        <f t="shared" si="8"/>
        <v>0</v>
      </c>
      <c r="E27" s="2"/>
      <c r="F27" s="19"/>
      <c r="G27" s="2"/>
      <c r="H27" s="2">
        <f>--45728.68</f>
        <v>45728.68</v>
      </c>
      <c r="I27" s="2"/>
      <c r="J27" s="19"/>
      <c r="K27" s="2"/>
      <c r="L27" s="2">
        <f t="shared" si="0"/>
        <v>-45728.68</v>
      </c>
      <c r="M27" s="2"/>
      <c r="N27" s="19">
        <f t="shared" si="1"/>
        <v>-1</v>
      </c>
      <c r="O27" s="11"/>
      <c r="P27" s="2">
        <f t="shared" si="9"/>
        <v>0</v>
      </c>
      <c r="Q27" s="2"/>
      <c r="R27" s="19"/>
      <c r="S27" s="2"/>
      <c r="T27" s="2">
        <f>--318615.94</f>
        <v>318615.94</v>
      </c>
      <c r="U27" s="2"/>
      <c r="V27" s="19"/>
      <c r="W27" s="2"/>
      <c r="X27" s="2">
        <f t="shared" si="2"/>
        <v>-318615.94</v>
      </c>
      <c r="Y27" s="2"/>
      <c r="Z27" s="19">
        <f t="shared" si="3"/>
        <v>-1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collapsed="1" x14ac:dyDescent="0.25">
      <c r="A29" s="10"/>
      <c r="B29" s="29" t="s">
        <v>8</v>
      </c>
      <c r="C29" s="10"/>
      <c r="D29" s="4">
        <f>SUM(OSRRefD16x_0)</f>
        <v>4487.45</v>
      </c>
      <c r="E29" s="4"/>
      <c r="F29" s="12">
        <f t="shared" ref="F29:F31" si="10">IF(D$12=0,0,D29/D$12)</f>
        <v>6.2178874576849862E-2</v>
      </c>
      <c r="G29" s="4"/>
      <c r="H29" s="4">
        <f>SUM(OSRRefH16x_0)</f>
        <v>236810.22999999998</v>
      </c>
      <c r="I29" s="4"/>
      <c r="J29" s="12">
        <f t="shared" ref="J29:J31" si="11">IF(H$12=0,0,H29/H$12)</f>
        <v>0.372956025864076</v>
      </c>
      <c r="K29" s="4"/>
      <c r="L29" s="4">
        <f t="shared" ref="L29:L31" si="12">+D29-H29</f>
        <v>-232322.77999999997</v>
      </c>
      <c r="M29" s="4"/>
      <c r="N29" s="12">
        <f t="shared" ref="N29:N31" si="13">IF(H29=0,0,L29/H29)</f>
        <v>-0.9810504385726917</v>
      </c>
      <c r="O29" s="10"/>
      <c r="P29" s="4">
        <f>SUM(OSRRefP16x_0)</f>
        <v>27986.189999999995</v>
      </c>
      <c r="Q29" s="4"/>
      <c r="R29" s="12">
        <f t="shared" ref="R29:R31" si="14">IF(P$12=0,0,P29/P$12)</f>
        <v>0.14220591038222619</v>
      </c>
      <c r="S29" s="4"/>
      <c r="T29" s="4">
        <f>SUM(OSRRefT16x_0)</f>
        <v>1790336.4000000001</v>
      </c>
      <c r="U29" s="4"/>
      <c r="V29" s="12">
        <f t="shared" ref="V29:V31" si="15">IF(T$12=0,0,T29/T$12)</f>
        <v>0.37897536049168562</v>
      </c>
      <c r="W29" s="4"/>
      <c r="X29" s="4">
        <f t="shared" ref="X29:X31" si="16">+P29-T29</f>
        <v>-1762350.2100000002</v>
      </c>
      <c r="Y29" s="4"/>
      <c r="Z29" s="12">
        <f t="shared" ref="Z29:Z31" si="17">IF(T29=0,0,X29/T29)</f>
        <v>-0.98436819471469161</v>
      </c>
    </row>
    <row r="30" spans="1:26" s="24" customFormat="1" hidden="1" outlineLevel="1" x14ac:dyDescent="0.25">
      <c r="A30" s="44"/>
      <c r="B30" s="11" t="str">
        <f>CONCATENATE("          ", "5053", " - ", "PURCHASES @ COST-FOOD")</f>
        <v xml:space="preserve">          5053 - PURCHASES @ COST-FOOD</v>
      </c>
      <c r="C30" s="11"/>
      <c r="D30" s="2">
        <v>2122.4499999999998</v>
      </c>
      <c r="E30" s="2"/>
      <c r="F30" s="19">
        <f t="shared" si="10"/>
        <v>2.9409030149781051E-2</v>
      </c>
      <c r="G30" s="2"/>
      <c r="H30" s="2">
        <v>213118.74</v>
      </c>
      <c r="I30" s="2"/>
      <c r="J30" s="19">
        <f t="shared" si="11"/>
        <v>0.33564393864048564</v>
      </c>
      <c r="K30" s="2"/>
      <c r="L30" s="2">
        <f t="shared" si="12"/>
        <v>-210996.28999999998</v>
      </c>
      <c r="M30" s="2"/>
      <c r="N30" s="19">
        <f t="shared" si="13"/>
        <v>-0.9900409978024457</v>
      </c>
      <c r="O30" s="11"/>
      <c r="P30" s="2">
        <v>10744.22</v>
      </c>
      <c r="Q30" s="2"/>
      <c r="R30" s="19">
        <f t="shared" si="14"/>
        <v>5.459448343797145E-2</v>
      </c>
      <c r="S30" s="2"/>
      <c r="T30" s="2">
        <v>1832661.81</v>
      </c>
      <c r="U30" s="2"/>
      <c r="V30" s="19">
        <f t="shared" si="15"/>
        <v>0.38793473120699273</v>
      </c>
      <c r="W30" s="2"/>
      <c r="X30" s="2">
        <f t="shared" si="16"/>
        <v>-1821917.59</v>
      </c>
      <c r="Y30" s="2"/>
      <c r="Z30" s="19">
        <f t="shared" si="17"/>
        <v>-0.99413736896716365</v>
      </c>
    </row>
    <row r="31" spans="1:26" s="24" customFormat="1" hidden="1" outlineLevel="1" x14ac:dyDescent="0.25">
      <c r="A31" s="44"/>
      <c r="B31" s="11" t="str">
        <f>CONCATENATE("          ", "5059", " - ", "PURCHASES @ COST-FOOD")</f>
        <v xml:space="preserve">          5059 - PURCHASES @ COST-FOOD</v>
      </c>
      <c r="C31" s="11"/>
      <c r="D31" s="2">
        <v>2365</v>
      </c>
      <c r="E31" s="2"/>
      <c r="F31" s="19">
        <f t="shared" si="10"/>
        <v>3.276984442706881E-2</v>
      </c>
      <c r="G31" s="2"/>
      <c r="H31" s="2">
        <v>23691.489999999998</v>
      </c>
      <c r="I31" s="2"/>
      <c r="J31" s="19">
        <f t="shared" si="11"/>
        <v>3.7312087223590376E-2</v>
      </c>
      <c r="K31" s="2"/>
      <c r="L31" s="2">
        <f t="shared" si="12"/>
        <v>-21326.489999999998</v>
      </c>
      <c r="M31" s="2"/>
      <c r="N31" s="19">
        <f t="shared" si="13"/>
        <v>-0.90017512617399753</v>
      </c>
      <c r="O31" s="11"/>
      <c r="P31" s="2">
        <v>17241.969999999998</v>
      </c>
      <c r="Q31" s="2"/>
      <c r="R31" s="19">
        <f t="shared" si="14"/>
        <v>8.7611426944254736E-2</v>
      </c>
      <c r="S31" s="2"/>
      <c r="T31" s="2">
        <v>-42325.409999999996</v>
      </c>
      <c r="U31" s="2"/>
      <c r="V31" s="19">
        <f t="shared" si="15"/>
        <v>-8.9593707153071307E-3</v>
      </c>
      <c r="W31" s="2"/>
      <c r="X31" s="2">
        <f t="shared" si="16"/>
        <v>59567.37999999999</v>
      </c>
      <c r="Y31" s="2"/>
      <c r="Z31" s="19">
        <f t="shared" si="17"/>
        <v>-1.4073668748867405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8" t="s">
        <v>6</v>
      </c>
      <c r="C33" s="28"/>
      <c r="D33" s="20">
        <f>D12-D29</f>
        <v>67682.559999999998</v>
      </c>
      <c r="E33" s="14"/>
      <c r="F33" s="21">
        <f>IF(D$12=0,0,D33/D$12)</f>
        <v>0.93782112542315021</v>
      </c>
      <c r="G33" s="14"/>
      <c r="H33" s="20">
        <f>H12-H29</f>
        <v>398144.6</v>
      </c>
      <c r="I33" s="14"/>
      <c r="J33" s="21">
        <f>IF(H$12=0,0,H33/H$12)</f>
        <v>0.62704397413592394</v>
      </c>
      <c r="K33" s="15"/>
      <c r="L33" s="20">
        <f>+D33-H33</f>
        <v>-330462.03999999998</v>
      </c>
      <c r="M33" s="15"/>
      <c r="N33" s="21">
        <f>IF(H33=0,0,L33/H33)</f>
        <v>-0.8300050785568861</v>
      </c>
      <c r="O33" s="29"/>
      <c r="P33" s="20">
        <f>P12-P29</f>
        <v>168814.28000000003</v>
      </c>
      <c r="Q33" s="14"/>
      <c r="R33" s="21">
        <f>IF(P$12=0,0,P33/P$12)</f>
        <v>0.85779408961777381</v>
      </c>
      <c r="S33" s="14"/>
      <c r="T33" s="20">
        <f>T12-T29</f>
        <v>2933813.4700000007</v>
      </c>
      <c r="U33" s="14"/>
      <c r="V33" s="21">
        <f>IF(T$12=0,0,T33/T$12)</f>
        <v>0.62102463950831432</v>
      </c>
      <c r="W33" s="15"/>
      <c r="X33" s="20">
        <f>+P33-T33</f>
        <v>-2764999.1900000004</v>
      </c>
      <c r="Y33" s="15"/>
      <c r="Z33" s="21">
        <f>IF(T33=0,0,X33/T33)</f>
        <v>-0.94245909573794406</v>
      </c>
    </row>
    <row r="34" spans="1:26" x14ac:dyDescent="0.25">
      <c r="A34" s="9"/>
      <c r="B34" s="10"/>
      <c r="C34" s="9"/>
      <c r="D34" s="1"/>
      <c r="E34" s="1"/>
      <c r="F34" s="5"/>
      <c r="G34" s="1"/>
      <c r="H34" s="1"/>
      <c r="I34" s="1"/>
      <c r="J34" s="5"/>
      <c r="K34" s="1"/>
      <c r="L34" s="1"/>
      <c r="M34" s="1"/>
      <c r="N34" s="5"/>
      <c r="O34" s="37"/>
      <c r="P34" s="1"/>
      <c r="Q34" s="1"/>
      <c r="R34" s="5"/>
      <c r="S34" s="1"/>
      <c r="T34" s="1"/>
      <c r="U34" s="1"/>
      <c r="V34" s="5"/>
      <c r="W34" s="1"/>
      <c r="X34" s="1"/>
      <c r="Y34" s="1"/>
      <c r="Z34" s="5"/>
    </row>
    <row r="35" spans="1:26" s="23" customFormat="1" x14ac:dyDescent="0.25">
      <c r="A35" s="10"/>
      <c r="B35" s="29" t="s">
        <v>9</v>
      </c>
      <c r="C35" s="10"/>
      <c r="D35" s="22">
        <f>SUM(OSRRefD22x_0)</f>
        <v>136040.57</v>
      </c>
      <c r="E35" s="22"/>
      <c r="F35" s="36">
        <f t="shared" ref="F35:F45" si="18">IF(D$12=0,0,D35/D$12)</f>
        <v>1.8850014015516974</v>
      </c>
      <c r="G35" s="22"/>
      <c r="H35" s="22">
        <f>SUM(OSRRefH22x_0)</f>
        <v>576673.31999999983</v>
      </c>
      <c r="I35" s="22"/>
      <c r="J35" s="36">
        <f t="shared" ref="J35:J45" si="19">IF(H$12=0,0,H35/H$12)</f>
        <v>0.90821156522267865</v>
      </c>
      <c r="K35" s="4"/>
      <c r="L35" s="22">
        <f t="shared" ref="L35:L45" si="20">+D35-H35</f>
        <v>-440632.74999999983</v>
      </c>
      <c r="M35" s="4"/>
      <c r="N35" s="36">
        <f t="shared" ref="N35:N45" si="21">IF(H35=0,0,L35/H35)</f>
        <v>-0.76409421888982132</v>
      </c>
      <c r="O35" s="10"/>
      <c r="P35" s="22">
        <f>SUM(OSRRefP22x_0)</f>
        <v>846853.37</v>
      </c>
      <c r="Q35" s="22"/>
      <c r="R35" s="36">
        <f t="shared" ref="R35:R45" si="22">IF(P$12=0,0,P35/P$12)</f>
        <v>4.3031064407518942</v>
      </c>
      <c r="S35" s="22"/>
      <c r="T35" s="22">
        <f>SUM(OSRRefT22x_0)</f>
        <v>3508762.6800000006</v>
      </c>
      <c r="U35" s="22"/>
      <c r="V35" s="36">
        <f t="shared" ref="V35:V45" si="23">IF(T$12=0,0,T35/T$12)</f>
        <v>0.74272890923335588</v>
      </c>
      <c r="W35" s="4"/>
      <c r="X35" s="22">
        <f t="shared" ref="X35:X45" si="24">+P35-T35</f>
        <v>-2661909.3100000005</v>
      </c>
      <c r="Y35" s="4"/>
      <c r="Z35" s="36">
        <f t="shared" ref="Z35:Z45" si="25">IF(T35=0,0,X35/T35)</f>
        <v>-0.75864615329298934</v>
      </c>
    </row>
    <row r="36" spans="1:26" s="25" customFormat="1" outlineLevel="1" collapsed="1" x14ac:dyDescent="0.25">
      <c r="A36" s="26"/>
      <c r="B36" s="13" t="str">
        <f>CONCATENATE("     ","*Benefits                                         ")</f>
        <v xml:space="preserve">     *Benefits                                         </v>
      </c>
      <c r="C36" s="13"/>
      <c r="D36" s="1">
        <f>SUM(OSRRefD22_0x_0)</f>
        <v>20954.75</v>
      </c>
      <c r="E36" s="1"/>
      <c r="F36" s="5">
        <f t="shared" si="18"/>
        <v>0.29035259936918401</v>
      </c>
      <c r="G36" s="1"/>
      <c r="H36" s="1">
        <f>SUM(OSRRefH22_0x_0)</f>
        <v>77437.950000000012</v>
      </c>
      <c r="I36" s="1"/>
      <c r="J36" s="5">
        <f t="shared" si="19"/>
        <v>0.121958202916576</v>
      </c>
      <c r="K36" s="1"/>
      <c r="L36" s="1">
        <f t="shared" si="20"/>
        <v>-56483.200000000012</v>
      </c>
      <c r="M36" s="1"/>
      <c r="N36" s="5">
        <f t="shared" si="21"/>
        <v>-0.72939947403049799</v>
      </c>
      <c r="O36" s="13"/>
      <c r="P36" s="1">
        <f>SUM(OSRRefP22_0x_0)</f>
        <v>166194.32999999999</v>
      </c>
      <c r="Q36" s="1"/>
      <c r="R36" s="5">
        <f t="shared" si="22"/>
        <v>0.84448136734632784</v>
      </c>
      <c r="S36" s="1"/>
      <c r="T36" s="1">
        <f>SUM(OSRRefT22_0x_0)</f>
        <v>490993.72999999992</v>
      </c>
      <c r="U36" s="1"/>
      <c r="V36" s="5">
        <f t="shared" si="23"/>
        <v>0.10393271668157297</v>
      </c>
      <c r="W36" s="1"/>
      <c r="X36" s="1">
        <f t="shared" si="24"/>
        <v>-324799.39999999991</v>
      </c>
      <c r="Y36" s="1"/>
      <c r="Z36" s="5">
        <f t="shared" si="25"/>
        <v>-0.66151435375763346</v>
      </c>
    </row>
    <row r="37" spans="1:26" s="24" customFormat="1" hidden="1" outlineLevel="2" x14ac:dyDescent="0.25">
      <c r="A37" s="27"/>
      <c r="B37" s="11" t="str">
        <f>CONCATENATE("          ", "6111", " - ", "F.I.C.A.")</f>
        <v xml:space="preserve">          6111 - F.I.C.A.</v>
      </c>
      <c r="C37" s="11"/>
      <c r="D37" s="7">
        <v>1575.88</v>
      </c>
      <c r="E37" s="2"/>
      <c r="F37" s="6">
        <f t="shared" si="18"/>
        <v>2.1835662763521859E-2</v>
      </c>
      <c r="G37" s="2"/>
      <c r="H37" s="7">
        <v>12463.44</v>
      </c>
      <c r="I37" s="2"/>
      <c r="J37" s="6">
        <f t="shared" si="19"/>
        <v>1.9628860843534338E-2</v>
      </c>
      <c r="K37" s="2"/>
      <c r="L37" s="7">
        <f t="shared" si="20"/>
        <v>-10887.560000000001</v>
      </c>
      <c r="M37" s="2"/>
      <c r="N37" s="6">
        <f t="shared" si="21"/>
        <v>-0.8735597876669684</v>
      </c>
      <c r="O37" s="11"/>
      <c r="P37" s="7">
        <v>19554.46</v>
      </c>
      <c r="Q37" s="2"/>
      <c r="R37" s="6">
        <f t="shared" si="22"/>
        <v>9.9361856198819015E-2</v>
      </c>
      <c r="S37" s="2"/>
      <c r="T37" s="7">
        <v>94483.260000000009</v>
      </c>
      <c r="U37" s="2"/>
      <c r="V37" s="6">
        <f t="shared" si="23"/>
        <v>2.0000055586720831E-2</v>
      </c>
      <c r="W37" s="2"/>
      <c r="X37" s="7">
        <f t="shared" si="24"/>
        <v>-74928.800000000017</v>
      </c>
      <c r="Y37" s="2"/>
      <c r="Z37" s="6">
        <f t="shared" si="25"/>
        <v>-0.79303783548535489</v>
      </c>
    </row>
    <row r="38" spans="1:26" s="24" customFormat="1" hidden="1" outlineLevel="2" x14ac:dyDescent="0.25">
      <c r="A38" s="27"/>
      <c r="B38" s="11" t="str">
        <f>CONCATENATE("          ", "6112", " - ", "COMPENSATION INSURANCE")</f>
        <v xml:space="preserve">          6112 - COMPENSATION INSURANCE</v>
      </c>
      <c r="C38" s="11"/>
      <c r="D38" s="7">
        <v>1146.3</v>
      </c>
      <c r="E38" s="2"/>
      <c r="F38" s="6">
        <f t="shared" si="18"/>
        <v>1.5883328823149672E-2</v>
      </c>
      <c r="G38" s="2"/>
      <c r="H38" s="7">
        <v>12127.26</v>
      </c>
      <c r="I38" s="2"/>
      <c r="J38" s="6">
        <f t="shared" si="19"/>
        <v>1.9099405858523828E-2</v>
      </c>
      <c r="K38" s="2"/>
      <c r="L38" s="7">
        <f t="shared" si="20"/>
        <v>-10980.960000000001</v>
      </c>
      <c r="M38" s="2"/>
      <c r="N38" s="6">
        <f t="shared" si="21"/>
        <v>-0.90547741204526011</v>
      </c>
      <c r="O38" s="11"/>
      <c r="P38" s="7">
        <v>5787.37</v>
      </c>
      <c r="Q38" s="2"/>
      <c r="R38" s="6">
        <f t="shared" si="22"/>
        <v>2.9407297655335878E-2</v>
      </c>
      <c r="S38" s="2"/>
      <c r="T38" s="7">
        <v>43365.79</v>
      </c>
      <c r="U38" s="2"/>
      <c r="V38" s="6">
        <f t="shared" si="23"/>
        <v>9.1795965821041981E-3</v>
      </c>
      <c r="W38" s="2"/>
      <c r="X38" s="7">
        <f t="shared" si="24"/>
        <v>-37578.42</v>
      </c>
      <c r="Y38" s="2"/>
      <c r="Z38" s="6">
        <f t="shared" si="25"/>
        <v>-0.86654526528860643</v>
      </c>
    </row>
    <row r="39" spans="1:26" s="24" customFormat="1" hidden="1" outlineLevel="2" x14ac:dyDescent="0.25">
      <c r="A39" s="27"/>
      <c r="B39" s="11" t="str">
        <f>CONCATENATE("          ", "6113", " - ", "GROUP INSURANCE")</f>
        <v xml:space="preserve">          6113 - GROUP INSURANCE</v>
      </c>
      <c r="C39" s="11"/>
      <c r="D39" s="7">
        <v>11290.38</v>
      </c>
      <c r="E39" s="2"/>
      <c r="F39" s="6">
        <f t="shared" si="18"/>
        <v>0.15644143599259583</v>
      </c>
      <c r="G39" s="2"/>
      <c r="H39" s="7">
        <v>27691.43</v>
      </c>
      <c r="I39" s="2"/>
      <c r="J39" s="6">
        <f t="shared" si="19"/>
        <v>4.3611653446277432E-2</v>
      </c>
      <c r="K39" s="2"/>
      <c r="L39" s="7">
        <f t="shared" si="20"/>
        <v>-16401.050000000003</v>
      </c>
      <c r="M39" s="2"/>
      <c r="N39" s="6">
        <f t="shared" si="21"/>
        <v>-0.59227891083992423</v>
      </c>
      <c r="O39" s="11"/>
      <c r="P39" s="7">
        <v>78999.570000000007</v>
      </c>
      <c r="Q39" s="2"/>
      <c r="R39" s="6">
        <f t="shared" si="22"/>
        <v>0.40141962059338576</v>
      </c>
      <c r="S39" s="2"/>
      <c r="T39" s="7">
        <v>165825.53</v>
      </c>
      <c r="U39" s="2"/>
      <c r="V39" s="6">
        <f t="shared" si="23"/>
        <v>3.510166581569521E-2</v>
      </c>
      <c r="W39" s="2"/>
      <c r="X39" s="7">
        <f t="shared" si="24"/>
        <v>-86825.959999999992</v>
      </c>
      <c r="Y39" s="2"/>
      <c r="Z39" s="6">
        <f t="shared" si="25"/>
        <v>-0.5235982662018327</v>
      </c>
    </row>
    <row r="40" spans="1:26" s="24" customFormat="1" hidden="1" outlineLevel="2" x14ac:dyDescent="0.25">
      <c r="A40" s="27"/>
      <c r="B40" s="11" t="str">
        <f>CONCATENATE("          ", "6114", " - ", "STATE UNEMPLOYMENT INSURANCE")</f>
        <v xml:space="preserve">          6114 - STATE UNEMPLOYMENT INSURANCE</v>
      </c>
      <c r="C40" s="11"/>
      <c r="D40" s="7"/>
      <c r="E40" s="2"/>
      <c r="F40" s="6">
        <f t="shared" si="18"/>
        <v>0</v>
      </c>
      <c r="G40" s="2"/>
      <c r="H40" s="7">
        <v>956.95</v>
      </c>
      <c r="I40" s="2"/>
      <c r="J40" s="6">
        <f t="shared" si="19"/>
        <v>1.507115080926308E-3</v>
      </c>
      <c r="K40" s="2"/>
      <c r="L40" s="7">
        <f t="shared" si="20"/>
        <v>-956.95</v>
      </c>
      <c r="M40" s="2"/>
      <c r="N40" s="6">
        <f t="shared" si="21"/>
        <v>-1</v>
      </c>
      <c r="O40" s="11"/>
      <c r="P40" s="7">
        <v>640.41999999999996</v>
      </c>
      <c r="Q40" s="2"/>
      <c r="R40" s="6">
        <f t="shared" si="22"/>
        <v>3.2541588950473536E-3</v>
      </c>
      <c r="S40" s="2"/>
      <c r="T40" s="7">
        <v>4548.6000000000004</v>
      </c>
      <c r="U40" s="2"/>
      <c r="V40" s="6">
        <f t="shared" si="23"/>
        <v>9.6283990245212079E-4</v>
      </c>
      <c r="W40" s="2"/>
      <c r="X40" s="7">
        <f t="shared" si="24"/>
        <v>-3908.1800000000003</v>
      </c>
      <c r="Y40" s="2"/>
      <c r="Z40" s="6">
        <f t="shared" si="25"/>
        <v>-0.8592050301191575</v>
      </c>
    </row>
    <row r="41" spans="1:26" s="24" customFormat="1" hidden="1" outlineLevel="2" x14ac:dyDescent="0.25">
      <c r="A41" s="27"/>
      <c r="B41" s="11" t="str">
        <f>CONCATENATE("          ", "6115", " - ", "P.E.R.S.")</f>
        <v xml:space="preserve">          6115 - P.E.R.S.</v>
      </c>
      <c r="C41" s="11"/>
      <c r="D41" s="7">
        <v>2748.35</v>
      </c>
      <c r="E41" s="2"/>
      <c r="F41" s="6">
        <f t="shared" si="18"/>
        <v>3.8081607581875079E-2</v>
      </c>
      <c r="G41" s="2"/>
      <c r="H41" s="7">
        <v>8126.67</v>
      </c>
      <c r="I41" s="2"/>
      <c r="J41" s="6">
        <f t="shared" si="19"/>
        <v>1.2798815940970164E-2</v>
      </c>
      <c r="K41" s="2"/>
      <c r="L41" s="7">
        <f t="shared" si="20"/>
        <v>-5378.32</v>
      </c>
      <c r="M41" s="2"/>
      <c r="N41" s="6">
        <f t="shared" si="21"/>
        <v>-0.66181104929817502</v>
      </c>
      <c r="O41" s="11"/>
      <c r="P41" s="7">
        <v>25789.769999999997</v>
      </c>
      <c r="Q41" s="2"/>
      <c r="R41" s="6">
        <f t="shared" si="22"/>
        <v>0.13104526630449609</v>
      </c>
      <c r="S41" s="2"/>
      <c r="T41" s="7">
        <v>51960.55</v>
      </c>
      <c r="U41" s="2"/>
      <c r="V41" s="6">
        <f t="shared" si="23"/>
        <v>1.0998920743384459E-2</v>
      </c>
      <c r="W41" s="2"/>
      <c r="X41" s="7">
        <f t="shared" si="24"/>
        <v>-26170.780000000006</v>
      </c>
      <c r="Y41" s="2"/>
      <c r="Z41" s="6">
        <f t="shared" si="25"/>
        <v>-0.50366633917462389</v>
      </c>
    </row>
    <row r="42" spans="1:26" s="24" customFormat="1" hidden="1" outlineLevel="2" x14ac:dyDescent="0.25">
      <c r="A42" s="27"/>
      <c r="B42" s="11" t="str">
        <f>CONCATENATE("          ", "6117", " - ", "RETIREMENT STAFF HOURLY")</f>
        <v xml:space="preserve">          6117 - RETIREMENT STAFF HOURLY</v>
      </c>
      <c r="C42" s="11"/>
      <c r="D42" s="7"/>
      <c r="E42" s="2"/>
      <c r="F42" s="6">
        <f t="shared" si="18"/>
        <v>0</v>
      </c>
      <c r="G42" s="2"/>
      <c r="H42" s="7">
        <v>56</v>
      </c>
      <c r="I42" s="2"/>
      <c r="J42" s="6">
        <f t="shared" si="19"/>
        <v>8.8195250046369452E-5</v>
      </c>
      <c r="K42" s="2"/>
      <c r="L42" s="7">
        <f t="shared" si="20"/>
        <v>-56</v>
      </c>
      <c r="M42" s="2"/>
      <c r="N42" s="6">
        <f t="shared" si="21"/>
        <v>-1</v>
      </c>
      <c r="O42" s="11"/>
      <c r="P42" s="7"/>
      <c r="Q42" s="2"/>
      <c r="R42" s="6">
        <f t="shared" si="22"/>
        <v>0</v>
      </c>
      <c r="S42" s="2"/>
      <c r="T42" s="7">
        <v>364</v>
      </c>
      <c r="U42" s="2"/>
      <c r="V42" s="6">
        <f t="shared" si="23"/>
        <v>7.7050900165451336E-5</v>
      </c>
      <c r="W42" s="2"/>
      <c r="X42" s="7">
        <f t="shared" si="24"/>
        <v>-364</v>
      </c>
      <c r="Y42" s="2"/>
      <c r="Z42" s="6">
        <f t="shared" si="25"/>
        <v>-1</v>
      </c>
    </row>
    <row r="43" spans="1:26" s="24" customFormat="1" hidden="1" outlineLevel="2" x14ac:dyDescent="0.25">
      <c r="A43" s="27"/>
      <c r="B43" s="11" t="str">
        <f>CONCATENATE("          ", "6118", " - ", "VACATION")</f>
        <v xml:space="preserve">          6118 - VACATION</v>
      </c>
      <c r="C43" s="11"/>
      <c r="D43" s="7">
        <v>2400.38</v>
      </c>
      <c r="E43" s="2"/>
      <c r="F43" s="6">
        <f t="shared" si="18"/>
        <v>3.3260075757229356E-2</v>
      </c>
      <c r="G43" s="2"/>
      <c r="H43" s="7">
        <v>7168.07</v>
      </c>
      <c r="I43" s="2"/>
      <c r="J43" s="6">
        <f t="shared" si="19"/>
        <v>1.1289102249997846E-2</v>
      </c>
      <c r="K43" s="2"/>
      <c r="L43" s="7">
        <f t="shared" si="20"/>
        <v>-4767.6899999999996</v>
      </c>
      <c r="M43" s="2"/>
      <c r="N43" s="6">
        <f t="shared" si="21"/>
        <v>-0.66512882826200082</v>
      </c>
      <c r="O43" s="11"/>
      <c r="P43" s="7">
        <v>19471.3</v>
      </c>
      <c r="Q43" s="2"/>
      <c r="R43" s="6">
        <f t="shared" si="22"/>
        <v>9.8939296232371785E-2</v>
      </c>
      <c r="S43" s="2"/>
      <c r="T43" s="7">
        <v>52969.23</v>
      </c>
      <c r="U43" s="2"/>
      <c r="V43" s="6">
        <f t="shared" si="23"/>
        <v>1.1212436408161622E-2</v>
      </c>
      <c r="W43" s="2"/>
      <c r="X43" s="7">
        <f t="shared" si="24"/>
        <v>-33497.930000000008</v>
      </c>
      <c r="Y43" s="2"/>
      <c r="Z43" s="6">
        <f t="shared" si="25"/>
        <v>-0.63240356712755696</v>
      </c>
    </row>
    <row r="44" spans="1:26" s="24" customFormat="1" hidden="1" outlineLevel="2" x14ac:dyDescent="0.25">
      <c r="A44" s="27"/>
      <c r="B44" s="11" t="str">
        <f>CONCATENATE("          ", "6119", " - ", "SICK LEAVE")</f>
        <v xml:space="preserve">          6119 - SICK LEAVE</v>
      </c>
      <c r="C44" s="11"/>
      <c r="D44" s="7">
        <v>1368.1</v>
      </c>
      <c r="E44" s="2"/>
      <c r="F44" s="6">
        <f t="shared" si="18"/>
        <v>1.8956627552081537E-2</v>
      </c>
      <c r="G44" s="2"/>
      <c r="H44" s="7">
        <v>5383.6</v>
      </c>
      <c r="I44" s="2"/>
      <c r="J44" s="6">
        <f t="shared" si="19"/>
        <v>8.4787133598149024E-3</v>
      </c>
      <c r="K44" s="2"/>
      <c r="L44" s="7">
        <f t="shared" si="20"/>
        <v>-4015.5000000000005</v>
      </c>
      <c r="M44" s="2"/>
      <c r="N44" s="6">
        <f t="shared" si="21"/>
        <v>-0.7458763652574486</v>
      </c>
      <c r="O44" s="11"/>
      <c r="P44" s="7">
        <v>11806.74</v>
      </c>
      <c r="Q44" s="2"/>
      <c r="R44" s="6">
        <f t="shared" si="22"/>
        <v>5.9993454283925225E-2</v>
      </c>
      <c r="S44" s="2"/>
      <c r="T44" s="7">
        <v>58036.800000000003</v>
      </c>
      <c r="U44" s="2"/>
      <c r="V44" s="6">
        <f t="shared" si="23"/>
        <v>1.2285130996489743E-2</v>
      </c>
      <c r="W44" s="2"/>
      <c r="X44" s="7">
        <f t="shared" si="24"/>
        <v>-46230.060000000005</v>
      </c>
      <c r="Y44" s="2"/>
      <c r="Z44" s="6">
        <f t="shared" si="25"/>
        <v>-0.79656459349929709</v>
      </c>
    </row>
    <row r="45" spans="1:26" s="24" customFormat="1" hidden="1" outlineLevel="2" x14ac:dyDescent="0.25">
      <c r="A45" s="27"/>
      <c r="B45" s="11" t="str">
        <f>CONCATENATE("          ", "6156", " - ", "EMPLOYEE MEALS")</f>
        <v xml:space="preserve">          6156 - EMPLOYEE MEALS</v>
      </c>
      <c r="C45" s="11"/>
      <c r="D45" s="7">
        <v>425.36</v>
      </c>
      <c r="E45" s="2"/>
      <c r="F45" s="6">
        <f t="shared" si="18"/>
        <v>5.8938608987306506E-3</v>
      </c>
      <c r="G45" s="2"/>
      <c r="H45" s="7">
        <v>3464.53</v>
      </c>
      <c r="I45" s="2"/>
      <c r="J45" s="6">
        <f t="shared" si="19"/>
        <v>5.4563408864847923E-3</v>
      </c>
      <c r="K45" s="2"/>
      <c r="L45" s="7">
        <f t="shared" si="20"/>
        <v>-3039.17</v>
      </c>
      <c r="M45" s="2"/>
      <c r="N45" s="6">
        <f t="shared" si="21"/>
        <v>-0.87722432768658376</v>
      </c>
      <c r="O45" s="11"/>
      <c r="P45" s="7">
        <v>4144.7</v>
      </c>
      <c r="Q45" s="2"/>
      <c r="R45" s="6">
        <f t="shared" si="22"/>
        <v>2.1060417182946763E-2</v>
      </c>
      <c r="S45" s="2"/>
      <c r="T45" s="7">
        <v>19439.969999999998</v>
      </c>
      <c r="U45" s="2"/>
      <c r="V45" s="6">
        <f t="shared" si="23"/>
        <v>4.1150197463993652E-3</v>
      </c>
      <c r="W45" s="2"/>
      <c r="X45" s="7">
        <f t="shared" si="24"/>
        <v>-15295.269999999997</v>
      </c>
      <c r="Y45" s="2"/>
      <c r="Z45" s="6">
        <f t="shared" si="25"/>
        <v>-0.78679493846955517</v>
      </c>
    </row>
    <row r="46" spans="1:26" s="25" customFormat="1" outlineLevel="1" collapsed="1" x14ac:dyDescent="0.25">
      <c r="A46" s="26"/>
      <c r="B46" s="13" t="str">
        <f>CONCATENATE("     ","*Payroll                                          ")</f>
        <v xml:space="preserve">     *Payroll                                          </v>
      </c>
      <c r="C46" s="13"/>
      <c r="D46" s="1">
        <f>SUM(OSRRefD22_1x_0)</f>
        <v>24458.49</v>
      </c>
      <c r="E46" s="1"/>
      <c r="F46" s="5">
        <f t="shared" ref="F46:F53" si="26">IF(D$12=0,0,D46/D$12)</f>
        <v>0.33890101996660388</v>
      </c>
      <c r="G46" s="1"/>
      <c r="H46" s="1">
        <f>SUM(OSRRefH22_1x_0)</f>
        <v>233110.55000000002</v>
      </c>
      <c r="I46" s="1"/>
      <c r="J46" s="5">
        <f t="shared" ref="J46:J53" si="27">IF(H$12=0,0,H46/H$12)</f>
        <v>0.36712934367315553</v>
      </c>
      <c r="K46" s="1"/>
      <c r="L46" s="1">
        <f t="shared" ref="L46:L53" si="28">+D46-H46</f>
        <v>-208652.06000000003</v>
      </c>
      <c r="M46" s="1"/>
      <c r="N46" s="5">
        <f t="shared" ref="N46:N53" si="29">IF(H46=0,0,L46/H46)</f>
        <v>-0.89507772170757616</v>
      </c>
      <c r="O46" s="13"/>
      <c r="P46" s="1">
        <f>SUM(OSRRefP22_1x_0)</f>
        <v>220892.04</v>
      </c>
      <c r="Q46" s="1"/>
      <c r="R46" s="5">
        <f t="shared" ref="R46:R53" si="30">IF(P$12=0,0,P46/P$12)</f>
        <v>1.1224162218718277</v>
      </c>
      <c r="S46" s="1"/>
      <c r="T46" s="1">
        <f>SUM(OSRRefT22_1x_0)</f>
        <v>1609140.9699999997</v>
      </c>
      <c r="U46" s="1"/>
      <c r="V46" s="5">
        <f t="shared" ref="V46:V53" si="31">IF(T$12=0,0,T46/T$12)</f>
        <v>0.34062022041650414</v>
      </c>
      <c r="W46" s="1"/>
      <c r="X46" s="1">
        <f t="shared" ref="X46:X53" si="32">+P46-T46</f>
        <v>-1388248.9299999997</v>
      </c>
      <c r="Y46" s="1"/>
      <c r="Z46" s="5">
        <f t="shared" ref="Z46:Z53" si="33">IF(T46=0,0,X46/T46)</f>
        <v>-0.86272673176670156</v>
      </c>
    </row>
    <row r="47" spans="1:26" s="24" customFormat="1" hidden="1" outlineLevel="2" x14ac:dyDescent="0.25">
      <c r="A47" s="27"/>
      <c r="B47" s="11" t="str">
        <f>CONCATENATE("          ", "6001", " - ", "ADMINISTRATIVE SALARIES")</f>
        <v xml:space="preserve">          6001 - ADMINISTRATIVE SALARIES</v>
      </c>
      <c r="C47" s="11"/>
      <c r="D47" s="7">
        <v>8855.42</v>
      </c>
      <c r="E47" s="2"/>
      <c r="F47" s="6">
        <f t="shared" si="26"/>
        <v>0.12270221384201001</v>
      </c>
      <c r="G47" s="2"/>
      <c r="H47" s="7">
        <v>17492.32</v>
      </c>
      <c r="I47" s="2"/>
      <c r="J47" s="6">
        <f t="shared" si="27"/>
        <v>2.7548920290912663E-2</v>
      </c>
      <c r="K47" s="2"/>
      <c r="L47" s="7">
        <f t="shared" si="28"/>
        <v>-8636.9</v>
      </c>
      <c r="M47" s="2"/>
      <c r="N47" s="6">
        <f t="shared" si="29"/>
        <v>-0.49375383025236219</v>
      </c>
      <c r="O47" s="11"/>
      <c r="P47" s="7">
        <v>62679.80000000001</v>
      </c>
      <c r="Q47" s="2"/>
      <c r="R47" s="6">
        <f t="shared" si="30"/>
        <v>0.31849415806781356</v>
      </c>
      <c r="S47" s="2"/>
      <c r="T47" s="7">
        <v>104234.41</v>
      </c>
      <c r="U47" s="2"/>
      <c r="V47" s="6">
        <f t="shared" si="31"/>
        <v>2.2064162414051437E-2</v>
      </c>
      <c r="W47" s="2"/>
      <c r="X47" s="7">
        <f t="shared" si="32"/>
        <v>-41554.609999999993</v>
      </c>
      <c r="Y47" s="2"/>
      <c r="Z47" s="6">
        <f t="shared" si="33"/>
        <v>-0.39866498980519</v>
      </c>
    </row>
    <row r="48" spans="1:26" s="24" customFormat="1" hidden="1" outlineLevel="2" x14ac:dyDescent="0.25">
      <c r="A48" s="27"/>
      <c r="B48" s="11" t="str">
        <f>CONCATENATE("          ", "6002", " - ", "STAFF SALARIES")</f>
        <v xml:space="preserve">          6002 - STAFF SALARIES</v>
      </c>
      <c r="C48" s="11"/>
      <c r="D48" s="7">
        <v>12942.91</v>
      </c>
      <c r="E48" s="2"/>
      <c r="F48" s="6">
        <f t="shared" si="26"/>
        <v>0.17933917426365883</v>
      </c>
      <c r="G48" s="2"/>
      <c r="H48" s="7">
        <v>71737.91</v>
      </c>
      <c r="I48" s="2"/>
      <c r="J48" s="6">
        <f t="shared" si="27"/>
        <v>0.11298112339739191</v>
      </c>
      <c r="K48" s="2"/>
      <c r="L48" s="7">
        <f t="shared" si="28"/>
        <v>-58795</v>
      </c>
      <c r="M48" s="2"/>
      <c r="N48" s="6">
        <f t="shared" si="29"/>
        <v>-0.81958060947133804</v>
      </c>
      <c r="O48" s="11"/>
      <c r="P48" s="7">
        <v>132749.22999999998</v>
      </c>
      <c r="Q48" s="2"/>
      <c r="R48" s="6">
        <f t="shared" si="30"/>
        <v>0.67453715938788139</v>
      </c>
      <c r="S48" s="2"/>
      <c r="T48" s="7">
        <v>458770.82</v>
      </c>
      <c r="U48" s="2"/>
      <c r="V48" s="6">
        <f t="shared" si="31"/>
        <v>9.7111825963302881E-2</v>
      </c>
      <c r="W48" s="2"/>
      <c r="X48" s="7">
        <f t="shared" si="32"/>
        <v>-326021.59000000003</v>
      </c>
      <c r="Y48" s="2"/>
      <c r="Z48" s="6">
        <f t="shared" si="33"/>
        <v>-0.71064151377369644</v>
      </c>
    </row>
    <row r="49" spans="1:26" s="24" customFormat="1" hidden="1" outlineLevel="2" x14ac:dyDescent="0.25">
      <c r="A49" s="27"/>
      <c r="B49" s="11" t="str">
        <f>CONCATENATE("          ", "6004", " - ", "STAFF HOURLY")</f>
        <v xml:space="preserve">          6004 - STAFF HOURLY</v>
      </c>
      <c r="C49" s="11"/>
      <c r="D49" s="7">
        <v>2426.3000000000002</v>
      </c>
      <c r="E49" s="2"/>
      <c r="F49" s="6">
        <f t="shared" si="26"/>
        <v>3.3619227709681627E-2</v>
      </c>
      <c r="G49" s="2"/>
      <c r="H49" s="7">
        <v>18447.240000000002</v>
      </c>
      <c r="I49" s="2"/>
      <c r="J49" s="6">
        <f t="shared" si="27"/>
        <v>2.9052838294024795E-2</v>
      </c>
      <c r="K49" s="2"/>
      <c r="L49" s="7">
        <f t="shared" si="28"/>
        <v>-16020.940000000002</v>
      </c>
      <c r="M49" s="2"/>
      <c r="N49" s="6">
        <f t="shared" si="29"/>
        <v>-0.86847354943070076</v>
      </c>
      <c r="O49" s="11"/>
      <c r="P49" s="7">
        <v>20524.63</v>
      </c>
      <c r="Q49" s="2"/>
      <c r="R49" s="6">
        <f t="shared" si="30"/>
        <v>0.10429157003537642</v>
      </c>
      <c r="S49" s="2"/>
      <c r="T49" s="7">
        <v>122092.62999999999</v>
      </c>
      <c r="U49" s="2"/>
      <c r="V49" s="6">
        <f t="shared" si="31"/>
        <v>2.5844360013921396E-2</v>
      </c>
      <c r="W49" s="2"/>
      <c r="X49" s="7">
        <f t="shared" si="32"/>
        <v>-101567.99999999999</v>
      </c>
      <c r="Y49" s="2"/>
      <c r="Z49" s="6">
        <f t="shared" si="33"/>
        <v>-0.83189296520191258</v>
      </c>
    </row>
    <row r="50" spans="1:26" s="24" customFormat="1" hidden="1" outlineLevel="2" x14ac:dyDescent="0.25">
      <c r="A50" s="27"/>
      <c r="B50" s="11" t="str">
        <f>CONCATENATE("          ", "6005", " - ", "TEMPORARY WAGES-HOURLY")</f>
        <v xml:space="preserve">          6005 - TEMPORARY WAGES-HOURLY</v>
      </c>
      <c r="C50" s="11"/>
      <c r="D50" s="7">
        <v>233.86</v>
      </c>
      <c r="E50" s="2"/>
      <c r="F50" s="6">
        <f t="shared" si="26"/>
        <v>3.2404041512534088E-3</v>
      </c>
      <c r="G50" s="2"/>
      <c r="H50" s="7">
        <v>45964.56</v>
      </c>
      <c r="I50" s="2"/>
      <c r="J50" s="6">
        <f t="shared" si="27"/>
        <v>7.2390283258416982E-2</v>
      </c>
      <c r="K50" s="2"/>
      <c r="L50" s="7">
        <f t="shared" si="28"/>
        <v>-45730.7</v>
      </c>
      <c r="M50" s="2"/>
      <c r="N50" s="6">
        <f t="shared" si="29"/>
        <v>-0.9949121671130976</v>
      </c>
      <c r="O50" s="11"/>
      <c r="P50" s="7">
        <v>4868.67</v>
      </c>
      <c r="Q50" s="2"/>
      <c r="R50" s="6">
        <f t="shared" si="30"/>
        <v>2.4739117747025703E-2</v>
      </c>
      <c r="S50" s="2"/>
      <c r="T50" s="7">
        <v>315142.83999999997</v>
      </c>
      <c r="U50" s="2"/>
      <c r="V50" s="6">
        <f t="shared" si="31"/>
        <v>6.6708899732683527E-2</v>
      </c>
      <c r="W50" s="2"/>
      <c r="X50" s="7">
        <f t="shared" si="32"/>
        <v>-310274.17</v>
      </c>
      <c r="Y50" s="2"/>
      <c r="Z50" s="6">
        <f t="shared" si="33"/>
        <v>-0.9845509103110196</v>
      </c>
    </row>
    <row r="51" spans="1:26" s="24" customFormat="1" hidden="1" outlineLevel="2" x14ac:dyDescent="0.25">
      <c r="A51" s="27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6"/>
        <v>0</v>
      </c>
      <c r="G51" s="2"/>
      <c r="H51" s="7">
        <v>2120.88</v>
      </c>
      <c r="I51" s="2"/>
      <c r="J51" s="6">
        <f t="shared" si="27"/>
        <v>3.340206105684715E-3</v>
      </c>
      <c r="K51" s="2"/>
      <c r="L51" s="7">
        <f t="shared" si="28"/>
        <v>-2120.88</v>
      </c>
      <c r="M51" s="2"/>
      <c r="N51" s="6">
        <f t="shared" si="29"/>
        <v>-1</v>
      </c>
      <c r="O51" s="11"/>
      <c r="P51" s="7"/>
      <c r="Q51" s="2"/>
      <c r="R51" s="6">
        <f t="shared" si="30"/>
        <v>0</v>
      </c>
      <c r="S51" s="2"/>
      <c r="T51" s="7">
        <v>20676.080000000002</v>
      </c>
      <c r="U51" s="2"/>
      <c r="V51" s="6">
        <f t="shared" si="31"/>
        <v>4.3766774062991357E-3</v>
      </c>
      <c r="W51" s="2"/>
      <c r="X51" s="7">
        <f t="shared" si="32"/>
        <v>-20676.080000000002</v>
      </c>
      <c r="Y51" s="2"/>
      <c r="Z51" s="6">
        <f t="shared" si="33"/>
        <v>-1</v>
      </c>
    </row>
    <row r="52" spans="1:26" s="24" customFormat="1" hidden="1" outlineLevel="2" x14ac:dyDescent="0.25">
      <c r="A52" s="27"/>
      <c r="B52" s="11" t="str">
        <f>CONCATENATE("          ", "6007", " - ", "STUDENT HOURLY")</f>
        <v xml:space="preserve">          6007 - STUDENT HOURLY</v>
      </c>
      <c r="C52" s="11"/>
      <c r="D52" s="7"/>
      <c r="E52" s="2"/>
      <c r="F52" s="6">
        <f t="shared" si="26"/>
        <v>0</v>
      </c>
      <c r="G52" s="2"/>
      <c r="H52" s="7">
        <v>72881.23</v>
      </c>
      <c r="I52" s="2"/>
      <c r="J52" s="6">
        <f t="shared" si="27"/>
        <v>0.11478175542030289</v>
      </c>
      <c r="K52" s="2"/>
      <c r="L52" s="7">
        <f t="shared" si="28"/>
        <v>-72881.23</v>
      </c>
      <c r="M52" s="2"/>
      <c r="N52" s="6">
        <f t="shared" si="29"/>
        <v>-1</v>
      </c>
      <c r="O52" s="11"/>
      <c r="P52" s="7">
        <v>69.709999999999994</v>
      </c>
      <c r="Q52" s="2"/>
      <c r="R52" s="6">
        <f t="shared" si="30"/>
        <v>3.5421663373060025E-4</v>
      </c>
      <c r="S52" s="2"/>
      <c r="T52" s="7">
        <v>557882.73</v>
      </c>
      <c r="U52" s="2"/>
      <c r="V52" s="6">
        <f t="shared" si="31"/>
        <v>0.11809166630016331</v>
      </c>
      <c r="W52" s="2"/>
      <c r="X52" s="7">
        <f t="shared" si="32"/>
        <v>-557813.02</v>
      </c>
      <c r="Y52" s="2"/>
      <c r="Z52" s="6">
        <f t="shared" si="33"/>
        <v>-0.99987504542397299</v>
      </c>
    </row>
    <row r="53" spans="1:26" s="24" customFormat="1" hidden="1" outlineLevel="2" x14ac:dyDescent="0.25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7"/>
      <c r="E53" s="2"/>
      <c r="F53" s="6">
        <f t="shared" si="26"/>
        <v>0</v>
      </c>
      <c r="G53" s="2"/>
      <c r="H53" s="7">
        <v>4466.41</v>
      </c>
      <c r="I53" s="2"/>
      <c r="J53" s="6">
        <f t="shared" si="27"/>
        <v>7.0342169064215171E-3</v>
      </c>
      <c r="K53" s="2"/>
      <c r="L53" s="7">
        <f t="shared" si="28"/>
        <v>-4466.41</v>
      </c>
      <c r="M53" s="2"/>
      <c r="N53" s="6">
        <f t="shared" si="29"/>
        <v>-1</v>
      </c>
      <c r="O53" s="11"/>
      <c r="P53" s="7"/>
      <c r="Q53" s="2"/>
      <c r="R53" s="6">
        <f t="shared" si="30"/>
        <v>0</v>
      </c>
      <c r="S53" s="2"/>
      <c r="T53" s="7">
        <v>30341.459999999995</v>
      </c>
      <c r="U53" s="2"/>
      <c r="V53" s="6">
        <f t="shared" si="31"/>
        <v>6.4226285860825129E-3</v>
      </c>
      <c r="W53" s="2"/>
      <c r="X53" s="7">
        <f t="shared" si="32"/>
        <v>-30341.459999999995</v>
      </c>
      <c r="Y53" s="2"/>
      <c r="Z53" s="6">
        <f t="shared" si="33"/>
        <v>-1</v>
      </c>
    </row>
    <row r="54" spans="1:26" s="25" customFormat="1" outlineLevel="1" collapsed="1" x14ac:dyDescent="0.25">
      <c r="A54" s="26"/>
      <c r="B54" s="13" t="str">
        <f>CONCATENATE("     ","Advertising/Promo                                 ")</f>
        <v xml:space="preserve">     Advertising/Promo                                 </v>
      </c>
      <c r="C54" s="13"/>
      <c r="D54" s="1">
        <f>SUM(OSRRefD22_2x_0)</f>
        <v>7.42</v>
      </c>
      <c r="E54" s="1"/>
      <c r="F54" s="5">
        <f t="shared" ref="F54:F63" si="34">IF(D$12=0,0,D54/D$12)</f>
        <v>1.0281278885786493E-4</v>
      </c>
      <c r="G54" s="1"/>
      <c r="H54" s="1">
        <f>SUM(OSRRefH22_2x_0)</f>
        <v>3323.74</v>
      </c>
      <c r="I54" s="1"/>
      <c r="J54" s="5">
        <f t="shared" ref="J54:J63" si="35">IF(H$12=0,0,H54/H$12)</f>
        <v>5.2346085783771422E-3</v>
      </c>
      <c r="K54" s="1"/>
      <c r="L54" s="1">
        <f t="shared" ref="L54:L63" si="36">+D54-H54</f>
        <v>-3316.3199999999997</v>
      </c>
      <c r="M54" s="1"/>
      <c r="N54" s="5">
        <f t="shared" ref="N54:N63" si="37">IF(H54=0,0,L54/H54)</f>
        <v>-0.99776757508108338</v>
      </c>
      <c r="O54" s="13"/>
      <c r="P54" s="1">
        <f>SUM(OSRRefP22_2x_0)</f>
        <v>133.94999999999999</v>
      </c>
      <c r="Q54" s="1"/>
      <c r="R54" s="5">
        <f t="shared" ref="R54:R63" si="38">IF(P$12=0,0,P54/P$12)</f>
        <v>6.8063861839354331E-4</v>
      </c>
      <c r="S54" s="1"/>
      <c r="T54" s="1">
        <f>SUM(OSRRefT22_2x_0)</f>
        <v>22074.84</v>
      </c>
      <c r="U54" s="1"/>
      <c r="V54" s="5">
        <f t="shared" ref="V54:V63" si="39">IF(T$12=0,0,T54/T$12)</f>
        <v>4.6727645412316257E-3</v>
      </c>
      <c r="W54" s="1"/>
      <c r="X54" s="1">
        <f t="shared" ref="X54:X63" si="40">+P54-T54</f>
        <v>-21940.89</v>
      </c>
      <c r="Y54" s="1"/>
      <c r="Z54" s="5">
        <f t="shared" ref="Z54:Z63" si="41">IF(T54=0,0,X54/T54)</f>
        <v>-0.99393200584919295</v>
      </c>
    </row>
    <row r="55" spans="1:26" s="24" customFormat="1" hidden="1" outlineLevel="2" x14ac:dyDescent="0.25">
      <c r="A55" s="27"/>
      <c r="B55" s="11" t="str">
        <f>CONCATENATE("          ", "6362", " - ", "ADVERTISING EXPENSE")</f>
        <v xml:space="preserve">          6362 - ADVERTISING EXPENSE</v>
      </c>
      <c r="C55" s="11"/>
      <c r="D55" s="7">
        <v>7.42</v>
      </c>
      <c r="E55" s="2"/>
      <c r="F55" s="6">
        <f t="shared" si="34"/>
        <v>1.0281278885786493E-4</v>
      </c>
      <c r="G55" s="2"/>
      <c r="H55" s="7">
        <v>3323.74</v>
      </c>
      <c r="I55" s="2"/>
      <c r="J55" s="6">
        <f t="shared" si="35"/>
        <v>5.2346085783771422E-3</v>
      </c>
      <c r="K55" s="2"/>
      <c r="L55" s="7">
        <f t="shared" si="36"/>
        <v>-3316.3199999999997</v>
      </c>
      <c r="M55" s="2"/>
      <c r="N55" s="6">
        <f t="shared" si="37"/>
        <v>-0.99776757508108338</v>
      </c>
      <c r="O55" s="11"/>
      <c r="P55" s="7">
        <v>133.94999999999999</v>
      </c>
      <c r="Q55" s="2"/>
      <c r="R55" s="6">
        <f t="shared" si="38"/>
        <v>6.8063861839354331E-4</v>
      </c>
      <c r="S55" s="2"/>
      <c r="T55" s="7">
        <v>22074.84</v>
      </c>
      <c r="U55" s="2"/>
      <c r="V55" s="6">
        <f t="shared" si="39"/>
        <v>4.6727645412316257E-3</v>
      </c>
      <c r="W55" s="2"/>
      <c r="X55" s="7">
        <f t="shared" si="40"/>
        <v>-21940.89</v>
      </c>
      <c r="Y55" s="2"/>
      <c r="Z55" s="6">
        <f t="shared" si="41"/>
        <v>-0.99393200584919295</v>
      </c>
    </row>
    <row r="56" spans="1:26" s="25" customFormat="1" outlineLevel="1" collapsed="1" x14ac:dyDescent="0.25">
      <c r="A56" s="26"/>
      <c r="B56" s="13" t="str">
        <f>CONCATENATE("     ","Bad Debts/Over/Short                              ")</f>
        <v xml:space="preserve">     Bad Debts/Over/Short                              </v>
      </c>
      <c r="C56" s="13"/>
      <c r="D56" s="1">
        <f>SUM(OSRRefD22_3x_0)</f>
        <v>1.74</v>
      </c>
      <c r="E56" s="1"/>
      <c r="F56" s="5">
        <f t="shared" si="34"/>
        <v>2.4109737548879378E-5</v>
      </c>
      <c r="G56" s="1"/>
      <c r="H56" s="1">
        <f>SUM(OSRRefH22_3x_0)</f>
        <v>-98.61</v>
      </c>
      <c r="I56" s="1"/>
      <c r="J56" s="5">
        <f t="shared" si="35"/>
        <v>-1.553023858405802E-4</v>
      </c>
      <c r="K56" s="1"/>
      <c r="L56" s="1">
        <f t="shared" si="36"/>
        <v>100.35</v>
      </c>
      <c r="M56" s="1"/>
      <c r="N56" s="5">
        <f t="shared" si="37"/>
        <v>-1.0176452692424702</v>
      </c>
      <c r="O56" s="13"/>
      <c r="P56" s="1">
        <f>SUM(OSRRefP22_3x_0)</f>
        <v>12.1</v>
      </c>
      <c r="Q56" s="1"/>
      <c r="R56" s="5">
        <f t="shared" si="38"/>
        <v>6.1483593001581739E-5</v>
      </c>
      <c r="S56" s="1"/>
      <c r="T56" s="1">
        <f>SUM(OSRRefT22_3x_0)</f>
        <v>-374.93</v>
      </c>
      <c r="U56" s="1"/>
      <c r="V56" s="5">
        <f t="shared" si="39"/>
        <v>-7.9364543953386465E-5</v>
      </c>
      <c r="W56" s="1"/>
      <c r="X56" s="1">
        <f t="shared" si="40"/>
        <v>387.03000000000003</v>
      </c>
      <c r="Y56" s="1"/>
      <c r="Z56" s="5">
        <f t="shared" si="41"/>
        <v>-1.0322726909023019</v>
      </c>
    </row>
    <row r="57" spans="1:26" s="24" customFormat="1" hidden="1" outlineLevel="2" x14ac:dyDescent="0.25">
      <c r="A57" s="27"/>
      <c r="B57" s="11" t="str">
        <f>CONCATENATE("          ", "6272", " - ", "CASH (OVER/SHORT)")</f>
        <v xml:space="preserve">          6272 - CASH (OVER/SHORT)</v>
      </c>
      <c r="C57" s="11"/>
      <c r="D57" s="7">
        <v>1.74</v>
      </c>
      <c r="E57" s="2"/>
      <c r="F57" s="6">
        <f t="shared" si="34"/>
        <v>2.4109737548879378E-5</v>
      </c>
      <c r="G57" s="2"/>
      <c r="H57" s="7">
        <v>-98.61</v>
      </c>
      <c r="I57" s="2"/>
      <c r="J57" s="6">
        <f t="shared" si="35"/>
        <v>-1.553023858405802E-4</v>
      </c>
      <c r="K57" s="2"/>
      <c r="L57" s="7">
        <f t="shared" si="36"/>
        <v>100.35</v>
      </c>
      <c r="M57" s="2"/>
      <c r="N57" s="6">
        <f t="shared" si="37"/>
        <v>-1.0176452692424702</v>
      </c>
      <c r="O57" s="11"/>
      <c r="P57" s="7">
        <v>12.1</v>
      </c>
      <c r="Q57" s="2"/>
      <c r="R57" s="6">
        <f t="shared" si="38"/>
        <v>6.1483593001581739E-5</v>
      </c>
      <c r="S57" s="2"/>
      <c r="T57" s="7">
        <v>-374.93</v>
      </c>
      <c r="U57" s="2"/>
      <c r="V57" s="6">
        <f t="shared" si="39"/>
        <v>-7.9364543953386465E-5</v>
      </c>
      <c r="W57" s="2"/>
      <c r="X57" s="7">
        <f t="shared" si="40"/>
        <v>387.03000000000003</v>
      </c>
      <c r="Y57" s="2"/>
      <c r="Z57" s="6">
        <f t="shared" si="41"/>
        <v>-1.0322726909023019</v>
      </c>
    </row>
    <row r="58" spans="1:26" s="25" customFormat="1" outlineLevel="1" collapsed="1" x14ac:dyDescent="0.25">
      <c r="A58" s="26"/>
      <c r="B58" s="13" t="str">
        <f>CONCATENATE("     ","Bank/card Fees                                    ")</f>
        <v xml:space="preserve">     Bank/card Fees                                    </v>
      </c>
      <c r="C58" s="13"/>
      <c r="D58" s="1">
        <f>SUM(OSRRefD22_4x_0)</f>
        <v>913.56</v>
      </c>
      <c r="E58" s="1"/>
      <c r="F58" s="5">
        <f t="shared" si="34"/>
        <v>1.2658443583421978E-2</v>
      </c>
      <c r="G58" s="1"/>
      <c r="H58" s="1">
        <f>SUM(OSRRefH22_4x_0)</f>
        <v>32106.499999999996</v>
      </c>
      <c r="I58" s="1"/>
      <c r="J58" s="5">
        <f t="shared" si="35"/>
        <v>5.0565014207388577E-2</v>
      </c>
      <c r="K58" s="1"/>
      <c r="L58" s="1">
        <f t="shared" si="36"/>
        <v>-31192.939999999995</v>
      </c>
      <c r="M58" s="1"/>
      <c r="N58" s="5">
        <f t="shared" si="37"/>
        <v>-0.97154594863968347</v>
      </c>
      <c r="O58" s="13"/>
      <c r="P58" s="1">
        <f>SUM(OSRRefP22_4x_0)</f>
        <v>4168.09</v>
      </c>
      <c r="Q58" s="1"/>
      <c r="R58" s="5">
        <f t="shared" si="38"/>
        <v>2.1179268525120899E-2</v>
      </c>
      <c r="S58" s="1"/>
      <c r="T58" s="1">
        <f>SUM(OSRRefT22_4x_0)</f>
        <v>160126.79999999999</v>
      </c>
      <c r="U58" s="1"/>
      <c r="V58" s="5">
        <f t="shared" si="39"/>
        <v>3.3895368353332948E-2</v>
      </c>
      <c r="W58" s="1"/>
      <c r="X58" s="1">
        <f t="shared" si="40"/>
        <v>-155958.71</v>
      </c>
      <c r="Y58" s="1"/>
      <c r="Z58" s="5">
        <f t="shared" si="41"/>
        <v>-0.97397006622251869</v>
      </c>
    </row>
    <row r="59" spans="1:26" s="24" customFormat="1" hidden="1" outlineLevel="2" x14ac:dyDescent="0.25">
      <c r="A59" s="27"/>
      <c r="B59" s="11" t="str">
        <f>CONCATENATE("          ", "6381", " - ", "BANK/CREDIT CARD FEES")</f>
        <v xml:space="preserve">          6381 - BANK/CREDIT CARD FEES</v>
      </c>
      <c r="C59" s="11"/>
      <c r="D59" s="7">
        <v>913.56</v>
      </c>
      <c r="E59" s="2"/>
      <c r="F59" s="6">
        <f t="shared" si="34"/>
        <v>1.2658443583421978E-2</v>
      </c>
      <c r="G59" s="2"/>
      <c r="H59" s="7">
        <v>32106.499999999996</v>
      </c>
      <c r="I59" s="2"/>
      <c r="J59" s="6">
        <f t="shared" si="35"/>
        <v>5.0565014207388577E-2</v>
      </c>
      <c r="K59" s="2"/>
      <c r="L59" s="7">
        <f t="shared" si="36"/>
        <v>-31192.939999999995</v>
      </c>
      <c r="M59" s="2"/>
      <c r="N59" s="6">
        <f t="shared" si="37"/>
        <v>-0.97154594863968347</v>
      </c>
      <c r="O59" s="11"/>
      <c r="P59" s="7">
        <v>4168.09</v>
      </c>
      <c r="Q59" s="2"/>
      <c r="R59" s="6">
        <f t="shared" si="38"/>
        <v>2.1179268525120899E-2</v>
      </c>
      <c r="S59" s="2"/>
      <c r="T59" s="7">
        <v>160126.79999999999</v>
      </c>
      <c r="U59" s="2"/>
      <c r="V59" s="6">
        <f t="shared" si="39"/>
        <v>3.3895368353332948E-2</v>
      </c>
      <c r="W59" s="2"/>
      <c r="X59" s="7">
        <f t="shared" si="40"/>
        <v>-155958.71</v>
      </c>
      <c r="Y59" s="2"/>
      <c r="Z59" s="6">
        <f t="shared" si="41"/>
        <v>-0.97397006622251869</v>
      </c>
    </row>
    <row r="60" spans="1:26" s="25" customFormat="1" outlineLevel="1" collapsed="1" x14ac:dyDescent="0.25">
      <c r="A60" s="26"/>
      <c r="B60" s="13" t="str">
        <f>CONCATENATE("     ","Depreciation                                      ")</f>
        <v xml:space="preserve">     Depreciation                                      </v>
      </c>
      <c r="C60" s="13"/>
      <c r="D60" s="1">
        <f>SUM(OSRRefD22_5x_0)</f>
        <v>45872.85</v>
      </c>
      <c r="E60" s="1"/>
      <c r="F60" s="5">
        <f t="shared" si="34"/>
        <v>0.63562205409144323</v>
      </c>
      <c r="G60" s="1"/>
      <c r="H60" s="1">
        <f>SUM(OSRRefH22_5x_0)</f>
        <v>49292.520000000004</v>
      </c>
      <c r="I60" s="1"/>
      <c r="J60" s="5">
        <f t="shared" si="35"/>
        <v>7.7631537978851195E-2</v>
      </c>
      <c r="K60" s="1"/>
      <c r="L60" s="1">
        <f t="shared" si="36"/>
        <v>-3419.6700000000055</v>
      </c>
      <c r="M60" s="1"/>
      <c r="N60" s="5">
        <f t="shared" si="37"/>
        <v>-6.9375028909051617E-2</v>
      </c>
      <c r="O60" s="13"/>
      <c r="P60" s="1">
        <f>SUM(OSRRefP22_5x_0)</f>
        <v>278241.90000000002</v>
      </c>
      <c r="Q60" s="1"/>
      <c r="R60" s="5">
        <f t="shared" si="38"/>
        <v>1.413827416164199</v>
      </c>
      <c r="S60" s="1"/>
      <c r="T60" s="1">
        <f>SUM(OSRRefT22_5x_0)</f>
        <v>289165.17000000004</v>
      </c>
      <c r="U60" s="1"/>
      <c r="V60" s="5">
        <f t="shared" si="39"/>
        <v>6.1209990782955408E-2</v>
      </c>
      <c r="W60" s="1"/>
      <c r="X60" s="1">
        <f t="shared" si="40"/>
        <v>-10923.270000000019</v>
      </c>
      <c r="Y60" s="1"/>
      <c r="Z60" s="5">
        <f t="shared" si="41"/>
        <v>-3.7775192634714676E-2</v>
      </c>
    </row>
    <row r="61" spans="1:26" s="24" customFormat="1" hidden="1" outlineLevel="2" x14ac:dyDescent="0.25">
      <c r="A61" s="27"/>
      <c r="B61" s="11" t="str">
        <f>CONCATENATE("          ", "6321", " - ", "BUILDING DEPRECIATION")</f>
        <v xml:space="preserve">          6321 - BUILDING DEPRECIATION</v>
      </c>
      <c r="C61" s="11"/>
      <c r="D61" s="7">
        <v>28664</v>
      </c>
      <c r="E61" s="2"/>
      <c r="F61" s="6">
        <f t="shared" si="34"/>
        <v>0.39717328569027499</v>
      </c>
      <c r="G61" s="2"/>
      <c r="H61" s="7">
        <v>29123.47</v>
      </c>
      <c r="I61" s="2"/>
      <c r="J61" s="6">
        <f t="shared" si="35"/>
        <v>4.586699497978463E-2</v>
      </c>
      <c r="K61" s="2"/>
      <c r="L61" s="7">
        <f t="shared" si="36"/>
        <v>-459.47000000000116</v>
      </c>
      <c r="M61" s="2"/>
      <c r="N61" s="6">
        <f t="shared" si="37"/>
        <v>-1.5776622771943079E-2</v>
      </c>
      <c r="O61" s="11"/>
      <c r="P61" s="7">
        <v>172768.19</v>
      </c>
      <c r="Q61" s="2"/>
      <c r="R61" s="6">
        <f t="shared" si="38"/>
        <v>0.87788504773387976</v>
      </c>
      <c r="S61" s="2"/>
      <c r="T61" s="7">
        <v>174740.82</v>
      </c>
      <c r="U61" s="2"/>
      <c r="V61" s="6">
        <f t="shared" si="39"/>
        <v>3.6988839221563471E-2</v>
      </c>
      <c r="W61" s="2"/>
      <c r="X61" s="7">
        <f t="shared" si="40"/>
        <v>-1972.6300000000047</v>
      </c>
      <c r="Y61" s="2"/>
      <c r="Z61" s="6">
        <f t="shared" si="41"/>
        <v>-1.1288890598086953E-2</v>
      </c>
    </row>
    <row r="62" spans="1:26" s="24" customFormat="1" hidden="1" outlineLevel="2" x14ac:dyDescent="0.25">
      <c r="A62" s="27"/>
      <c r="B62" s="11" t="str">
        <f>CONCATENATE("          ", "6322", " - ", "EQUIPMENT DEPRECIATION EXPENSE")</f>
        <v xml:space="preserve">          6322 - EQUIPMENT DEPRECIATION EXPENSE</v>
      </c>
      <c r="C62" s="11"/>
      <c r="D62" s="7">
        <v>17208.849999999999</v>
      </c>
      <c r="E62" s="2"/>
      <c r="F62" s="6">
        <f t="shared" si="34"/>
        <v>0.2384487684011683</v>
      </c>
      <c r="G62" s="2"/>
      <c r="H62" s="7">
        <v>19744.8</v>
      </c>
      <c r="I62" s="2"/>
      <c r="J62" s="6">
        <f t="shared" si="35"/>
        <v>3.1096385234206346E-2</v>
      </c>
      <c r="K62" s="2"/>
      <c r="L62" s="7">
        <f t="shared" si="36"/>
        <v>-2535.9500000000007</v>
      </c>
      <c r="M62" s="2"/>
      <c r="N62" s="6">
        <f t="shared" si="37"/>
        <v>-0.12843634779790125</v>
      </c>
      <c r="O62" s="11"/>
      <c r="P62" s="7">
        <v>105473.70999999999</v>
      </c>
      <c r="Q62" s="2"/>
      <c r="R62" s="6">
        <f t="shared" si="38"/>
        <v>0.53594236843031917</v>
      </c>
      <c r="S62" s="2"/>
      <c r="T62" s="7">
        <v>111878.85</v>
      </c>
      <c r="U62" s="2"/>
      <c r="V62" s="6">
        <f t="shared" si="39"/>
        <v>2.3682324455976664E-2</v>
      </c>
      <c r="W62" s="2"/>
      <c r="X62" s="7">
        <f t="shared" si="40"/>
        <v>-6405.140000000014</v>
      </c>
      <c r="Y62" s="2"/>
      <c r="Z62" s="6">
        <f t="shared" si="41"/>
        <v>-5.7250677853767834E-2</v>
      </c>
    </row>
    <row r="63" spans="1:26" s="24" customFormat="1" hidden="1" outlineLevel="2" x14ac:dyDescent="0.25">
      <c r="A63" s="27"/>
      <c r="B63" s="11" t="str">
        <f>CONCATENATE("          ", "6326", " - ", "VEHICLES DEPRECIATION EXPENSE")</f>
        <v xml:space="preserve">          6326 - VEHICLES DEPRECIATION EXPENSE</v>
      </c>
      <c r="C63" s="11"/>
      <c r="D63" s="7"/>
      <c r="E63" s="2"/>
      <c r="F63" s="6">
        <f t="shared" si="34"/>
        <v>0</v>
      </c>
      <c r="G63" s="2"/>
      <c r="H63" s="7">
        <v>424.25</v>
      </c>
      <c r="I63" s="2"/>
      <c r="J63" s="6">
        <f t="shared" si="35"/>
        <v>6.6815776486021852E-4</v>
      </c>
      <c r="K63" s="2"/>
      <c r="L63" s="7">
        <f t="shared" si="36"/>
        <v>-424.25</v>
      </c>
      <c r="M63" s="2"/>
      <c r="N63" s="6">
        <f t="shared" si="37"/>
        <v>-1</v>
      </c>
      <c r="O63" s="11"/>
      <c r="P63" s="7"/>
      <c r="Q63" s="2"/>
      <c r="R63" s="6">
        <f t="shared" si="38"/>
        <v>0</v>
      </c>
      <c r="S63" s="2"/>
      <c r="T63" s="7">
        <v>2545.5</v>
      </c>
      <c r="U63" s="2"/>
      <c r="V63" s="6">
        <f t="shared" si="39"/>
        <v>5.3882710541526481E-4</v>
      </c>
      <c r="W63" s="2"/>
      <c r="X63" s="7">
        <f t="shared" si="40"/>
        <v>-2545.5</v>
      </c>
      <c r="Y63" s="2"/>
      <c r="Z63" s="6">
        <f t="shared" si="41"/>
        <v>-1</v>
      </c>
    </row>
    <row r="64" spans="1:26" s="25" customFormat="1" outlineLevel="1" collapsed="1" x14ac:dyDescent="0.25">
      <c r="A64" s="26"/>
      <c r="B64" s="13" t="str">
        <f>CONCATENATE("     ","Discounts and Markdowns                           ")</f>
        <v xml:space="preserve">     Discounts and Markdowns                           </v>
      </c>
      <c r="C64" s="13"/>
      <c r="D64" s="1">
        <f>SUM(OSRRefD22_6x_0)</f>
        <v>0</v>
      </c>
      <c r="E64" s="1"/>
      <c r="F64" s="5">
        <f t="shared" ref="F64:F74" si="42">IF(D$12=0,0,D64/D$12)</f>
        <v>0</v>
      </c>
      <c r="G64" s="1"/>
      <c r="H64" s="1">
        <f>SUM(OSRRefH22_6x_0)</f>
        <v>16.62</v>
      </c>
      <c r="I64" s="1"/>
      <c r="J64" s="5">
        <f t="shared" ref="J64:J74" si="43">IF(H$12=0,0,H64/H$12)</f>
        <v>2.6175090281618935E-5</v>
      </c>
      <c r="K64" s="1"/>
      <c r="L64" s="1">
        <f t="shared" ref="L64:L74" si="44">+D64-H64</f>
        <v>-16.62</v>
      </c>
      <c r="M64" s="1"/>
      <c r="N64" s="5">
        <f t="shared" ref="N64:N74" si="45">IF(H64=0,0,L64/H64)</f>
        <v>-1</v>
      </c>
      <c r="O64" s="13"/>
      <c r="P64" s="1">
        <f>SUM(OSRRefP22_6x_0)</f>
        <v>0</v>
      </c>
      <c r="Q64" s="1"/>
      <c r="R64" s="5">
        <f t="shared" ref="R64:R74" si="46">IF(P$12=0,0,P64/P$12)</f>
        <v>0</v>
      </c>
      <c r="S64" s="1"/>
      <c r="T64" s="1">
        <f>SUM(OSRRefT22_6x_0)</f>
        <v>76.37</v>
      </c>
      <c r="U64" s="1"/>
      <c r="V64" s="5">
        <f t="shared" ref="V64:V74" si="47">IF(T$12=0,0,T64/T$12)</f>
        <v>1.6165871553943733E-5</v>
      </c>
      <c r="W64" s="1"/>
      <c r="X64" s="1">
        <f t="shared" ref="X64:X74" si="48">+P64-T64</f>
        <v>-76.37</v>
      </c>
      <c r="Y64" s="1"/>
      <c r="Z64" s="5">
        <f t="shared" ref="Z64:Z74" si="49">IF(T64=0,0,X64/T64)</f>
        <v>-1</v>
      </c>
    </row>
    <row r="65" spans="1:26" s="24" customFormat="1" hidden="1" outlineLevel="2" x14ac:dyDescent="0.25">
      <c r="A65" s="27"/>
      <c r="B65" s="11" t="str">
        <f>CONCATENATE("          ", "6382", " - ", "DISCOUNTS/MARK DOWNS")</f>
        <v xml:space="preserve">          6382 - DISCOUNTS/MARK DOWNS</v>
      </c>
      <c r="C65" s="11"/>
      <c r="D65" s="7"/>
      <c r="E65" s="2"/>
      <c r="F65" s="6">
        <f t="shared" si="42"/>
        <v>0</v>
      </c>
      <c r="G65" s="2"/>
      <c r="H65" s="7">
        <v>16.62</v>
      </c>
      <c r="I65" s="2"/>
      <c r="J65" s="6">
        <f t="shared" si="43"/>
        <v>2.6175090281618935E-5</v>
      </c>
      <c r="K65" s="2"/>
      <c r="L65" s="7">
        <f t="shared" si="44"/>
        <v>-16.62</v>
      </c>
      <c r="M65" s="2"/>
      <c r="N65" s="6">
        <f t="shared" si="45"/>
        <v>-1</v>
      </c>
      <c r="O65" s="11"/>
      <c r="P65" s="7"/>
      <c r="Q65" s="2"/>
      <c r="R65" s="6">
        <f t="shared" si="46"/>
        <v>0</v>
      </c>
      <c r="S65" s="2"/>
      <c r="T65" s="7">
        <v>76.37</v>
      </c>
      <c r="U65" s="2"/>
      <c r="V65" s="6">
        <f t="shared" si="47"/>
        <v>1.6165871553943733E-5</v>
      </c>
      <c r="W65" s="2"/>
      <c r="X65" s="7">
        <f t="shared" si="48"/>
        <v>-76.37</v>
      </c>
      <c r="Y65" s="2"/>
      <c r="Z65" s="6">
        <f t="shared" si="49"/>
        <v>-1</v>
      </c>
    </row>
    <row r="66" spans="1:26" s="25" customFormat="1" outlineLevel="1" collapsed="1" x14ac:dyDescent="0.25">
      <c r="A66" s="26"/>
      <c r="B66" s="13" t="str">
        <f>CONCATENATE("     ","Donations                                         ")</f>
        <v xml:space="preserve">     Donations                                         </v>
      </c>
      <c r="C66" s="13"/>
      <c r="D66" s="1">
        <f>SUM(OSRRefD22_7x_0)</f>
        <v>0</v>
      </c>
      <c r="E66" s="1"/>
      <c r="F66" s="5">
        <f t="shared" si="42"/>
        <v>0</v>
      </c>
      <c r="G66" s="1"/>
      <c r="H66" s="1">
        <f>SUM(OSRRefH22_7x_0)</f>
        <v>73</v>
      </c>
      <c r="I66" s="1"/>
      <c r="J66" s="5">
        <f t="shared" si="43"/>
        <v>1.1496880809616017E-4</v>
      </c>
      <c r="K66" s="1"/>
      <c r="L66" s="1">
        <f t="shared" si="44"/>
        <v>-73</v>
      </c>
      <c r="M66" s="1"/>
      <c r="N66" s="5">
        <f t="shared" si="45"/>
        <v>-1</v>
      </c>
      <c r="O66" s="13"/>
      <c r="P66" s="1">
        <f>SUM(OSRRefP22_7x_0)</f>
        <v>0</v>
      </c>
      <c r="Q66" s="1"/>
      <c r="R66" s="5">
        <f t="shared" si="46"/>
        <v>0</v>
      </c>
      <c r="S66" s="1"/>
      <c r="T66" s="1">
        <f>SUM(OSRRefT22_7x_0)</f>
        <v>236.68</v>
      </c>
      <c r="U66" s="1"/>
      <c r="V66" s="5">
        <f t="shared" si="47"/>
        <v>5.0100019371315998E-5</v>
      </c>
      <c r="W66" s="1"/>
      <c r="X66" s="1">
        <f t="shared" si="48"/>
        <v>-236.68</v>
      </c>
      <c r="Y66" s="1"/>
      <c r="Z66" s="5">
        <f t="shared" si="49"/>
        <v>-1</v>
      </c>
    </row>
    <row r="67" spans="1:26" s="24" customFormat="1" hidden="1" outlineLevel="2" x14ac:dyDescent="0.25">
      <c r="A67" s="27"/>
      <c r="B67" s="11" t="str">
        <f>CONCATENATE("          ", "6399", " - ", "DONATION-ON CAMPUS")</f>
        <v xml:space="preserve">          6399 - DONATION-ON CAMPUS</v>
      </c>
      <c r="C67" s="11"/>
      <c r="D67" s="7"/>
      <c r="E67" s="2"/>
      <c r="F67" s="6">
        <f t="shared" si="42"/>
        <v>0</v>
      </c>
      <c r="G67" s="2"/>
      <c r="H67" s="7">
        <v>73</v>
      </c>
      <c r="I67" s="2"/>
      <c r="J67" s="6">
        <f t="shared" si="43"/>
        <v>1.1496880809616017E-4</v>
      </c>
      <c r="K67" s="2"/>
      <c r="L67" s="7">
        <f t="shared" si="44"/>
        <v>-73</v>
      </c>
      <c r="M67" s="2"/>
      <c r="N67" s="6">
        <f t="shared" si="45"/>
        <v>-1</v>
      </c>
      <c r="O67" s="11"/>
      <c r="P67" s="7"/>
      <c r="Q67" s="2"/>
      <c r="R67" s="6">
        <f t="shared" si="46"/>
        <v>0</v>
      </c>
      <c r="S67" s="2"/>
      <c r="T67" s="7">
        <v>236.68</v>
      </c>
      <c r="U67" s="2"/>
      <c r="V67" s="6">
        <f t="shared" si="47"/>
        <v>5.0100019371315998E-5</v>
      </c>
      <c r="W67" s="2"/>
      <c r="X67" s="7">
        <f t="shared" si="48"/>
        <v>-236.68</v>
      </c>
      <c r="Y67" s="2"/>
      <c r="Z67" s="6">
        <f t="shared" si="49"/>
        <v>-1</v>
      </c>
    </row>
    <row r="68" spans="1:26" s="25" customFormat="1" outlineLevel="1" collapsed="1" x14ac:dyDescent="0.25">
      <c r="A68" s="26"/>
      <c r="B68" s="13" t="str">
        <f>CONCATENATE("     ","Employees' Appreciation                           ")</f>
        <v xml:space="preserve">     Employees' Appreciation                           </v>
      </c>
      <c r="C68" s="13"/>
      <c r="D68" s="1">
        <f>SUM(OSRRefD22_8x_0)</f>
        <v>10</v>
      </c>
      <c r="E68" s="1"/>
      <c r="F68" s="5">
        <f t="shared" si="42"/>
        <v>1.385617100510309E-4</v>
      </c>
      <c r="G68" s="1"/>
      <c r="H68" s="1">
        <f>SUM(OSRRefH22_8x_0)</f>
        <v>292.13</v>
      </c>
      <c r="I68" s="1"/>
      <c r="J68" s="5">
        <f t="shared" si="43"/>
        <v>4.6007997135796261E-4</v>
      </c>
      <c r="K68" s="1"/>
      <c r="L68" s="1">
        <f t="shared" si="44"/>
        <v>-282.13</v>
      </c>
      <c r="M68" s="1"/>
      <c r="N68" s="5">
        <f t="shared" si="45"/>
        <v>-0.9657686646356074</v>
      </c>
      <c r="O68" s="13"/>
      <c r="P68" s="1">
        <f>SUM(OSRRefP22_8x_0)</f>
        <v>10</v>
      </c>
      <c r="Q68" s="1"/>
      <c r="R68" s="5">
        <f t="shared" si="46"/>
        <v>5.0812886778166734E-5</v>
      </c>
      <c r="S68" s="1"/>
      <c r="T68" s="1">
        <f>SUM(OSRRefT22_8x_0)</f>
        <v>1306.78</v>
      </c>
      <c r="U68" s="1"/>
      <c r="V68" s="5">
        <f t="shared" si="47"/>
        <v>2.7661696515991345E-4</v>
      </c>
      <c r="W68" s="1"/>
      <c r="X68" s="1">
        <f t="shared" si="48"/>
        <v>-1296.78</v>
      </c>
      <c r="Y68" s="1"/>
      <c r="Z68" s="5">
        <f t="shared" si="49"/>
        <v>-0.99234760250386445</v>
      </c>
    </row>
    <row r="69" spans="1:26" s="24" customFormat="1" hidden="1" outlineLevel="2" x14ac:dyDescent="0.25">
      <c r="A69" s="27"/>
      <c r="B69" s="11" t="str">
        <f>CONCATENATE("          ", "6277", " - ", "EMPLOYEE APPRECIATION")</f>
        <v xml:space="preserve">          6277 - EMPLOYEE APPRECIATION</v>
      </c>
      <c r="C69" s="11"/>
      <c r="D69" s="7">
        <v>10</v>
      </c>
      <c r="E69" s="2"/>
      <c r="F69" s="6">
        <f t="shared" si="42"/>
        <v>1.385617100510309E-4</v>
      </c>
      <c r="G69" s="2"/>
      <c r="H69" s="7">
        <v>292.13</v>
      </c>
      <c r="I69" s="2"/>
      <c r="J69" s="6">
        <f t="shared" si="43"/>
        <v>4.6007997135796261E-4</v>
      </c>
      <c r="K69" s="2"/>
      <c r="L69" s="7">
        <f t="shared" si="44"/>
        <v>-282.13</v>
      </c>
      <c r="M69" s="2"/>
      <c r="N69" s="6">
        <f t="shared" si="45"/>
        <v>-0.9657686646356074</v>
      </c>
      <c r="O69" s="11"/>
      <c r="P69" s="7">
        <v>10</v>
      </c>
      <c r="Q69" s="2"/>
      <c r="R69" s="6">
        <f t="shared" si="46"/>
        <v>5.0812886778166734E-5</v>
      </c>
      <c r="S69" s="2"/>
      <c r="T69" s="7">
        <v>1306.78</v>
      </c>
      <c r="U69" s="2"/>
      <c r="V69" s="6">
        <f t="shared" si="47"/>
        <v>2.7661696515991345E-4</v>
      </c>
      <c r="W69" s="2"/>
      <c r="X69" s="7">
        <f t="shared" si="48"/>
        <v>-1296.78</v>
      </c>
      <c r="Y69" s="2"/>
      <c r="Z69" s="6">
        <f t="shared" si="49"/>
        <v>-0.99234760250386445</v>
      </c>
    </row>
    <row r="70" spans="1:26" s="25" customFormat="1" outlineLevel="1" collapsed="1" x14ac:dyDescent="0.25">
      <c r="A70" s="26"/>
      <c r="B70" s="13" t="str">
        <f>CONCATENATE("     ","Equipment Rental                                  ")</f>
        <v xml:space="preserve">     Equipment Rental                                  </v>
      </c>
      <c r="C70" s="13"/>
      <c r="D70" s="1">
        <f>SUM(OSRRefD22_9x_0)</f>
        <v>386.08</v>
      </c>
      <c r="E70" s="1"/>
      <c r="F70" s="5">
        <f t="shared" si="42"/>
        <v>5.349590501650201E-3</v>
      </c>
      <c r="G70" s="1"/>
      <c r="H70" s="1">
        <f>SUM(OSRRefH22_9x_0)</f>
        <v>2816.55</v>
      </c>
      <c r="I70" s="1"/>
      <c r="J70" s="5">
        <f t="shared" si="43"/>
        <v>4.4358273485375337E-3</v>
      </c>
      <c r="K70" s="1"/>
      <c r="L70" s="1">
        <f t="shared" si="44"/>
        <v>-2430.4700000000003</v>
      </c>
      <c r="M70" s="1"/>
      <c r="N70" s="5">
        <f t="shared" si="45"/>
        <v>-0.862924499831354</v>
      </c>
      <c r="O70" s="13"/>
      <c r="P70" s="1">
        <f>SUM(OSRRefP22_9x_0)</f>
        <v>4461.7700000000004</v>
      </c>
      <c r="Q70" s="1"/>
      <c r="R70" s="5">
        <f t="shared" si="46"/>
        <v>2.2671541384022099E-2</v>
      </c>
      <c r="S70" s="1"/>
      <c r="T70" s="1">
        <f>SUM(OSRRefT22_9x_0)</f>
        <v>15563.98</v>
      </c>
      <c r="U70" s="1"/>
      <c r="V70" s="5">
        <f t="shared" si="47"/>
        <v>3.2945567833985749E-3</v>
      </c>
      <c r="W70" s="1"/>
      <c r="X70" s="1">
        <f t="shared" si="48"/>
        <v>-11102.21</v>
      </c>
      <c r="Y70" s="1"/>
      <c r="Z70" s="5">
        <f t="shared" si="49"/>
        <v>-0.71332718237880022</v>
      </c>
    </row>
    <row r="71" spans="1:26" s="24" customFormat="1" hidden="1" outlineLevel="2" x14ac:dyDescent="0.25">
      <c r="A71" s="27"/>
      <c r="B71" s="11" t="str">
        <f>CONCATENATE("          ", "6351", " - ", "EQUIPMENT RENTAL")</f>
        <v xml:space="preserve">          6351 - EQUIPMENT RENTAL</v>
      </c>
      <c r="C71" s="11"/>
      <c r="D71" s="7">
        <v>386.08</v>
      </c>
      <c r="E71" s="2"/>
      <c r="F71" s="6">
        <f t="shared" si="42"/>
        <v>5.349590501650201E-3</v>
      </c>
      <c r="G71" s="2"/>
      <c r="H71" s="7">
        <v>2816.55</v>
      </c>
      <c r="I71" s="2"/>
      <c r="J71" s="6">
        <f t="shared" si="43"/>
        <v>4.4358273485375337E-3</v>
      </c>
      <c r="K71" s="2"/>
      <c r="L71" s="7">
        <f t="shared" si="44"/>
        <v>-2430.4700000000003</v>
      </c>
      <c r="M71" s="2"/>
      <c r="N71" s="6">
        <f t="shared" si="45"/>
        <v>-0.862924499831354</v>
      </c>
      <c r="O71" s="11"/>
      <c r="P71" s="7">
        <v>4461.7700000000004</v>
      </c>
      <c r="Q71" s="2"/>
      <c r="R71" s="6">
        <f t="shared" si="46"/>
        <v>2.2671541384022099E-2</v>
      </c>
      <c r="S71" s="2"/>
      <c r="T71" s="7">
        <v>15563.98</v>
      </c>
      <c r="U71" s="2"/>
      <c r="V71" s="6">
        <f t="shared" si="47"/>
        <v>3.2945567833985749E-3</v>
      </c>
      <c r="W71" s="2"/>
      <c r="X71" s="7">
        <f t="shared" si="48"/>
        <v>-11102.21</v>
      </c>
      <c r="Y71" s="2"/>
      <c r="Z71" s="6">
        <f t="shared" si="49"/>
        <v>-0.71332718237880022</v>
      </c>
    </row>
    <row r="72" spans="1:26" s="25" customFormat="1" outlineLevel="1" collapsed="1" x14ac:dyDescent="0.25">
      <c r="A72" s="26"/>
      <c r="B72" s="13" t="str">
        <f>CONCATENATE("     ","Freight out/Postage                               ")</f>
        <v xml:space="preserve">     Freight out/Postage                               </v>
      </c>
      <c r="C72" s="13"/>
      <c r="D72" s="1">
        <f>SUM(OSRRefD22_10x_0)</f>
        <v>3.93</v>
      </c>
      <c r="E72" s="1"/>
      <c r="F72" s="5">
        <f t="shared" si="42"/>
        <v>5.4454752050055149E-5</v>
      </c>
      <c r="G72" s="1"/>
      <c r="H72" s="1">
        <f>SUM(OSRRefH22_10x_0)</f>
        <v>37.380000000000003</v>
      </c>
      <c r="I72" s="1"/>
      <c r="J72" s="5">
        <f t="shared" si="43"/>
        <v>5.8870329405951609E-5</v>
      </c>
      <c r="K72" s="1"/>
      <c r="L72" s="1">
        <f t="shared" si="44"/>
        <v>-33.450000000000003</v>
      </c>
      <c r="M72" s="1"/>
      <c r="N72" s="5">
        <f t="shared" si="45"/>
        <v>-0.89486356340288931</v>
      </c>
      <c r="O72" s="13"/>
      <c r="P72" s="1">
        <f>SUM(OSRRefP22_10x_0)</f>
        <v>103.85000000000001</v>
      </c>
      <c r="Q72" s="1"/>
      <c r="R72" s="5">
        <f t="shared" si="46"/>
        <v>5.276918291912615E-4</v>
      </c>
      <c r="S72" s="1"/>
      <c r="T72" s="1">
        <f>SUM(OSRRefT22_10x_0)</f>
        <v>225.99</v>
      </c>
      <c r="U72" s="1"/>
      <c r="V72" s="5">
        <f t="shared" si="47"/>
        <v>4.7837178374698763E-5</v>
      </c>
      <c r="W72" s="1"/>
      <c r="X72" s="1">
        <f t="shared" si="48"/>
        <v>-122.14</v>
      </c>
      <c r="Y72" s="1"/>
      <c r="Z72" s="5">
        <f t="shared" si="49"/>
        <v>-0.54046639231824412</v>
      </c>
    </row>
    <row r="73" spans="1:26" s="24" customFormat="1" hidden="1" outlineLevel="2" x14ac:dyDescent="0.25">
      <c r="A73" s="27"/>
      <c r="B73" s="11" t="str">
        <f>CONCATENATE("          ", "6305", " - ", "FREIGHT OUT")</f>
        <v xml:space="preserve">          6305 - FREIGHT OUT</v>
      </c>
      <c r="C73" s="11"/>
      <c r="D73" s="7">
        <v>3.93</v>
      </c>
      <c r="E73" s="2"/>
      <c r="F73" s="6">
        <f t="shared" si="42"/>
        <v>5.4454752050055149E-5</v>
      </c>
      <c r="G73" s="2"/>
      <c r="H73" s="7">
        <v>37.380000000000003</v>
      </c>
      <c r="I73" s="2"/>
      <c r="J73" s="6">
        <f t="shared" si="43"/>
        <v>5.8870329405951609E-5</v>
      </c>
      <c r="K73" s="2"/>
      <c r="L73" s="7">
        <f t="shared" si="44"/>
        <v>-33.450000000000003</v>
      </c>
      <c r="M73" s="2"/>
      <c r="N73" s="6">
        <f t="shared" si="45"/>
        <v>-0.89486356340288931</v>
      </c>
      <c r="O73" s="11"/>
      <c r="P73" s="7">
        <v>109.26</v>
      </c>
      <c r="Q73" s="2"/>
      <c r="R73" s="6">
        <f t="shared" si="46"/>
        <v>5.5518160093824976E-4</v>
      </c>
      <c r="S73" s="2"/>
      <c r="T73" s="7">
        <v>225.99</v>
      </c>
      <c r="U73" s="2"/>
      <c r="V73" s="6">
        <f t="shared" si="47"/>
        <v>4.7837178374698763E-5</v>
      </c>
      <c r="W73" s="2"/>
      <c r="X73" s="7">
        <f t="shared" si="48"/>
        <v>-116.73</v>
      </c>
      <c r="Y73" s="2"/>
      <c r="Z73" s="6">
        <f t="shared" si="49"/>
        <v>-0.51652727996814018</v>
      </c>
    </row>
    <row r="74" spans="1:26" s="24" customFormat="1" hidden="1" outlineLevel="2" x14ac:dyDescent="0.25">
      <c r="A74" s="27"/>
      <c r="B74" s="11" t="str">
        <f>CONCATENATE("          ", "6307", " - ", "POSTAGE")</f>
        <v xml:space="preserve">          6307 - POSTAGE</v>
      </c>
      <c r="C74" s="11"/>
      <c r="D74" s="7"/>
      <c r="E74" s="2"/>
      <c r="F74" s="6">
        <f t="shared" si="42"/>
        <v>0</v>
      </c>
      <c r="G74" s="2"/>
      <c r="H74" s="7"/>
      <c r="I74" s="2"/>
      <c r="J74" s="6">
        <f t="shared" si="43"/>
        <v>0</v>
      </c>
      <c r="K74" s="2"/>
      <c r="L74" s="7">
        <f t="shared" si="44"/>
        <v>0</v>
      </c>
      <c r="M74" s="2"/>
      <c r="N74" s="6">
        <f t="shared" si="45"/>
        <v>0</v>
      </c>
      <c r="O74" s="11"/>
      <c r="P74" s="7">
        <v>-5.41</v>
      </c>
      <c r="Q74" s="2"/>
      <c r="R74" s="6">
        <f t="shared" si="46"/>
        <v>-2.7489771746988202E-5</v>
      </c>
      <c r="S74" s="2"/>
      <c r="T74" s="7"/>
      <c r="U74" s="2"/>
      <c r="V74" s="6">
        <f t="shared" si="47"/>
        <v>0</v>
      </c>
      <c r="W74" s="2"/>
      <c r="X74" s="7">
        <f t="shared" si="48"/>
        <v>-5.41</v>
      </c>
      <c r="Y74" s="2"/>
      <c r="Z74" s="6">
        <f t="shared" si="49"/>
        <v>0</v>
      </c>
    </row>
    <row r="75" spans="1:26" s="25" customFormat="1" outlineLevel="1" collapsed="1" x14ac:dyDescent="0.25">
      <c r="A75" s="26"/>
      <c r="B75" s="13" t="str">
        <f>CONCATENATE("     ","General                                           ")</f>
        <v xml:space="preserve">     General                                           </v>
      </c>
      <c r="C75" s="13"/>
      <c r="D75" s="1">
        <f>SUM(OSRRefD22_11x_0)</f>
        <v>1745.38</v>
      </c>
      <c r="E75" s="1"/>
      <c r="F75" s="5">
        <f t="shared" ref="F75:F77" si="50">IF(D$12=0,0,D75/D$12)</f>
        <v>2.4184283748886832E-2</v>
      </c>
      <c r="G75" s="1"/>
      <c r="H75" s="1">
        <f>SUM(OSRRefH22_11x_0)</f>
        <v>5364.27</v>
      </c>
      <c r="I75" s="1"/>
      <c r="J75" s="5">
        <f t="shared" ref="J75:J77" si="51">IF(H$12=0,0,H75/H$12)</f>
        <v>8.4482702493971114E-3</v>
      </c>
      <c r="K75" s="1"/>
      <c r="L75" s="1">
        <f t="shared" ref="L75:L77" si="52">+D75-H75</f>
        <v>-3618.8900000000003</v>
      </c>
      <c r="M75" s="1"/>
      <c r="N75" s="5">
        <f t="shared" ref="N75:N77" si="53">IF(H75=0,0,L75/H75)</f>
        <v>-0.6746286074340031</v>
      </c>
      <c r="O75" s="13"/>
      <c r="P75" s="1">
        <f>SUM(OSRRefP22_11x_0)</f>
        <v>7890.93</v>
      </c>
      <c r="Q75" s="1"/>
      <c r="R75" s="5">
        <f t="shared" ref="R75:R77" si="54">IF(P$12=0,0,P75/P$12)</f>
        <v>4.0096093266443922E-2</v>
      </c>
      <c r="S75" s="1"/>
      <c r="T75" s="1">
        <f>SUM(OSRRefT22_11x_0)</f>
        <v>72404.649999999994</v>
      </c>
      <c r="U75" s="1"/>
      <c r="V75" s="5">
        <f t="shared" ref="V75:V77" si="55">IF(T$12=0,0,T75/T$12)</f>
        <v>1.5326493018308917E-2</v>
      </c>
      <c r="W75" s="1"/>
      <c r="X75" s="1">
        <f t="shared" ref="X75:X77" si="56">+P75-T75</f>
        <v>-64513.719999999994</v>
      </c>
      <c r="Y75" s="1"/>
      <c r="Z75" s="5">
        <f t="shared" ref="Z75:Z77" si="57">IF(T75=0,0,X75/T75)</f>
        <v>-0.89101625379032978</v>
      </c>
    </row>
    <row r="76" spans="1:26" s="24" customFormat="1" hidden="1" outlineLevel="2" x14ac:dyDescent="0.25">
      <c r="A76" s="27"/>
      <c r="B76" s="11" t="str">
        <f>CONCATENATE("          ", "6269", " - ", "ENTERTAINMENT")</f>
        <v xml:space="preserve">          6269 - ENTERTAINMENT</v>
      </c>
      <c r="C76" s="11"/>
      <c r="D76" s="7"/>
      <c r="E76" s="2"/>
      <c r="F76" s="6">
        <f t="shared" si="50"/>
        <v>0</v>
      </c>
      <c r="G76" s="2"/>
      <c r="H76" s="7">
        <v>1250</v>
      </c>
      <c r="I76" s="2"/>
      <c r="J76" s="6">
        <f t="shared" si="51"/>
        <v>1.9686439742493179E-3</v>
      </c>
      <c r="K76" s="2"/>
      <c r="L76" s="7">
        <f t="shared" si="52"/>
        <v>-1250</v>
      </c>
      <c r="M76" s="2"/>
      <c r="N76" s="6">
        <f t="shared" si="53"/>
        <v>-1</v>
      </c>
      <c r="O76" s="11"/>
      <c r="P76" s="7"/>
      <c r="Q76" s="2"/>
      <c r="R76" s="6">
        <f t="shared" si="54"/>
        <v>0</v>
      </c>
      <c r="S76" s="2"/>
      <c r="T76" s="7">
        <v>7350</v>
      </c>
      <c r="U76" s="2"/>
      <c r="V76" s="6">
        <f t="shared" si="55"/>
        <v>1.5558354841100751E-3</v>
      </c>
      <c r="W76" s="2"/>
      <c r="X76" s="7">
        <f t="shared" si="56"/>
        <v>-7350</v>
      </c>
      <c r="Y76" s="2"/>
      <c r="Z76" s="6">
        <f t="shared" si="57"/>
        <v>-1</v>
      </c>
    </row>
    <row r="77" spans="1:26" s="24" customFormat="1" hidden="1" outlineLevel="2" x14ac:dyDescent="0.25">
      <c r="A77" s="27"/>
      <c r="B77" s="11" t="str">
        <f>CONCATENATE("          ", "6279", " - ", "GENERAL EXPENSE")</f>
        <v xml:space="preserve">          6279 - GENERAL EXPENSE</v>
      </c>
      <c r="C77" s="11"/>
      <c r="D77" s="7">
        <v>1745.38</v>
      </c>
      <c r="E77" s="2"/>
      <c r="F77" s="6">
        <f t="shared" si="50"/>
        <v>2.4184283748886832E-2</v>
      </c>
      <c r="G77" s="2"/>
      <c r="H77" s="7">
        <v>4114.2700000000004</v>
      </c>
      <c r="I77" s="2"/>
      <c r="J77" s="6">
        <f t="shared" si="51"/>
        <v>6.4796262751477939E-3</v>
      </c>
      <c r="K77" s="2"/>
      <c r="L77" s="7">
        <f t="shared" si="52"/>
        <v>-2368.8900000000003</v>
      </c>
      <c r="M77" s="2"/>
      <c r="N77" s="6">
        <f t="shared" si="53"/>
        <v>-0.5757740741370887</v>
      </c>
      <c r="O77" s="11"/>
      <c r="P77" s="7">
        <v>7890.93</v>
      </c>
      <c r="Q77" s="2"/>
      <c r="R77" s="6">
        <f t="shared" si="54"/>
        <v>4.0096093266443922E-2</v>
      </c>
      <c r="S77" s="2"/>
      <c r="T77" s="7">
        <v>65054.65</v>
      </c>
      <c r="U77" s="2"/>
      <c r="V77" s="6">
        <f t="shared" si="55"/>
        <v>1.3770657534198844E-2</v>
      </c>
      <c r="W77" s="2"/>
      <c r="X77" s="7">
        <f t="shared" si="56"/>
        <v>-57163.72</v>
      </c>
      <c r="Y77" s="2"/>
      <c r="Z77" s="6">
        <f t="shared" si="57"/>
        <v>-0.87870305965830264</v>
      </c>
    </row>
    <row r="78" spans="1:26" s="25" customFormat="1" outlineLevel="1" collapsed="1" x14ac:dyDescent="0.25">
      <c r="A78" s="26"/>
      <c r="B78" s="13" t="str">
        <f>CONCATENATE("     ","Insurance                                         ")</f>
        <v xml:space="preserve">     Insurance                                         </v>
      </c>
      <c r="C78" s="13"/>
      <c r="D78" s="1">
        <f>SUM(OSRRefD22_12x_0)</f>
        <v>4483.67</v>
      </c>
      <c r="E78" s="1"/>
      <c r="F78" s="5">
        <f t="shared" ref="F78:F89" si="58">IF(D$12=0,0,D78/D$12)</f>
        <v>6.2126498250450572E-2</v>
      </c>
      <c r="G78" s="1"/>
      <c r="H78" s="1">
        <f>SUM(OSRRefH22_12x_0)</f>
        <v>4483.67</v>
      </c>
      <c r="I78" s="1"/>
      <c r="J78" s="5">
        <f t="shared" ref="J78:J89" si="59">IF(H$12=0,0,H78/H$12)</f>
        <v>7.0613999424179522E-3</v>
      </c>
      <c r="K78" s="1"/>
      <c r="L78" s="1">
        <f t="shared" ref="L78:L89" si="60">+D78-H78</f>
        <v>0</v>
      </c>
      <c r="M78" s="1"/>
      <c r="N78" s="5">
        <f t="shared" ref="N78:N89" si="61">IF(H78=0,0,L78/H78)</f>
        <v>0</v>
      </c>
      <c r="O78" s="13"/>
      <c r="P78" s="1">
        <f>SUM(OSRRefP22_12x_0)</f>
        <v>33014.019999999997</v>
      </c>
      <c r="Q78" s="1"/>
      <c r="R78" s="5">
        <f t="shared" ref="R78:R89" si="62">IF(P$12=0,0,P78/P$12)</f>
        <v>0.16775376603521319</v>
      </c>
      <c r="S78" s="1"/>
      <c r="T78" s="1">
        <f>SUM(OSRRefT22_12x_0)</f>
        <v>26902.02</v>
      </c>
      <c r="U78" s="1"/>
      <c r="V78" s="5">
        <f t="shared" ref="V78:V89" si="63">IF(T$12=0,0,T78/T$12)</f>
        <v>5.6945737837059756E-3</v>
      </c>
      <c r="W78" s="1"/>
      <c r="X78" s="1">
        <f t="shared" ref="X78:X89" si="64">+P78-T78</f>
        <v>6111.9999999999964</v>
      </c>
      <c r="Y78" s="1"/>
      <c r="Z78" s="5">
        <f t="shared" ref="Z78:Z89" si="65">IF(T78=0,0,X78/T78)</f>
        <v>0.22719483518338016</v>
      </c>
    </row>
    <row r="79" spans="1:26" s="24" customFormat="1" hidden="1" outlineLevel="2" x14ac:dyDescent="0.25">
      <c r="A79" s="27"/>
      <c r="B79" s="11" t="str">
        <f>CONCATENATE("          ", "6314", " - ", "LIABILITY INSURANCE")</f>
        <v xml:space="preserve">          6314 - LIABILITY INSURANCE</v>
      </c>
      <c r="C79" s="11"/>
      <c r="D79" s="7">
        <v>4483.67</v>
      </c>
      <c r="E79" s="2"/>
      <c r="F79" s="6">
        <f t="shared" si="58"/>
        <v>6.2126498250450572E-2</v>
      </c>
      <c r="G79" s="2"/>
      <c r="H79" s="7">
        <v>4483.67</v>
      </c>
      <c r="I79" s="2"/>
      <c r="J79" s="6">
        <f t="shared" si="59"/>
        <v>7.0613999424179522E-3</v>
      </c>
      <c r="K79" s="2"/>
      <c r="L79" s="7">
        <f t="shared" si="60"/>
        <v>0</v>
      </c>
      <c r="M79" s="2"/>
      <c r="N79" s="6">
        <f t="shared" si="61"/>
        <v>0</v>
      </c>
      <c r="O79" s="11"/>
      <c r="P79" s="7">
        <v>33014.019999999997</v>
      </c>
      <c r="Q79" s="2"/>
      <c r="R79" s="6">
        <f t="shared" si="62"/>
        <v>0.16775376603521319</v>
      </c>
      <c r="S79" s="2"/>
      <c r="T79" s="7">
        <v>26902.02</v>
      </c>
      <c r="U79" s="2"/>
      <c r="V79" s="6">
        <f t="shared" si="63"/>
        <v>5.6945737837059756E-3</v>
      </c>
      <c r="W79" s="2"/>
      <c r="X79" s="7">
        <f t="shared" si="64"/>
        <v>6111.9999999999964</v>
      </c>
      <c r="Y79" s="2"/>
      <c r="Z79" s="6">
        <f t="shared" si="65"/>
        <v>0.22719483518338016</v>
      </c>
    </row>
    <row r="80" spans="1:26" s="25" customFormat="1" outlineLevel="1" collapsed="1" x14ac:dyDescent="0.25">
      <c r="A80" s="26"/>
      <c r="B80" s="13" t="str">
        <f>CONCATENATE("     ","Interest                                          ")</f>
        <v xml:space="preserve">     Interest                                          </v>
      </c>
      <c r="C80" s="13"/>
      <c r="D80" s="1">
        <f>SUM(OSRRefD22_13x_0)</f>
        <v>11554</v>
      </c>
      <c r="E80" s="1"/>
      <c r="F80" s="5">
        <f t="shared" si="58"/>
        <v>0.16009419979296111</v>
      </c>
      <c r="G80" s="1"/>
      <c r="H80" s="1">
        <f>SUM(OSRRefH22_13x_0)</f>
        <v>11929</v>
      </c>
      <c r="I80" s="1"/>
      <c r="J80" s="5">
        <f t="shared" si="59"/>
        <v>1.878716317505609E-2</v>
      </c>
      <c r="K80" s="1"/>
      <c r="L80" s="1">
        <f t="shared" si="60"/>
        <v>-375</v>
      </c>
      <c r="M80" s="1"/>
      <c r="N80" s="5">
        <f t="shared" si="61"/>
        <v>-3.1435996311509763E-2</v>
      </c>
      <c r="O80" s="13"/>
      <c r="P80" s="1">
        <f>SUM(OSRRefP22_13x_0)</f>
        <v>68575</v>
      </c>
      <c r="Q80" s="1"/>
      <c r="R80" s="5">
        <f t="shared" si="62"/>
        <v>0.34844937108127838</v>
      </c>
      <c r="S80" s="1"/>
      <c r="T80" s="1">
        <f>SUM(OSRRefT22_13x_0)</f>
        <v>70975</v>
      </c>
      <c r="U80" s="1"/>
      <c r="V80" s="5">
        <f t="shared" si="63"/>
        <v>1.5023867140777221E-2</v>
      </c>
      <c r="W80" s="1"/>
      <c r="X80" s="1">
        <f t="shared" si="64"/>
        <v>-2400</v>
      </c>
      <c r="Y80" s="1"/>
      <c r="Z80" s="5">
        <f t="shared" si="65"/>
        <v>-3.3814723494188091E-2</v>
      </c>
    </row>
    <row r="81" spans="1:26" s="24" customFormat="1" hidden="1" outlineLevel="2" x14ac:dyDescent="0.25">
      <c r="A81" s="27"/>
      <c r="B81" s="11" t="str">
        <f>CONCATENATE("          ", "6401", " - ", "INTEREST EXPENSE")</f>
        <v xml:space="preserve">          6401 - INTEREST EXPENSE</v>
      </c>
      <c r="C81" s="11"/>
      <c r="D81" s="7">
        <v>11554</v>
      </c>
      <c r="E81" s="2"/>
      <c r="F81" s="6">
        <f t="shared" si="58"/>
        <v>0.16009419979296111</v>
      </c>
      <c r="G81" s="2"/>
      <c r="H81" s="7">
        <v>11929</v>
      </c>
      <c r="I81" s="2"/>
      <c r="J81" s="6">
        <f t="shared" si="59"/>
        <v>1.878716317505609E-2</v>
      </c>
      <c r="K81" s="2"/>
      <c r="L81" s="7">
        <f t="shared" si="60"/>
        <v>-375</v>
      </c>
      <c r="M81" s="2"/>
      <c r="N81" s="6">
        <f t="shared" si="61"/>
        <v>-3.1435996311509763E-2</v>
      </c>
      <c r="O81" s="11"/>
      <c r="P81" s="7">
        <v>68575</v>
      </c>
      <c r="Q81" s="2"/>
      <c r="R81" s="6">
        <f t="shared" si="62"/>
        <v>0.34844937108127838</v>
      </c>
      <c r="S81" s="2"/>
      <c r="T81" s="7">
        <v>70975</v>
      </c>
      <c r="U81" s="2"/>
      <c r="V81" s="6">
        <f t="shared" si="63"/>
        <v>1.5023867140777221E-2</v>
      </c>
      <c r="W81" s="2"/>
      <c r="X81" s="7">
        <f t="shared" si="64"/>
        <v>-2400</v>
      </c>
      <c r="Y81" s="2"/>
      <c r="Z81" s="6">
        <f t="shared" si="65"/>
        <v>-3.3814723494188091E-2</v>
      </c>
    </row>
    <row r="82" spans="1:26" s="25" customFormat="1" outlineLevel="1" collapsed="1" x14ac:dyDescent="0.25">
      <c r="A82" s="26"/>
      <c r="B82" s="13" t="str">
        <f>CONCATENATE("     ","Professional Services                             ")</f>
        <v xml:space="preserve">     Professional Services                             </v>
      </c>
      <c r="C82" s="13"/>
      <c r="D82" s="1">
        <f>SUM(OSRRefD22_14x_0)</f>
        <v>0</v>
      </c>
      <c r="E82" s="1"/>
      <c r="F82" s="5">
        <f t="shared" si="58"/>
        <v>0</v>
      </c>
      <c r="G82" s="1"/>
      <c r="H82" s="1">
        <f>SUM(OSRRefH22_14x_0)</f>
        <v>0</v>
      </c>
      <c r="I82" s="1"/>
      <c r="J82" s="5">
        <f t="shared" si="59"/>
        <v>0</v>
      </c>
      <c r="K82" s="1"/>
      <c r="L82" s="1">
        <f t="shared" si="60"/>
        <v>0</v>
      </c>
      <c r="M82" s="1"/>
      <c r="N82" s="5">
        <f t="shared" si="61"/>
        <v>0</v>
      </c>
      <c r="O82" s="13"/>
      <c r="P82" s="1">
        <f>SUM(OSRRefP22_14x_0)</f>
        <v>0</v>
      </c>
      <c r="Q82" s="1"/>
      <c r="R82" s="5">
        <f t="shared" si="62"/>
        <v>0</v>
      </c>
      <c r="S82" s="1"/>
      <c r="T82" s="1">
        <f>SUM(OSRRefT22_14x_0)</f>
        <v>125</v>
      </c>
      <c r="U82" s="1"/>
      <c r="V82" s="5">
        <f t="shared" si="63"/>
        <v>2.6459787144729167E-5</v>
      </c>
      <c r="W82" s="1"/>
      <c r="X82" s="1">
        <f t="shared" si="64"/>
        <v>-125</v>
      </c>
      <c r="Y82" s="1"/>
      <c r="Z82" s="5">
        <f t="shared" si="65"/>
        <v>-1</v>
      </c>
    </row>
    <row r="83" spans="1:26" s="24" customFormat="1" hidden="1" outlineLevel="2" x14ac:dyDescent="0.25">
      <c r="A83" s="27"/>
      <c r="B83" s="11" t="str">
        <f>CONCATENATE("          ", "6336", " - ", "PROFESSIONAL SERVICES")</f>
        <v xml:space="preserve">          6336 - PROFESSIONAL SERVICES</v>
      </c>
      <c r="C83" s="11"/>
      <c r="D83" s="7"/>
      <c r="E83" s="2"/>
      <c r="F83" s="6">
        <f t="shared" si="58"/>
        <v>0</v>
      </c>
      <c r="G83" s="2"/>
      <c r="H83" s="7"/>
      <c r="I83" s="2"/>
      <c r="J83" s="6">
        <f t="shared" si="59"/>
        <v>0</v>
      </c>
      <c r="K83" s="2"/>
      <c r="L83" s="7">
        <f t="shared" si="60"/>
        <v>0</v>
      </c>
      <c r="M83" s="2"/>
      <c r="N83" s="6">
        <f t="shared" si="61"/>
        <v>0</v>
      </c>
      <c r="O83" s="11"/>
      <c r="P83" s="7"/>
      <c r="Q83" s="2"/>
      <c r="R83" s="6">
        <f t="shared" si="62"/>
        <v>0</v>
      </c>
      <c r="S83" s="2"/>
      <c r="T83" s="7">
        <v>125</v>
      </c>
      <c r="U83" s="2"/>
      <c r="V83" s="6">
        <f t="shared" si="63"/>
        <v>2.6459787144729167E-5</v>
      </c>
      <c r="W83" s="2"/>
      <c r="X83" s="7">
        <f t="shared" si="64"/>
        <v>-125</v>
      </c>
      <c r="Y83" s="2"/>
      <c r="Z83" s="6">
        <f t="shared" si="65"/>
        <v>-1</v>
      </c>
    </row>
    <row r="84" spans="1:26" s="25" customFormat="1" outlineLevel="1" collapsed="1" x14ac:dyDescent="0.25">
      <c r="A84" s="26"/>
      <c r="B84" s="13" t="str">
        <f>CONCATENATE("     ","Rent                                              ")</f>
        <v xml:space="preserve">     Rent                                              </v>
      </c>
      <c r="C84" s="13"/>
      <c r="D84" s="1">
        <f>SUM(OSRRefD22_15x_0)</f>
        <v>5550</v>
      </c>
      <c r="E84" s="1"/>
      <c r="F84" s="5">
        <f t="shared" si="58"/>
        <v>7.6901749078322146E-2</v>
      </c>
      <c r="G84" s="1"/>
      <c r="H84" s="1">
        <f>SUM(OSRRefH22_15x_0)</f>
        <v>3000</v>
      </c>
      <c r="I84" s="1"/>
      <c r="J84" s="5">
        <f t="shared" si="59"/>
        <v>4.7247455381983633E-3</v>
      </c>
      <c r="K84" s="1"/>
      <c r="L84" s="1">
        <f t="shared" si="60"/>
        <v>2550</v>
      </c>
      <c r="M84" s="1"/>
      <c r="N84" s="5">
        <f t="shared" si="61"/>
        <v>0.85</v>
      </c>
      <c r="O84" s="13"/>
      <c r="P84" s="1">
        <f>SUM(OSRRefP22_15x_0)</f>
        <v>11100</v>
      </c>
      <c r="Q84" s="1"/>
      <c r="R84" s="5">
        <f t="shared" si="62"/>
        <v>5.6402304323765071E-2</v>
      </c>
      <c r="S84" s="1"/>
      <c r="T84" s="1">
        <f>SUM(OSRRefT22_15x_0)</f>
        <v>18000</v>
      </c>
      <c r="U84" s="1"/>
      <c r="V84" s="5">
        <f t="shared" si="63"/>
        <v>3.8102093488410001E-3</v>
      </c>
      <c r="W84" s="1"/>
      <c r="X84" s="1">
        <f t="shared" si="64"/>
        <v>-6900</v>
      </c>
      <c r="Y84" s="1"/>
      <c r="Z84" s="5">
        <f t="shared" si="65"/>
        <v>-0.38333333333333336</v>
      </c>
    </row>
    <row r="85" spans="1:26" s="24" customFormat="1" hidden="1" outlineLevel="2" x14ac:dyDescent="0.25">
      <c r="A85" s="27"/>
      <c r="B85" s="11" t="str">
        <f>CONCATENATE("          ", "6273", " - ", "RENT")</f>
        <v xml:space="preserve">          6273 - RENT</v>
      </c>
      <c r="C85" s="11"/>
      <c r="D85" s="7">
        <v>5550</v>
      </c>
      <c r="E85" s="2"/>
      <c r="F85" s="6">
        <f t="shared" si="58"/>
        <v>7.6901749078322146E-2</v>
      </c>
      <c r="G85" s="2"/>
      <c r="H85" s="7">
        <v>3000</v>
      </c>
      <c r="I85" s="2"/>
      <c r="J85" s="6">
        <f t="shared" si="59"/>
        <v>4.7247455381983633E-3</v>
      </c>
      <c r="K85" s="2"/>
      <c r="L85" s="7">
        <f t="shared" si="60"/>
        <v>2550</v>
      </c>
      <c r="M85" s="2"/>
      <c r="N85" s="6">
        <f t="shared" si="61"/>
        <v>0.85</v>
      </c>
      <c r="O85" s="11"/>
      <c r="P85" s="7">
        <v>11100</v>
      </c>
      <c r="Q85" s="2"/>
      <c r="R85" s="6">
        <f t="shared" si="62"/>
        <v>5.6402304323765071E-2</v>
      </c>
      <c r="S85" s="2"/>
      <c r="T85" s="7">
        <v>18000</v>
      </c>
      <c r="U85" s="2"/>
      <c r="V85" s="6">
        <f t="shared" si="63"/>
        <v>3.8102093488410001E-3</v>
      </c>
      <c r="W85" s="2"/>
      <c r="X85" s="7">
        <f t="shared" si="64"/>
        <v>-6900</v>
      </c>
      <c r="Y85" s="2"/>
      <c r="Z85" s="6">
        <f t="shared" si="65"/>
        <v>-0.38333333333333336</v>
      </c>
    </row>
    <row r="86" spans="1:26" s="25" customFormat="1" outlineLevel="1" collapsed="1" x14ac:dyDescent="0.25">
      <c r="A86" s="26"/>
      <c r="B86" s="13" t="str">
        <f>CONCATENATE("     ","Repair and Maintenance                            ")</f>
        <v xml:space="preserve">     Repair and Maintenance                            </v>
      </c>
      <c r="C86" s="13"/>
      <c r="D86" s="1">
        <f>SUM(OSRRefD22_16x_0)</f>
        <v>1988.17</v>
      </c>
      <c r="E86" s="1"/>
      <c r="F86" s="5">
        <f t="shared" si="58"/>
        <v>2.7548423507215813E-2</v>
      </c>
      <c r="G86" s="1"/>
      <c r="H86" s="1">
        <f>SUM(OSRRefH22_16x_0)</f>
        <v>28951.740000000005</v>
      </c>
      <c r="I86" s="1"/>
      <c r="J86" s="5">
        <f t="shared" si="59"/>
        <v>4.5596534796026371E-2</v>
      </c>
      <c r="K86" s="1"/>
      <c r="L86" s="1">
        <f t="shared" si="60"/>
        <v>-26963.570000000007</v>
      </c>
      <c r="M86" s="1"/>
      <c r="N86" s="5">
        <f t="shared" si="61"/>
        <v>-0.93132813433665829</v>
      </c>
      <c r="O86" s="13"/>
      <c r="P86" s="1">
        <f>SUM(OSRRefP22_16x_0)</f>
        <v>22150.83</v>
      </c>
      <c r="Q86" s="1"/>
      <c r="R86" s="5">
        <f t="shared" si="62"/>
        <v>0.11255476168324191</v>
      </c>
      <c r="S86" s="1"/>
      <c r="T86" s="1">
        <f>SUM(OSRRefT22_16x_0)</f>
        <v>158836.99</v>
      </c>
      <c r="U86" s="1"/>
      <c r="V86" s="5">
        <f t="shared" si="63"/>
        <v>3.36223435688758E-2</v>
      </c>
      <c r="W86" s="1"/>
      <c r="X86" s="1">
        <f t="shared" si="64"/>
        <v>-136686.15999999997</v>
      </c>
      <c r="Y86" s="1"/>
      <c r="Z86" s="5">
        <f t="shared" si="65"/>
        <v>-0.86054363029669589</v>
      </c>
    </row>
    <row r="87" spans="1:26" s="24" customFormat="1" hidden="1" outlineLevel="2" x14ac:dyDescent="0.25">
      <c r="A87" s="27"/>
      <c r="B87" s="11" t="str">
        <f>CONCATENATE("          ", "6371", " - ", "COMPUTER SOFTWARE MAINTENANCE")</f>
        <v xml:space="preserve">          6371 - COMPUTER SOFTWARE MAINTENANCE</v>
      </c>
      <c r="C87" s="11"/>
      <c r="D87" s="7"/>
      <c r="E87" s="2"/>
      <c r="F87" s="6">
        <f t="shared" si="58"/>
        <v>0</v>
      </c>
      <c r="G87" s="2"/>
      <c r="H87" s="7"/>
      <c r="I87" s="2"/>
      <c r="J87" s="6">
        <f t="shared" si="59"/>
        <v>0</v>
      </c>
      <c r="K87" s="2"/>
      <c r="L87" s="7">
        <f t="shared" si="60"/>
        <v>0</v>
      </c>
      <c r="M87" s="2"/>
      <c r="N87" s="6">
        <f t="shared" si="61"/>
        <v>0</v>
      </c>
      <c r="O87" s="11"/>
      <c r="P87" s="7"/>
      <c r="Q87" s="2"/>
      <c r="R87" s="6">
        <f t="shared" si="62"/>
        <v>0</v>
      </c>
      <c r="S87" s="2"/>
      <c r="T87" s="7">
        <v>12244.62</v>
      </c>
      <c r="U87" s="2"/>
      <c r="V87" s="6">
        <f t="shared" si="63"/>
        <v>2.5919203109447497E-3</v>
      </c>
      <c r="W87" s="2"/>
      <c r="X87" s="7">
        <f t="shared" si="64"/>
        <v>-12244.62</v>
      </c>
      <c r="Y87" s="2"/>
      <c r="Z87" s="6">
        <f t="shared" si="65"/>
        <v>-1</v>
      </c>
    </row>
    <row r="88" spans="1:26" s="24" customFormat="1" hidden="1" outlineLevel="2" x14ac:dyDescent="0.25">
      <c r="A88" s="27"/>
      <c r="B88" s="11" t="str">
        <f>CONCATENATE("          ", "6373", " - ", "MAINTENANCE CONTRACTS")</f>
        <v xml:space="preserve">          6373 - MAINTENANCE CONTRACTS</v>
      </c>
      <c r="C88" s="11"/>
      <c r="D88" s="7">
        <v>1545.7</v>
      </c>
      <c r="E88" s="2"/>
      <c r="F88" s="6">
        <f t="shared" si="58"/>
        <v>2.1417483522587846E-2</v>
      </c>
      <c r="G88" s="2"/>
      <c r="H88" s="7">
        <v>17552.390000000003</v>
      </c>
      <c r="I88" s="2"/>
      <c r="J88" s="6">
        <f t="shared" si="59"/>
        <v>2.7643525445739194E-2</v>
      </c>
      <c r="K88" s="2"/>
      <c r="L88" s="7">
        <f t="shared" si="60"/>
        <v>-16006.690000000002</v>
      </c>
      <c r="M88" s="2"/>
      <c r="N88" s="6">
        <f t="shared" si="61"/>
        <v>-0.91193791842592375</v>
      </c>
      <c r="O88" s="11"/>
      <c r="P88" s="7">
        <v>11978.04</v>
      </c>
      <c r="Q88" s="2"/>
      <c r="R88" s="6">
        <f t="shared" si="62"/>
        <v>6.0863879034435228E-2</v>
      </c>
      <c r="S88" s="2"/>
      <c r="T88" s="7">
        <v>58904.24</v>
      </c>
      <c r="U88" s="2"/>
      <c r="V88" s="6">
        <f t="shared" si="63"/>
        <v>1.2468749218576334E-2</v>
      </c>
      <c r="W88" s="2"/>
      <c r="X88" s="7">
        <f t="shared" si="64"/>
        <v>-46926.2</v>
      </c>
      <c r="Y88" s="2"/>
      <c r="Z88" s="6">
        <f t="shared" si="65"/>
        <v>-0.79665232927205243</v>
      </c>
    </row>
    <row r="89" spans="1:26" s="24" customFormat="1" hidden="1" outlineLevel="2" x14ac:dyDescent="0.25">
      <c r="A89" s="27"/>
      <c r="B89" s="11" t="str">
        <f>CONCATENATE("          ", "6375", " - ", "OUTSIDE REPAIRS &amp; MAINTENANCE")</f>
        <v xml:space="preserve">          6375 - OUTSIDE REPAIRS &amp; MAINTENANCE</v>
      </c>
      <c r="C89" s="11"/>
      <c r="D89" s="7">
        <v>442.47</v>
      </c>
      <c r="E89" s="2"/>
      <c r="F89" s="6">
        <f t="shared" si="58"/>
        <v>6.1309399846279644E-3</v>
      </c>
      <c r="G89" s="2"/>
      <c r="H89" s="7">
        <v>11399.35</v>
      </c>
      <c r="I89" s="2"/>
      <c r="J89" s="6">
        <f t="shared" si="59"/>
        <v>1.795300935028717E-2</v>
      </c>
      <c r="K89" s="2"/>
      <c r="L89" s="7">
        <f t="shared" si="60"/>
        <v>-10956.880000000001</v>
      </c>
      <c r="M89" s="2"/>
      <c r="N89" s="6">
        <f t="shared" si="61"/>
        <v>-0.96118462894814183</v>
      </c>
      <c r="O89" s="11"/>
      <c r="P89" s="7">
        <v>10172.790000000001</v>
      </c>
      <c r="Q89" s="2"/>
      <c r="R89" s="6">
        <f t="shared" si="62"/>
        <v>5.1690882648806676E-2</v>
      </c>
      <c r="S89" s="2"/>
      <c r="T89" s="7">
        <v>87688.13</v>
      </c>
      <c r="U89" s="2"/>
      <c r="V89" s="6">
        <f t="shared" si="63"/>
        <v>1.8561674039354721E-2</v>
      </c>
      <c r="W89" s="2"/>
      <c r="X89" s="7">
        <f t="shared" si="64"/>
        <v>-77515.34</v>
      </c>
      <c r="Y89" s="2"/>
      <c r="Z89" s="6">
        <f t="shared" si="65"/>
        <v>-0.88398897319397729</v>
      </c>
    </row>
    <row r="90" spans="1:26" s="25" customFormat="1" outlineLevel="1" collapsed="1" x14ac:dyDescent="0.25">
      <c r="A90" s="26"/>
      <c r="B90" s="13" t="str">
        <f>CONCATENATE("     ","Royalty &amp; Commissions                             ")</f>
        <v xml:space="preserve">     Royalty &amp; Commissions                             </v>
      </c>
      <c r="C90" s="13"/>
      <c r="D90" s="1">
        <f>SUM(OSRRefD22_17x_0)</f>
        <v>0</v>
      </c>
      <c r="E90" s="1"/>
      <c r="F90" s="5">
        <f t="shared" ref="F90:F92" si="66">IF(D$12=0,0,D90/D$12)</f>
        <v>0</v>
      </c>
      <c r="G90" s="1"/>
      <c r="H90" s="1">
        <f>SUM(OSRRefH22_17x_0)</f>
        <v>28613.919999999998</v>
      </c>
      <c r="I90" s="1"/>
      <c r="J90" s="5">
        <f t="shared" ref="J90:J92" si="67">IF(H$12=0,0,H90/H$12)</f>
        <v>4.5064496950121637E-2</v>
      </c>
      <c r="K90" s="1"/>
      <c r="L90" s="1">
        <f t="shared" ref="L90:L92" si="68">+D90-H90</f>
        <v>-28613.919999999998</v>
      </c>
      <c r="M90" s="1"/>
      <c r="N90" s="5">
        <f t="shared" ref="N90:N92" si="69">IF(H90=0,0,L90/H90)</f>
        <v>-1</v>
      </c>
      <c r="O90" s="13"/>
      <c r="P90" s="1">
        <f>SUM(OSRRefP22_17x_0)</f>
        <v>185.7</v>
      </c>
      <c r="Q90" s="1"/>
      <c r="R90" s="5">
        <f t="shared" ref="R90:R92" si="70">IF(P$12=0,0,P90/P$12)</f>
        <v>9.4359530747055616E-4</v>
      </c>
      <c r="S90" s="1"/>
      <c r="T90" s="1">
        <f>SUM(OSRRefT22_17x_0)</f>
        <v>149006.96999999997</v>
      </c>
      <c r="U90" s="1"/>
      <c r="V90" s="5">
        <f t="shared" ref="V90:V92" si="71">IF(T$12=0,0,T90/T$12)</f>
        <v>3.1541541674248351E-2</v>
      </c>
      <c r="W90" s="1"/>
      <c r="X90" s="1">
        <f t="shared" ref="X90:X92" si="72">+P90-T90</f>
        <v>-148821.26999999996</v>
      </c>
      <c r="Y90" s="1"/>
      <c r="Z90" s="5">
        <f t="shared" ref="Z90:Z92" si="73">IF(T90=0,0,X90/T90)</f>
        <v>-0.99875374957292262</v>
      </c>
    </row>
    <row r="91" spans="1:26" s="24" customFormat="1" hidden="1" outlineLevel="2" x14ac:dyDescent="0.25">
      <c r="A91" s="27"/>
      <c r="B91" s="11" t="str">
        <f>CONCATENATE("          ", "6254", " - ", "ROYALTY &amp; COMMISSIONS")</f>
        <v xml:space="preserve">          6254 - ROYALTY &amp; COMMISSIONS</v>
      </c>
      <c r="C91" s="11"/>
      <c r="D91" s="7"/>
      <c r="E91" s="2"/>
      <c r="F91" s="6">
        <f t="shared" si="66"/>
        <v>0</v>
      </c>
      <c r="G91" s="2"/>
      <c r="H91" s="7">
        <v>17701.68</v>
      </c>
      <c r="I91" s="2"/>
      <c r="J91" s="6">
        <f t="shared" si="67"/>
        <v>2.7878644532871734E-2</v>
      </c>
      <c r="K91" s="2"/>
      <c r="L91" s="7">
        <f t="shared" si="68"/>
        <v>-17701.68</v>
      </c>
      <c r="M91" s="2"/>
      <c r="N91" s="6">
        <f t="shared" si="69"/>
        <v>-1</v>
      </c>
      <c r="O91" s="11"/>
      <c r="P91" s="7">
        <v>185.7</v>
      </c>
      <c r="Q91" s="2"/>
      <c r="R91" s="6">
        <f t="shared" si="70"/>
        <v>9.4359530747055616E-4</v>
      </c>
      <c r="S91" s="2"/>
      <c r="T91" s="7">
        <v>76361.849999999991</v>
      </c>
      <c r="U91" s="2"/>
      <c r="V91" s="6">
        <f t="shared" si="71"/>
        <v>1.6164146375821895E-2</v>
      </c>
      <c r="W91" s="2"/>
      <c r="X91" s="7">
        <f t="shared" si="72"/>
        <v>-76176.149999999994</v>
      </c>
      <c r="Y91" s="2"/>
      <c r="Z91" s="6">
        <f t="shared" si="73"/>
        <v>-0.99756815739796778</v>
      </c>
    </row>
    <row r="92" spans="1:26" s="24" customFormat="1" hidden="1" outlineLevel="2" x14ac:dyDescent="0.25">
      <c r="A92" s="27"/>
      <c r="B92" s="11" t="str">
        <f>CONCATENATE("          ", "6259", " - ", "ROYALTY &amp; COMMISSIONS")</f>
        <v xml:space="preserve">          6259 - ROYALTY &amp; COMMISSIONS</v>
      </c>
      <c r="C92" s="11"/>
      <c r="D92" s="7"/>
      <c r="E92" s="2"/>
      <c r="F92" s="6">
        <f t="shared" si="66"/>
        <v>0</v>
      </c>
      <c r="G92" s="2"/>
      <c r="H92" s="7">
        <v>10912.24</v>
      </c>
      <c r="I92" s="2"/>
      <c r="J92" s="6">
        <f t="shared" si="67"/>
        <v>1.7185852417249903E-2</v>
      </c>
      <c r="K92" s="2"/>
      <c r="L92" s="7">
        <f t="shared" si="68"/>
        <v>-10912.24</v>
      </c>
      <c r="M92" s="2"/>
      <c r="N92" s="6">
        <f t="shared" si="69"/>
        <v>-1</v>
      </c>
      <c r="O92" s="11"/>
      <c r="P92" s="7"/>
      <c r="Q92" s="2"/>
      <c r="R92" s="6">
        <f t="shared" si="70"/>
        <v>0</v>
      </c>
      <c r="S92" s="2"/>
      <c r="T92" s="7">
        <v>72645.119999999995</v>
      </c>
      <c r="U92" s="2"/>
      <c r="V92" s="6">
        <f t="shared" si="71"/>
        <v>1.5377395298426461E-2</v>
      </c>
      <c r="W92" s="2"/>
      <c r="X92" s="7">
        <f t="shared" si="72"/>
        <v>-72645.119999999995</v>
      </c>
      <c r="Y92" s="2"/>
      <c r="Z92" s="6">
        <f t="shared" si="73"/>
        <v>-1</v>
      </c>
    </row>
    <row r="93" spans="1:26" s="25" customFormat="1" outlineLevel="1" collapsed="1" x14ac:dyDescent="0.25">
      <c r="A93" s="26"/>
      <c r="B93" s="13" t="str">
        <f>CONCATENATE("     ","Services                                          ")</f>
        <v xml:space="preserve">     Services                                          </v>
      </c>
      <c r="C93" s="13"/>
      <c r="D93" s="1">
        <f>SUM(OSRRefD22_18x_0)</f>
        <v>12158.68</v>
      </c>
      <c r="E93" s="1"/>
      <c r="F93" s="5">
        <f t="shared" ref="F93:F98" si="74">IF(D$12=0,0,D93/D$12)</f>
        <v>0.16847274927632686</v>
      </c>
      <c r="G93" s="1"/>
      <c r="H93" s="1">
        <f>SUM(OSRRefH22_18x_0)</f>
        <v>31074.21</v>
      </c>
      <c r="I93" s="1"/>
      <c r="J93" s="5">
        <f t="shared" ref="J93:J98" si="75">IF(H$12=0,0,H93/H$12)</f>
        <v>4.8939245016846315E-2</v>
      </c>
      <c r="K93" s="1"/>
      <c r="L93" s="1">
        <f t="shared" ref="L93:L98" si="76">+D93-H93</f>
        <v>-18915.53</v>
      </c>
      <c r="M93" s="1"/>
      <c r="N93" s="5">
        <f t="shared" ref="N93:N98" si="77">IF(H93=0,0,L93/H93)</f>
        <v>-0.60872118711947942</v>
      </c>
      <c r="O93" s="13"/>
      <c r="P93" s="1">
        <f>SUM(OSRRefP22_18x_0)</f>
        <v>37043.15</v>
      </c>
      <c r="Q93" s="1"/>
      <c r="R93" s="5">
        <f t="shared" ref="R93:R98" si="78">IF(P$12=0,0,P93/P$12)</f>
        <v>0.1882269386856647</v>
      </c>
      <c r="S93" s="1"/>
      <c r="T93" s="1">
        <f>SUM(OSRRefT22_18x_0)</f>
        <v>142624.26</v>
      </c>
      <c r="U93" s="1"/>
      <c r="V93" s="5">
        <f t="shared" ref="V93:V98" si="79">IF(T$12=0,0,T93/T$12)</f>
        <v>3.0190460490196087E-2</v>
      </c>
      <c r="W93" s="1"/>
      <c r="X93" s="1">
        <f t="shared" ref="X93:X98" si="80">+P93-T93</f>
        <v>-105581.11000000002</v>
      </c>
      <c r="Y93" s="1"/>
      <c r="Z93" s="5">
        <f t="shared" ref="Z93:Z98" si="81">IF(T93=0,0,X93/T93)</f>
        <v>-0.74027455076716964</v>
      </c>
    </row>
    <row r="94" spans="1:26" s="24" customFormat="1" hidden="1" outlineLevel="2" x14ac:dyDescent="0.25">
      <c r="A94" s="27"/>
      <c r="B94" s="11" t="str">
        <f>CONCATENATE("          ", "6282", " - ", "JANITORIAL/EXTERMINATOR EXPENS")</f>
        <v xml:space="preserve">          6282 - JANITORIAL/EXTERMINATOR EXPENS</v>
      </c>
      <c r="C94" s="11"/>
      <c r="D94" s="7">
        <v>3214.69</v>
      </c>
      <c r="E94" s="2"/>
      <c r="F94" s="6">
        <f t="shared" si="74"/>
        <v>4.4543294368394853E-2</v>
      </c>
      <c r="G94" s="2"/>
      <c r="H94" s="7">
        <v>3827.63</v>
      </c>
      <c r="I94" s="2"/>
      <c r="J94" s="6">
        <f t="shared" si="75"/>
        <v>6.0281925881247337E-3</v>
      </c>
      <c r="K94" s="2"/>
      <c r="L94" s="7">
        <f t="shared" si="76"/>
        <v>-612.94000000000005</v>
      </c>
      <c r="M94" s="2"/>
      <c r="N94" s="6">
        <f t="shared" si="77"/>
        <v>-0.16013564529486915</v>
      </c>
      <c r="O94" s="11"/>
      <c r="P94" s="7">
        <v>4838.18</v>
      </c>
      <c r="Q94" s="2"/>
      <c r="R94" s="6">
        <f t="shared" si="78"/>
        <v>2.4584189255239072E-2</v>
      </c>
      <c r="S94" s="2"/>
      <c r="T94" s="7">
        <v>13094.62</v>
      </c>
      <c r="U94" s="2"/>
      <c r="V94" s="6">
        <f t="shared" si="79"/>
        <v>2.7718468635289078E-3</v>
      </c>
      <c r="W94" s="2"/>
      <c r="X94" s="7">
        <f t="shared" si="80"/>
        <v>-8256.44</v>
      </c>
      <c r="Y94" s="2"/>
      <c r="Z94" s="6">
        <f t="shared" si="81"/>
        <v>-0.63052154243498471</v>
      </c>
    </row>
    <row r="95" spans="1:26" s="24" customFormat="1" hidden="1" outlineLevel="2" x14ac:dyDescent="0.25">
      <c r="A95" s="27"/>
      <c r="B95" s="11" t="str">
        <f>CONCATENATE("          ", "6283", " - ", "PLANT SERVICE")</f>
        <v xml:space="preserve">          6283 - PLANT SERVICE</v>
      </c>
      <c r="C95" s="11"/>
      <c r="D95" s="7"/>
      <c r="E95" s="2"/>
      <c r="F95" s="6">
        <f t="shared" si="74"/>
        <v>0</v>
      </c>
      <c r="G95" s="2"/>
      <c r="H95" s="7"/>
      <c r="I95" s="2"/>
      <c r="J95" s="6">
        <f t="shared" si="75"/>
        <v>0</v>
      </c>
      <c r="K95" s="2"/>
      <c r="L95" s="7">
        <f t="shared" si="76"/>
        <v>0</v>
      </c>
      <c r="M95" s="2"/>
      <c r="N95" s="6">
        <f t="shared" si="77"/>
        <v>0</v>
      </c>
      <c r="O95" s="11"/>
      <c r="P95" s="7"/>
      <c r="Q95" s="2"/>
      <c r="R95" s="6">
        <f t="shared" si="78"/>
        <v>0</v>
      </c>
      <c r="S95" s="2"/>
      <c r="T95" s="7">
        <v>799.12</v>
      </c>
      <c r="U95" s="2"/>
      <c r="V95" s="6">
        <f t="shared" si="79"/>
        <v>1.6915636082476777E-4</v>
      </c>
      <c r="W95" s="2"/>
      <c r="X95" s="7">
        <f t="shared" si="80"/>
        <v>-799.12</v>
      </c>
      <c r="Y95" s="2"/>
      <c r="Z95" s="6">
        <f t="shared" si="81"/>
        <v>-1</v>
      </c>
    </row>
    <row r="96" spans="1:26" s="24" customFormat="1" hidden="1" outlineLevel="2" x14ac:dyDescent="0.25">
      <c r="A96" s="27"/>
      <c r="B96" s="11" t="str">
        <f>CONCATENATE("          ", "6284", " - ", "TRASH REMOVAL EXPENSE")</f>
        <v xml:space="preserve">          6284 - TRASH REMOVAL EXPENSE</v>
      </c>
      <c r="C96" s="11"/>
      <c r="D96" s="7">
        <v>5658</v>
      </c>
      <c r="E96" s="2"/>
      <c r="F96" s="6">
        <f t="shared" si="74"/>
        <v>7.839821554687329E-2</v>
      </c>
      <c r="G96" s="2"/>
      <c r="H96" s="7">
        <v>10458</v>
      </c>
      <c r="I96" s="2"/>
      <c r="J96" s="6">
        <f t="shared" si="75"/>
        <v>1.6470462946159493E-2</v>
      </c>
      <c r="K96" s="2"/>
      <c r="L96" s="7">
        <f t="shared" si="76"/>
        <v>-4800</v>
      </c>
      <c r="M96" s="2"/>
      <c r="N96" s="6">
        <f t="shared" si="77"/>
        <v>-0.45897877223178429</v>
      </c>
      <c r="O96" s="11"/>
      <c r="P96" s="7">
        <v>19446</v>
      </c>
      <c r="Q96" s="2"/>
      <c r="R96" s="6">
        <f t="shared" si="78"/>
        <v>9.881073962882303E-2</v>
      </c>
      <c r="S96" s="2"/>
      <c r="T96" s="7">
        <v>24626</v>
      </c>
      <c r="U96" s="2"/>
      <c r="V96" s="6">
        <f t="shared" si="79"/>
        <v>5.2127897458088043E-3</v>
      </c>
      <c r="W96" s="2"/>
      <c r="X96" s="7">
        <f t="shared" si="80"/>
        <v>-5180</v>
      </c>
      <c r="Y96" s="2"/>
      <c r="Z96" s="6">
        <f t="shared" si="81"/>
        <v>-0.21034678794769757</v>
      </c>
    </row>
    <row r="97" spans="1:26" s="24" customFormat="1" hidden="1" outlineLevel="2" x14ac:dyDescent="0.25">
      <c r="A97" s="27"/>
      <c r="B97" s="11" t="str">
        <f>CONCATENATE("          ", "6285", " - ", "JANITORIAL SERVICES")</f>
        <v xml:space="preserve">          6285 - JANITORIAL SERVICES</v>
      </c>
      <c r="C97" s="11"/>
      <c r="D97" s="7">
        <v>3179.44</v>
      </c>
      <c r="E97" s="2"/>
      <c r="F97" s="6">
        <f t="shared" si="74"/>
        <v>4.4054864340464968E-2</v>
      </c>
      <c r="G97" s="2"/>
      <c r="H97" s="7">
        <v>13444.69</v>
      </c>
      <c r="I97" s="2"/>
      <c r="J97" s="6">
        <f t="shared" si="75"/>
        <v>2.1174246363320052E-2</v>
      </c>
      <c r="K97" s="2"/>
      <c r="L97" s="7">
        <f t="shared" si="76"/>
        <v>-10265.25</v>
      </c>
      <c r="M97" s="2"/>
      <c r="N97" s="6">
        <f t="shared" si="77"/>
        <v>-0.76351704650683649</v>
      </c>
      <c r="O97" s="11"/>
      <c r="P97" s="7">
        <v>11966.21</v>
      </c>
      <c r="Q97" s="2"/>
      <c r="R97" s="6">
        <f t="shared" si="78"/>
        <v>6.0803767389376651E-2</v>
      </c>
      <c r="S97" s="2"/>
      <c r="T97" s="7">
        <v>80298.14</v>
      </c>
      <c r="U97" s="2"/>
      <c r="V97" s="6">
        <f t="shared" si="79"/>
        <v>1.6997373540141303E-2</v>
      </c>
      <c r="W97" s="2"/>
      <c r="X97" s="7">
        <f t="shared" si="80"/>
        <v>-68331.929999999993</v>
      </c>
      <c r="Y97" s="2"/>
      <c r="Z97" s="6">
        <f t="shared" si="81"/>
        <v>-0.8509777436936895</v>
      </c>
    </row>
    <row r="98" spans="1:26" s="24" customFormat="1" hidden="1" outlineLevel="2" x14ac:dyDescent="0.25">
      <c r="A98" s="27"/>
      <c r="B98" s="11" t="str">
        <f>CONCATENATE("          ", "6286", " - ", "LAUNDRY EXPENSE")</f>
        <v xml:space="preserve">          6286 - LAUNDRY EXPENSE</v>
      </c>
      <c r="C98" s="11"/>
      <c r="D98" s="7">
        <v>106.55</v>
      </c>
      <c r="E98" s="2"/>
      <c r="F98" s="6">
        <f t="shared" si="74"/>
        <v>1.4763750205937342E-3</v>
      </c>
      <c r="G98" s="2"/>
      <c r="H98" s="7">
        <v>3343.89</v>
      </c>
      <c r="I98" s="2"/>
      <c r="J98" s="6">
        <f t="shared" si="75"/>
        <v>5.2663431192420413E-3</v>
      </c>
      <c r="K98" s="2"/>
      <c r="L98" s="7">
        <f t="shared" si="76"/>
        <v>-3237.3399999999997</v>
      </c>
      <c r="M98" s="2"/>
      <c r="N98" s="6">
        <f t="shared" si="77"/>
        <v>-0.96813591356174988</v>
      </c>
      <c r="O98" s="11"/>
      <c r="P98" s="7">
        <v>792.76</v>
      </c>
      <c r="Q98" s="2"/>
      <c r="R98" s="6">
        <f t="shared" si="78"/>
        <v>4.0282424122259457E-3</v>
      </c>
      <c r="S98" s="2"/>
      <c r="T98" s="7">
        <v>23806.38</v>
      </c>
      <c r="U98" s="2"/>
      <c r="V98" s="6">
        <f t="shared" si="79"/>
        <v>5.0392939798923012E-3</v>
      </c>
      <c r="W98" s="2"/>
      <c r="X98" s="7">
        <f t="shared" si="80"/>
        <v>-23013.620000000003</v>
      </c>
      <c r="Y98" s="2"/>
      <c r="Z98" s="6">
        <f t="shared" si="81"/>
        <v>-0.96669968302614684</v>
      </c>
    </row>
    <row r="99" spans="1:26" s="25" customFormat="1" outlineLevel="1" collapsed="1" x14ac:dyDescent="0.25">
      <c r="A99" s="26"/>
      <c r="B99" s="13" t="str">
        <f>CONCATENATE("     ","Subscriptions &amp; Dues                              ")</f>
        <v xml:space="preserve">     Subscriptions &amp; Dues                              </v>
      </c>
      <c r="C99" s="13"/>
      <c r="D99" s="1">
        <f>SUM(OSRRefD22_19x_0)</f>
        <v>262.83999999999997</v>
      </c>
      <c r="E99" s="1"/>
      <c r="F99" s="5">
        <f t="shared" ref="F99:F101" si="82">IF(D$12=0,0,D99/D$12)</f>
        <v>3.6419559869812958E-3</v>
      </c>
      <c r="G99" s="1"/>
      <c r="H99" s="1">
        <f>SUM(OSRRefH22_19x_0)</f>
        <v>4476.22</v>
      </c>
      <c r="I99" s="1"/>
      <c r="J99" s="5">
        <f t="shared" ref="J99:J101" si="83">IF(H$12=0,0,H99/H$12)</f>
        <v>7.0496668243314265E-3</v>
      </c>
      <c r="K99" s="1"/>
      <c r="L99" s="1">
        <f t="shared" ref="L99:L101" si="84">+D99-H99</f>
        <v>-4213.38</v>
      </c>
      <c r="M99" s="1"/>
      <c r="N99" s="5">
        <f t="shared" ref="N99:N101" si="85">IF(H99=0,0,L99/H99)</f>
        <v>-0.94128081282868137</v>
      </c>
      <c r="O99" s="13"/>
      <c r="P99" s="1">
        <f>SUM(OSRRefP22_19x_0)</f>
        <v>534.16999999999996</v>
      </c>
      <c r="Q99" s="1"/>
      <c r="R99" s="5">
        <f t="shared" ref="R99:R101" si="86">IF(P$12=0,0,P99/P$12)</f>
        <v>2.7142719730293319E-3</v>
      </c>
      <c r="S99" s="1"/>
      <c r="T99" s="1">
        <f>SUM(OSRRefT22_19x_0)</f>
        <v>7333</v>
      </c>
      <c r="U99" s="1"/>
      <c r="V99" s="5">
        <f t="shared" ref="V99:V101" si="87">IF(T$12=0,0,T99/T$12)</f>
        <v>1.552236953058392E-3</v>
      </c>
      <c r="W99" s="1"/>
      <c r="X99" s="1">
        <f t="shared" ref="X99:X101" si="88">+P99-T99</f>
        <v>-6798.83</v>
      </c>
      <c r="Y99" s="1"/>
      <c r="Z99" s="5">
        <f t="shared" ref="Z99:Z101" si="89">IF(T99=0,0,X99/T99)</f>
        <v>-0.92715532524205646</v>
      </c>
    </row>
    <row r="100" spans="1:26" s="24" customFormat="1" hidden="1" outlineLevel="2" x14ac:dyDescent="0.25">
      <c r="A100" s="27"/>
      <c r="B100" s="11" t="str">
        <f>CONCATENATE("          ", "6258", " - ", "MEMBERSHIP DUES")</f>
        <v xml:space="preserve">          6258 - MEMBERSHIP DUES</v>
      </c>
      <c r="C100" s="11"/>
      <c r="D100" s="7"/>
      <c r="E100" s="2"/>
      <c r="F100" s="6">
        <f t="shared" si="82"/>
        <v>0</v>
      </c>
      <c r="G100" s="2"/>
      <c r="H100" s="7">
        <v>3730</v>
      </c>
      <c r="I100" s="2"/>
      <c r="J100" s="6">
        <f t="shared" si="83"/>
        <v>5.8744336191599647E-3</v>
      </c>
      <c r="K100" s="2"/>
      <c r="L100" s="7">
        <f t="shared" si="84"/>
        <v>-3730</v>
      </c>
      <c r="M100" s="2"/>
      <c r="N100" s="6">
        <f t="shared" si="85"/>
        <v>-1</v>
      </c>
      <c r="O100" s="11"/>
      <c r="P100" s="7"/>
      <c r="Q100" s="2"/>
      <c r="R100" s="6">
        <f t="shared" si="86"/>
        <v>0</v>
      </c>
      <c r="S100" s="2"/>
      <c r="T100" s="7">
        <v>3730</v>
      </c>
      <c r="U100" s="2"/>
      <c r="V100" s="6">
        <f t="shared" si="87"/>
        <v>7.8956004839871843E-4</v>
      </c>
      <c r="W100" s="2"/>
      <c r="X100" s="7">
        <f t="shared" si="88"/>
        <v>-3730</v>
      </c>
      <c r="Y100" s="2"/>
      <c r="Z100" s="6">
        <f t="shared" si="89"/>
        <v>-1</v>
      </c>
    </row>
    <row r="101" spans="1:26" s="24" customFormat="1" hidden="1" outlineLevel="2" x14ac:dyDescent="0.25">
      <c r="A101" s="27"/>
      <c r="B101" s="11" t="str">
        <f>CONCATENATE("          ", "6275", " - ", "SUBSCRIPTIONS")</f>
        <v xml:space="preserve">          6275 - SUBSCRIPTIONS</v>
      </c>
      <c r="C101" s="11"/>
      <c r="D101" s="7">
        <v>262.83999999999997</v>
      </c>
      <c r="E101" s="2"/>
      <c r="F101" s="6">
        <f t="shared" si="82"/>
        <v>3.6419559869812958E-3</v>
      </c>
      <c r="G101" s="2"/>
      <c r="H101" s="7">
        <v>746.22</v>
      </c>
      <c r="I101" s="2"/>
      <c r="J101" s="6">
        <f t="shared" si="83"/>
        <v>1.1752332051714609E-3</v>
      </c>
      <c r="K101" s="2"/>
      <c r="L101" s="7">
        <f t="shared" si="84"/>
        <v>-483.38000000000005</v>
      </c>
      <c r="M101" s="2"/>
      <c r="N101" s="6">
        <f t="shared" si="85"/>
        <v>-0.64777143469754228</v>
      </c>
      <c r="O101" s="11"/>
      <c r="P101" s="7">
        <v>534.16999999999996</v>
      </c>
      <c r="Q101" s="2"/>
      <c r="R101" s="6">
        <f t="shared" si="86"/>
        <v>2.7142719730293319E-3</v>
      </c>
      <c r="S101" s="2"/>
      <c r="T101" s="7">
        <v>3603</v>
      </c>
      <c r="U101" s="2"/>
      <c r="V101" s="6">
        <f t="shared" si="87"/>
        <v>7.6267690465967356E-4</v>
      </c>
      <c r="W101" s="2"/>
      <c r="X101" s="7">
        <f t="shared" si="88"/>
        <v>-3068.83</v>
      </c>
      <c r="Y101" s="2"/>
      <c r="Z101" s="6">
        <f t="shared" si="89"/>
        <v>-0.85174299195115177</v>
      </c>
    </row>
    <row r="102" spans="1:26" s="25" customFormat="1" outlineLevel="1" collapsed="1" x14ac:dyDescent="0.25">
      <c r="A102" s="26"/>
      <c r="B102" s="13" t="str">
        <f>CONCATENATE("     ","Supplies                                          ")</f>
        <v xml:space="preserve">     Supplies                                          </v>
      </c>
      <c r="C102" s="13"/>
      <c r="D102" s="1">
        <f>SUM(OSRRefD22_20x_0)</f>
        <v>24.36</v>
      </c>
      <c r="E102" s="1"/>
      <c r="F102" s="5">
        <f t="shared" ref="F102:F111" si="90">IF(D$12=0,0,D102/D$12)</f>
        <v>3.3753632568431127E-4</v>
      </c>
      <c r="G102" s="1"/>
      <c r="H102" s="1">
        <f>SUM(OSRRefH22_20x_0)</f>
        <v>15451.4</v>
      </c>
      <c r="I102" s="1"/>
      <c r="J102" s="5">
        <f t="shared" ref="J102:J111" si="91">IF(H$12=0,0,H102/H$12)</f>
        <v>2.4334644402972731E-2</v>
      </c>
      <c r="K102" s="1"/>
      <c r="L102" s="1">
        <f t="shared" ref="L102:L111" si="92">+D102-H102</f>
        <v>-15427.039999999999</v>
      </c>
      <c r="M102" s="1"/>
      <c r="N102" s="5">
        <f t="shared" ref="N102:N111" si="93">IF(H102=0,0,L102/H102)</f>
        <v>-0.99842344383033244</v>
      </c>
      <c r="O102" s="13"/>
      <c r="P102" s="1">
        <f>SUM(OSRRefP22_20x_0)</f>
        <v>-20452.23</v>
      </c>
      <c r="Q102" s="1"/>
      <c r="R102" s="5">
        <f t="shared" ref="R102:R111" si="94">IF(P$12=0,0,P102/P$12)</f>
        <v>-0.1039236847351025</v>
      </c>
      <c r="S102" s="1"/>
      <c r="T102" s="1">
        <f>SUM(OSRRefT22_20x_0)</f>
        <v>154285.19</v>
      </c>
      <c r="U102" s="1"/>
      <c r="V102" s="5">
        <f t="shared" ref="V102:V111" si="95">IF(T$12=0,0,T102/T$12)</f>
        <v>3.265882629587278E-2</v>
      </c>
      <c r="W102" s="1"/>
      <c r="X102" s="1">
        <f t="shared" ref="X102:X111" si="96">+P102-T102</f>
        <v>-174737.42</v>
      </c>
      <c r="Y102" s="1"/>
      <c r="Z102" s="5">
        <f t="shared" ref="Z102:Z111" si="97">IF(T102=0,0,X102/T102)</f>
        <v>-1.132561200462598</v>
      </c>
    </row>
    <row r="103" spans="1:26" s="24" customFormat="1" hidden="1" outlineLevel="2" x14ac:dyDescent="0.25">
      <c r="A103" s="27"/>
      <c r="B103" s="11" t="str">
        <f>CONCATENATE("          ", "6234", " - ", "EXPENDABLE SUPPLIES &amp; EQUIPMEN")</f>
        <v xml:space="preserve">          6234 - EXPENDABLE SUPPLIES &amp; EQUIPMEN</v>
      </c>
      <c r="C103" s="11"/>
      <c r="D103" s="7"/>
      <c r="E103" s="2"/>
      <c r="F103" s="6">
        <f t="shared" si="90"/>
        <v>0</v>
      </c>
      <c r="G103" s="2"/>
      <c r="H103" s="7"/>
      <c r="I103" s="2"/>
      <c r="J103" s="6">
        <f t="shared" si="91"/>
        <v>0</v>
      </c>
      <c r="K103" s="2"/>
      <c r="L103" s="7">
        <f t="shared" si="92"/>
        <v>0</v>
      </c>
      <c r="M103" s="2"/>
      <c r="N103" s="6">
        <f t="shared" si="93"/>
        <v>0</v>
      </c>
      <c r="O103" s="11"/>
      <c r="P103" s="7">
        <v>627.58000000000004</v>
      </c>
      <c r="Q103" s="2"/>
      <c r="R103" s="6">
        <f t="shared" si="94"/>
        <v>3.1889151484241879E-3</v>
      </c>
      <c r="S103" s="2"/>
      <c r="T103" s="7">
        <v>13295.18</v>
      </c>
      <c r="U103" s="2"/>
      <c r="V103" s="6">
        <f t="shared" si="95"/>
        <v>2.8143010628068829E-3</v>
      </c>
      <c r="W103" s="2"/>
      <c r="X103" s="7">
        <f t="shared" si="96"/>
        <v>-12667.6</v>
      </c>
      <c r="Y103" s="2"/>
      <c r="Z103" s="6">
        <f t="shared" si="97"/>
        <v>-0.95279642697579126</v>
      </c>
    </row>
    <row r="104" spans="1:26" s="24" customFormat="1" hidden="1" outlineLevel="2" x14ac:dyDescent="0.25">
      <c r="A104" s="27"/>
      <c r="B104" s="11" t="str">
        <f>CONCATENATE("          ", "6235", " - ", "COVID-19 EXPENSES")</f>
        <v xml:space="preserve">          6235 - COVID-19 EXPENSES</v>
      </c>
      <c r="C104" s="11"/>
      <c r="D104" s="7"/>
      <c r="E104" s="2"/>
      <c r="F104" s="6">
        <f t="shared" si="90"/>
        <v>0</v>
      </c>
      <c r="G104" s="2"/>
      <c r="H104" s="7"/>
      <c r="I104" s="2"/>
      <c r="J104" s="6">
        <f t="shared" si="91"/>
        <v>0</v>
      </c>
      <c r="K104" s="2"/>
      <c r="L104" s="7">
        <f t="shared" si="92"/>
        <v>0</v>
      </c>
      <c r="M104" s="2"/>
      <c r="N104" s="6">
        <f t="shared" si="93"/>
        <v>0</v>
      </c>
      <c r="O104" s="11"/>
      <c r="P104" s="7">
        <v>7089.13</v>
      </c>
      <c r="Q104" s="2"/>
      <c r="R104" s="6">
        <f t="shared" si="94"/>
        <v>3.6021916004570512E-2</v>
      </c>
      <c r="S104" s="2"/>
      <c r="T104" s="7"/>
      <c r="U104" s="2"/>
      <c r="V104" s="6">
        <f t="shared" si="95"/>
        <v>0</v>
      </c>
      <c r="W104" s="2"/>
      <c r="X104" s="7">
        <f t="shared" si="96"/>
        <v>7089.13</v>
      </c>
      <c r="Y104" s="2"/>
      <c r="Z104" s="6">
        <f t="shared" si="97"/>
        <v>0</v>
      </c>
    </row>
    <row r="105" spans="1:26" s="24" customFormat="1" hidden="1" outlineLevel="2" x14ac:dyDescent="0.25">
      <c r="A105" s="27"/>
      <c r="B105" s="11" t="str">
        <f>CONCATENATE("          ", "6237", " - ", "JANITORIAL SUPPLIES")</f>
        <v xml:space="preserve">          6237 - JANITORIAL SUPPLIES</v>
      </c>
      <c r="C105" s="11"/>
      <c r="D105" s="7">
        <v>18.86</v>
      </c>
      <c r="E105" s="2"/>
      <c r="F105" s="6">
        <f t="shared" si="90"/>
        <v>2.613273851562443E-4</v>
      </c>
      <c r="G105" s="2"/>
      <c r="H105" s="7">
        <v>5789.29</v>
      </c>
      <c r="I105" s="2"/>
      <c r="J105" s="6">
        <f t="shared" si="91"/>
        <v>9.1176406989454672E-3</v>
      </c>
      <c r="K105" s="2"/>
      <c r="L105" s="7">
        <f t="shared" si="92"/>
        <v>-5770.43</v>
      </c>
      <c r="M105" s="2"/>
      <c r="N105" s="6">
        <f t="shared" si="93"/>
        <v>-0.99674226027716706</v>
      </c>
      <c r="O105" s="11"/>
      <c r="P105" s="7">
        <v>676.48</v>
      </c>
      <c r="Q105" s="2"/>
      <c r="R105" s="6">
        <f t="shared" si="94"/>
        <v>3.4373901647694232E-3</v>
      </c>
      <c r="S105" s="2"/>
      <c r="T105" s="7">
        <v>32997.910000000003</v>
      </c>
      <c r="U105" s="2"/>
      <c r="V105" s="6">
        <f t="shared" si="95"/>
        <v>6.9849413985674409E-3</v>
      </c>
      <c r="W105" s="2"/>
      <c r="X105" s="7">
        <f t="shared" si="96"/>
        <v>-32321.430000000004</v>
      </c>
      <c r="Y105" s="2"/>
      <c r="Z105" s="6">
        <f t="shared" si="97"/>
        <v>-0.97949930768342608</v>
      </c>
    </row>
    <row r="106" spans="1:26" s="24" customFormat="1" hidden="1" outlineLevel="2" x14ac:dyDescent="0.25">
      <c r="A106" s="27"/>
      <c r="B106" s="11" t="str">
        <f>CONCATENATE("          ", "6239", " - ", "KITCHEN SUPPLIES")</f>
        <v xml:space="preserve">          6239 - KITCHEN SUPPLIES</v>
      </c>
      <c r="C106" s="11"/>
      <c r="D106" s="7"/>
      <c r="E106" s="2"/>
      <c r="F106" s="6">
        <f t="shared" si="90"/>
        <v>0</v>
      </c>
      <c r="G106" s="2"/>
      <c r="H106" s="7">
        <v>2898.44</v>
      </c>
      <c r="I106" s="2"/>
      <c r="J106" s="6">
        <f t="shared" si="91"/>
        <v>4.5647971525785546E-3</v>
      </c>
      <c r="K106" s="2"/>
      <c r="L106" s="7">
        <f t="shared" si="92"/>
        <v>-2898.44</v>
      </c>
      <c r="M106" s="2"/>
      <c r="N106" s="6">
        <f t="shared" si="93"/>
        <v>-1</v>
      </c>
      <c r="O106" s="11"/>
      <c r="P106" s="7">
        <v>19.829999999999998</v>
      </c>
      <c r="Q106" s="2"/>
      <c r="R106" s="6">
        <f t="shared" si="94"/>
        <v>1.0076195448110462E-4</v>
      </c>
      <c r="S106" s="2"/>
      <c r="T106" s="7">
        <v>33433.839999999997</v>
      </c>
      <c r="U106" s="2"/>
      <c r="V106" s="6">
        <f t="shared" si="95"/>
        <v>7.0772183186474545E-3</v>
      </c>
      <c r="W106" s="2"/>
      <c r="X106" s="7">
        <f t="shared" si="96"/>
        <v>-33414.009999999995</v>
      </c>
      <c r="Y106" s="2"/>
      <c r="Z106" s="6">
        <f t="shared" si="97"/>
        <v>-0.99940688835024627</v>
      </c>
    </row>
    <row r="107" spans="1:26" s="24" customFormat="1" hidden="1" outlineLevel="2" x14ac:dyDescent="0.25">
      <c r="A107" s="27"/>
      <c r="B107" s="11" t="str">
        <f>CONCATENATE("          ", "6241", " - ", "OFFICE EXPENSE")</f>
        <v xml:space="preserve">          6241 - OFFICE EXPENSE</v>
      </c>
      <c r="C107" s="11"/>
      <c r="D107" s="7">
        <v>5.5</v>
      </c>
      <c r="E107" s="2"/>
      <c r="F107" s="6">
        <f t="shared" si="90"/>
        <v>7.6208940528066995E-5</v>
      </c>
      <c r="G107" s="2"/>
      <c r="H107" s="7">
        <v>1593.7</v>
      </c>
      <c r="I107" s="2"/>
      <c r="J107" s="6">
        <f t="shared" si="91"/>
        <v>2.5099423214089106E-3</v>
      </c>
      <c r="K107" s="2"/>
      <c r="L107" s="7">
        <f t="shared" si="92"/>
        <v>-1588.2</v>
      </c>
      <c r="M107" s="2"/>
      <c r="N107" s="6">
        <f t="shared" si="93"/>
        <v>-0.99654891133839496</v>
      </c>
      <c r="O107" s="11"/>
      <c r="P107" s="7">
        <v>-28986.53</v>
      </c>
      <c r="Q107" s="2"/>
      <c r="R107" s="6">
        <f t="shared" si="94"/>
        <v>-0.14728892669819332</v>
      </c>
      <c r="S107" s="2"/>
      <c r="T107" s="7">
        <v>16409.28</v>
      </c>
      <c r="U107" s="2"/>
      <c r="V107" s="6">
        <f t="shared" si="95"/>
        <v>3.4734884479860912E-3</v>
      </c>
      <c r="W107" s="2"/>
      <c r="X107" s="7">
        <f t="shared" si="96"/>
        <v>-45395.81</v>
      </c>
      <c r="Y107" s="2"/>
      <c r="Z107" s="6">
        <f t="shared" si="97"/>
        <v>-2.7664717769457283</v>
      </c>
    </row>
    <row r="108" spans="1:26" s="24" customFormat="1" hidden="1" outlineLevel="2" x14ac:dyDescent="0.25">
      <c r="A108" s="27"/>
      <c r="B108" s="11" t="str">
        <f>CONCATENATE("          ", "6243", " - ", "PAPER SUPPLIES")</f>
        <v xml:space="preserve">          6243 - PAPER SUPPLIES</v>
      </c>
      <c r="C108" s="11"/>
      <c r="D108" s="7"/>
      <c r="E108" s="2"/>
      <c r="F108" s="6">
        <f t="shared" si="90"/>
        <v>0</v>
      </c>
      <c r="G108" s="2"/>
      <c r="H108" s="7">
        <v>2616.14</v>
      </c>
      <c r="I108" s="2"/>
      <c r="J108" s="6">
        <f t="shared" si="91"/>
        <v>4.1201985974340886E-3</v>
      </c>
      <c r="K108" s="2"/>
      <c r="L108" s="7">
        <f t="shared" si="92"/>
        <v>-2616.14</v>
      </c>
      <c r="M108" s="2"/>
      <c r="N108" s="6">
        <f t="shared" si="93"/>
        <v>-1</v>
      </c>
      <c r="O108" s="11"/>
      <c r="P108" s="7"/>
      <c r="Q108" s="2"/>
      <c r="R108" s="6">
        <f t="shared" si="94"/>
        <v>0</v>
      </c>
      <c r="S108" s="2"/>
      <c r="T108" s="7">
        <v>22198.85</v>
      </c>
      <c r="U108" s="2"/>
      <c r="V108" s="6">
        <f t="shared" si="95"/>
        <v>4.6990147668621689E-3</v>
      </c>
      <c r="W108" s="2"/>
      <c r="X108" s="7">
        <f t="shared" si="96"/>
        <v>-22198.85</v>
      </c>
      <c r="Y108" s="2"/>
      <c r="Z108" s="6">
        <f t="shared" si="97"/>
        <v>-1</v>
      </c>
    </row>
    <row r="109" spans="1:26" s="24" customFormat="1" hidden="1" outlineLevel="2" x14ac:dyDescent="0.25">
      <c r="A109" s="27"/>
      <c r="B109" s="11" t="str">
        <f>CONCATENATE("          ", "6245", " - ", "PRINTING")</f>
        <v xml:space="preserve">          6245 - PRINTING</v>
      </c>
      <c r="C109" s="11"/>
      <c r="D109" s="7"/>
      <c r="E109" s="2"/>
      <c r="F109" s="6">
        <f t="shared" si="90"/>
        <v>0</v>
      </c>
      <c r="G109" s="2"/>
      <c r="H109" s="7"/>
      <c r="I109" s="2"/>
      <c r="J109" s="6">
        <f t="shared" si="91"/>
        <v>0</v>
      </c>
      <c r="K109" s="2"/>
      <c r="L109" s="7">
        <f t="shared" si="92"/>
        <v>0</v>
      </c>
      <c r="M109" s="2"/>
      <c r="N109" s="6">
        <f t="shared" si="93"/>
        <v>0</v>
      </c>
      <c r="O109" s="11"/>
      <c r="P109" s="7"/>
      <c r="Q109" s="2"/>
      <c r="R109" s="6">
        <f t="shared" si="94"/>
        <v>0</v>
      </c>
      <c r="S109" s="2"/>
      <c r="T109" s="7">
        <v>352.64</v>
      </c>
      <c r="U109" s="2"/>
      <c r="V109" s="6">
        <f t="shared" si="95"/>
        <v>7.4646234709738342E-5</v>
      </c>
      <c r="W109" s="2"/>
      <c r="X109" s="7">
        <f t="shared" si="96"/>
        <v>-352.64</v>
      </c>
      <c r="Y109" s="2"/>
      <c r="Z109" s="6">
        <f t="shared" si="97"/>
        <v>-1</v>
      </c>
    </row>
    <row r="110" spans="1:26" s="24" customFormat="1" hidden="1" outlineLevel="2" x14ac:dyDescent="0.25">
      <c r="A110" s="27"/>
      <c r="B110" s="11" t="str">
        <f>CONCATENATE("          ", "6247", " - ", "STORE SUPPLIES")</f>
        <v xml:space="preserve">          6247 - STORE SUPPLIES</v>
      </c>
      <c r="C110" s="11"/>
      <c r="D110" s="7"/>
      <c r="E110" s="2"/>
      <c r="F110" s="6">
        <f t="shared" si="90"/>
        <v>0</v>
      </c>
      <c r="G110" s="2"/>
      <c r="H110" s="7">
        <v>2553.83</v>
      </c>
      <c r="I110" s="2"/>
      <c r="J110" s="6">
        <f t="shared" si="91"/>
        <v>4.0220656326057083E-3</v>
      </c>
      <c r="K110" s="2"/>
      <c r="L110" s="7">
        <f t="shared" si="92"/>
        <v>-2553.83</v>
      </c>
      <c r="M110" s="2"/>
      <c r="N110" s="6">
        <f t="shared" si="93"/>
        <v>-1</v>
      </c>
      <c r="O110" s="11"/>
      <c r="P110" s="7">
        <v>121.28</v>
      </c>
      <c r="Q110" s="2"/>
      <c r="R110" s="6">
        <f t="shared" si="94"/>
        <v>6.1625869084560615E-4</v>
      </c>
      <c r="S110" s="2"/>
      <c r="T110" s="7">
        <v>31863.74</v>
      </c>
      <c r="U110" s="2"/>
      <c r="V110" s="6">
        <f t="shared" si="95"/>
        <v>6.7448622242799409E-3</v>
      </c>
      <c r="W110" s="2"/>
      <c r="X110" s="7">
        <f t="shared" si="96"/>
        <v>-31742.460000000003</v>
      </c>
      <c r="Y110" s="2"/>
      <c r="Z110" s="6">
        <f t="shared" si="97"/>
        <v>-0.99619379269351305</v>
      </c>
    </row>
    <row r="111" spans="1:26" s="24" customFormat="1" hidden="1" outlineLevel="2" x14ac:dyDescent="0.25">
      <c r="A111" s="27"/>
      <c r="B111" s="11" t="str">
        <f>CONCATENATE("          ", "6248", " - ", "UNIFORMS")</f>
        <v xml:space="preserve">          6248 - UNIFORMS</v>
      </c>
      <c r="C111" s="11"/>
      <c r="D111" s="7"/>
      <c r="E111" s="2"/>
      <c r="F111" s="6">
        <f t="shared" si="90"/>
        <v>0</v>
      </c>
      <c r="G111" s="2"/>
      <c r="H111" s="7"/>
      <c r="I111" s="2"/>
      <c r="J111" s="6">
        <f t="shared" si="91"/>
        <v>0</v>
      </c>
      <c r="K111" s="2"/>
      <c r="L111" s="7">
        <f t="shared" si="92"/>
        <v>0</v>
      </c>
      <c r="M111" s="2"/>
      <c r="N111" s="6">
        <f t="shared" si="93"/>
        <v>0</v>
      </c>
      <c r="O111" s="11"/>
      <c r="P111" s="7"/>
      <c r="Q111" s="2"/>
      <c r="R111" s="6">
        <f t="shared" si="94"/>
        <v>0</v>
      </c>
      <c r="S111" s="2"/>
      <c r="T111" s="7">
        <v>3733.75</v>
      </c>
      <c r="U111" s="2"/>
      <c r="V111" s="6">
        <f t="shared" si="95"/>
        <v>7.9035384201306023E-4</v>
      </c>
      <c r="W111" s="2"/>
      <c r="X111" s="7">
        <f t="shared" si="96"/>
        <v>-3733.75</v>
      </c>
      <c r="Y111" s="2"/>
      <c r="Z111" s="6">
        <f t="shared" si="97"/>
        <v>-1</v>
      </c>
    </row>
    <row r="112" spans="1:26" s="25" customFormat="1" outlineLevel="1" collapsed="1" x14ac:dyDescent="0.25">
      <c r="A112" s="26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SUM(OSRRefD22_21x_0)</f>
        <v>868.65</v>
      </c>
      <c r="E112" s="1"/>
      <c r="F112" s="5">
        <f t="shared" ref="F112:F119" si="98">IF(D$12=0,0,D112/D$12)</f>
        <v>1.2036162943582798E-2</v>
      </c>
      <c r="G112" s="1"/>
      <c r="H112" s="1">
        <f>SUM(OSRRefH22_21x_0)</f>
        <v>2261.65</v>
      </c>
      <c r="I112" s="1"/>
      <c r="J112" s="5">
        <f t="shared" ref="J112:J119" si="99">IF(H$12=0,0,H112/H$12)</f>
        <v>3.561906915488776E-3</v>
      </c>
      <c r="K112" s="1"/>
      <c r="L112" s="1">
        <f t="shared" ref="L112:L119" si="100">+D112-H112</f>
        <v>-1393</v>
      </c>
      <c r="M112" s="1"/>
      <c r="N112" s="5">
        <f t="shared" ref="N112:N119" si="101">IF(H112=0,0,L112/H112)</f>
        <v>-0.615922003846749</v>
      </c>
      <c r="O112" s="13"/>
      <c r="P112" s="1">
        <f>SUM(OSRRefP22_21x_0)</f>
        <v>7311.56</v>
      </c>
      <c r="Q112" s="1"/>
      <c r="R112" s="5">
        <f t="shared" ref="R112:R119" si="102">IF(P$12=0,0,P112/P$12)</f>
        <v>3.7152147045177275E-2</v>
      </c>
      <c r="S112" s="1"/>
      <c r="T112" s="1">
        <f>SUM(OSRRefT22_21x_0)</f>
        <v>12544.78</v>
      </c>
      <c r="U112" s="1"/>
      <c r="V112" s="5">
        <f t="shared" ref="V112:V119" si="103">IF(T$12=0,0,T112/T$12)</f>
        <v>2.6554576686196448E-3</v>
      </c>
      <c r="W112" s="1"/>
      <c r="X112" s="1">
        <f t="shared" ref="X112:X119" si="104">+P112-T112</f>
        <v>-5233.22</v>
      </c>
      <c r="Y112" s="1"/>
      <c r="Z112" s="5">
        <f t="shared" ref="Z112:Z119" si="105">IF(T112=0,0,X112/T112)</f>
        <v>-0.41716315471455057</v>
      </c>
    </row>
    <row r="113" spans="1:26" s="24" customFormat="1" hidden="1" outlineLevel="2" x14ac:dyDescent="0.25">
      <c r="A113" s="27"/>
      <c r="B113" s="11" t="str">
        <f>CONCATENATE("          ", "6309", " - ", "TELEPHONE")</f>
        <v xml:space="preserve">          6309 - TELEPHONE</v>
      </c>
      <c r="C113" s="11"/>
      <c r="D113" s="7">
        <v>868.65</v>
      </c>
      <c r="E113" s="2"/>
      <c r="F113" s="6">
        <f t="shared" si="98"/>
        <v>1.2036162943582798E-2</v>
      </c>
      <c r="G113" s="2"/>
      <c r="H113" s="7">
        <v>2261.65</v>
      </c>
      <c r="I113" s="2"/>
      <c r="J113" s="6">
        <f t="shared" si="99"/>
        <v>3.561906915488776E-3</v>
      </c>
      <c r="K113" s="2"/>
      <c r="L113" s="7">
        <f t="shared" si="100"/>
        <v>-1393</v>
      </c>
      <c r="M113" s="2"/>
      <c r="N113" s="6">
        <f t="shared" si="101"/>
        <v>-0.615922003846749</v>
      </c>
      <c r="O113" s="11"/>
      <c r="P113" s="7">
        <v>7311.56</v>
      </c>
      <c r="Q113" s="2"/>
      <c r="R113" s="6">
        <f t="shared" si="102"/>
        <v>3.7152147045177275E-2</v>
      </c>
      <c r="S113" s="2"/>
      <c r="T113" s="7">
        <v>12544.78</v>
      </c>
      <c r="U113" s="2"/>
      <c r="V113" s="6">
        <f t="shared" si="103"/>
        <v>2.6554576686196448E-3</v>
      </c>
      <c r="W113" s="2"/>
      <c r="X113" s="7">
        <f t="shared" si="104"/>
        <v>-5233.22</v>
      </c>
      <c r="Y113" s="2"/>
      <c r="Z113" s="6">
        <f t="shared" si="105"/>
        <v>-0.41716315471455057</v>
      </c>
    </row>
    <row r="114" spans="1:26" s="25" customFormat="1" outlineLevel="1" collapsed="1" x14ac:dyDescent="0.25">
      <c r="A114" s="26"/>
      <c r="B114" s="13" t="str">
        <f>CONCATENATE("     ","Training                                          ")</f>
        <v xml:space="preserve">     Training                                          </v>
      </c>
      <c r="C114" s="13"/>
      <c r="D114" s="1">
        <f>SUM(OSRRefD22_22x_0)</f>
        <v>0</v>
      </c>
      <c r="E114" s="1"/>
      <c r="F114" s="5">
        <f t="shared" si="98"/>
        <v>0</v>
      </c>
      <c r="G114" s="1"/>
      <c r="H114" s="1">
        <f>SUM(OSRRefH22_22x_0)</f>
        <v>159</v>
      </c>
      <c r="I114" s="1"/>
      <c r="J114" s="5">
        <f t="shared" si="99"/>
        <v>2.5041151352451325E-4</v>
      </c>
      <c r="K114" s="1"/>
      <c r="L114" s="1">
        <f t="shared" si="100"/>
        <v>-159</v>
      </c>
      <c r="M114" s="1"/>
      <c r="N114" s="5">
        <f t="shared" si="101"/>
        <v>-1</v>
      </c>
      <c r="O114" s="13"/>
      <c r="P114" s="1">
        <f>SUM(OSRRefP22_22x_0)</f>
        <v>400</v>
      </c>
      <c r="Q114" s="1"/>
      <c r="R114" s="5">
        <f t="shared" si="102"/>
        <v>2.0325154711266693E-3</v>
      </c>
      <c r="S114" s="1"/>
      <c r="T114" s="1">
        <f>SUM(OSRRefT22_22x_0)</f>
        <v>1907.5</v>
      </c>
      <c r="U114" s="1"/>
      <c r="V114" s="5">
        <f t="shared" si="103"/>
        <v>4.037763518285671E-4</v>
      </c>
      <c r="W114" s="1"/>
      <c r="X114" s="1">
        <f t="shared" si="104"/>
        <v>-1507.5</v>
      </c>
      <c r="Y114" s="1"/>
      <c r="Z114" s="5">
        <f t="shared" si="105"/>
        <v>-0.79030144167758842</v>
      </c>
    </row>
    <row r="115" spans="1:26" s="24" customFormat="1" hidden="1" outlineLevel="2" x14ac:dyDescent="0.25">
      <c r="A115" s="27"/>
      <c r="B115" s="11" t="str">
        <f>CONCATENATE("          ", "6376", " - ", "TRAINING")</f>
        <v xml:space="preserve">          6376 - TRAINING</v>
      </c>
      <c r="C115" s="11"/>
      <c r="D115" s="7"/>
      <c r="E115" s="2"/>
      <c r="F115" s="6">
        <f t="shared" si="98"/>
        <v>0</v>
      </c>
      <c r="G115" s="2"/>
      <c r="H115" s="7">
        <v>159</v>
      </c>
      <c r="I115" s="2"/>
      <c r="J115" s="6">
        <f t="shared" si="99"/>
        <v>2.5041151352451325E-4</v>
      </c>
      <c r="K115" s="2"/>
      <c r="L115" s="7">
        <f t="shared" si="100"/>
        <v>-159</v>
      </c>
      <c r="M115" s="2"/>
      <c r="N115" s="6">
        <f t="shared" si="101"/>
        <v>-1</v>
      </c>
      <c r="O115" s="11"/>
      <c r="P115" s="7">
        <v>400</v>
      </c>
      <c r="Q115" s="2"/>
      <c r="R115" s="6">
        <f t="shared" si="102"/>
        <v>2.0325154711266693E-3</v>
      </c>
      <c r="S115" s="2"/>
      <c r="T115" s="7">
        <v>1907.5</v>
      </c>
      <c r="U115" s="2"/>
      <c r="V115" s="6">
        <f t="shared" si="103"/>
        <v>4.037763518285671E-4</v>
      </c>
      <c r="W115" s="2"/>
      <c r="X115" s="7">
        <f t="shared" si="104"/>
        <v>-1507.5</v>
      </c>
      <c r="Y115" s="2"/>
      <c r="Z115" s="6">
        <f t="shared" si="105"/>
        <v>-0.79030144167758842</v>
      </c>
    </row>
    <row r="116" spans="1:26" s="25" customFormat="1" outlineLevel="1" collapsed="1" x14ac:dyDescent="0.25">
      <c r="A116" s="26"/>
      <c r="B116" s="13" t="str">
        <f>CONCATENATE("     ","Travel                                            ")</f>
        <v xml:space="preserve">     Travel                                            </v>
      </c>
      <c r="C116" s="13"/>
      <c r="D116" s="1">
        <f>SUM(OSRRefD22_23x_0)</f>
        <v>0</v>
      </c>
      <c r="E116" s="1"/>
      <c r="F116" s="5">
        <f t="shared" si="98"/>
        <v>0</v>
      </c>
      <c r="G116" s="1"/>
      <c r="H116" s="1">
        <f>SUM(OSRRefH22_23x_0)</f>
        <v>1540.91</v>
      </c>
      <c r="I116" s="1"/>
      <c r="J116" s="5">
        <f t="shared" si="99"/>
        <v>2.4268025490884132E-3</v>
      </c>
      <c r="K116" s="1"/>
      <c r="L116" s="1">
        <f t="shared" si="100"/>
        <v>-1540.91</v>
      </c>
      <c r="M116" s="1"/>
      <c r="N116" s="5">
        <f t="shared" si="101"/>
        <v>-1</v>
      </c>
      <c r="O116" s="13"/>
      <c r="P116" s="1">
        <f>SUM(OSRRefP22_23x_0)</f>
        <v>332.21</v>
      </c>
      <c r="Q116" s="1"/>
      <c r="R116" s="5">
        <f t="shared" si="102"/>
        <v>1.688054911657477E-3</v>
      </c>
      <c r="S116" s="1"/>
      <c r="T116" s="1">
        <f>SUM(OSRRefT22_23x_0)</f>
        <v>2943.8199999999997</v>
      </c>
      <c r="U116" s="1"/>
      <c r="V116" s="5">
        <f t="shared" si="103"/>
        <v>6.231428047391729E-4</v>
      </c>
      <c r="W116" s="1"/>
      <c r="X116" s="1">
        <f t="shared" si="104"/>
        <v>-2611.6099999999997</v>
      </c>
      <c r="Y116" s="1"/>
      <c r="Z116" s="5">
        <f t="shared" si="105"/>
        <v>-0.88715002955343736</v>
      </c>
    </row>
    <row r="117" spans="1:26" s="24" customFormat="1" hidden="1" outlineLevel="2" x14ac:dyDescent="0.25">
      <c r="A117" s="27"/>
      <c r="B117" s="11" t="str">
        <f>CONCATENATE("          ", "6292", " - ", "TRAVEL/CONFERENCE")</f>
        <v xml:space="preserve">          6292 - TRAVEL/CONFERENCE</v>
      </c>
      <c r="C117" s="11"/>
      <c r="D117" s="7"/>
      <c r="E117" s="2"/>
      <c r="F117" s="6">
        <f t="shared" si="98"/>
        <v>0</v>
      </c>
      <c r="G117" s="2"/>
      <c r="H117" s="7">
        <v>1426.23</v>
      </c>
      <c r="I117" s="2"/>
      <c r="J117" s="6">
        <f t="shared" si="99"/>
        <v>2.246191276314884E-3</v>
      </c>
      <c r="K117" s="2"/>
      <c r="L117" s="7">
        <f t="shared" si="100"/>
        <v>-1426.23</v>
      </c>
      <c r="M117" s="2"/>
      <c r="N117" s="6">
        <f t="shared" si="101"/>
        <v>-1</v>
      </c>
      <c r="O117" s="11"/>
      <c r="P117" s="7"/>
      <c r="Q117" s="2"/>
      <c r="R117" s="6">
        <f t="shared" si="102"/>
        <v>0</v>
      </c>
      <c r="S117" s="2"/>
      <c r="T117" s="7">
        <v>2125.6</v>
      </c>
      <c r="U117" s="2"/>
      <c r="V117" s="6">
        <f t="shared" si="103"/>
        <v>4.4994338843869057E-4</v>
      </c>
      <c r="W117" s="2"/>
      <c r="X117" s="7">
        <f t="shared" si="104"/>
        <v>-2125.6</v>
      </c>
      <c r="Y117" s="2"/>
      <c r="Z117" s="6">
        <f t="shared" si="105"/>
        <v>-1</v>
      </c>
    </row>
    <row r="118" spans="1:26" s="24" customFormat="1" hidden="1" outlineLevel="2" x14ac:dyDescent="0.25">
      <c r="A118" s="27"/>
      <c r="B118" s="11" t="str">
        <f>CONCATENATE("          ", "6294", " - ", "TRAVEL OPERATIONAL")</f>
        <v xml:space="preserve">          6294 - TRAVEL OPERATIONAL</v>
      </c>
      <c r="C118" s="11"/>
      <c r="D118" s="7"/>
      <c r="E118" s="2"/>
      <c r="F118" s="6">
        <f t="shared" si="98"/>
        <v>0</v>
      </c>
      <c r="G118" s="2"/>
      <c r="H118" s="7"/>
      <c r="I118" s="2"/>
      <c r="J118" s="6">
        <f t="shared" si="99"/>
        <v>0</v>
      </c>
      <c r="K118" s="2"/>
      <c r="L118" s="7">
        <f t="shared" si="100"/>
        <v>0</v>
      </c>
      <c r="M118" s="2"/>
      <c r="N118" s="6">
        <f t="shared" si="101"/>
        <v>0</v>
      </c>
      <c r="O118" s="11"/>
      <c r="P118" s="7"/>
      <c r="Q118" s="2"/>
      <c r="R118" s="6">
        <f t="shared" si="102"/>
        <v>0</v>
      </c>
      <c r="S118" s="2"/>
      <c r="T118" s="7">
        <v>45.49</v>
      </c>
      <c r="U118" s="2"/>
      <c r="V118" s="6">
        <f t="shared" si="103"/>
        <v>9.6292457377098393E-6</v>
      </c>
      <c r="W118" s="2"/>
      <c r="X118" s="7">
        <f t="shared" si="104"/>
        <v>-45.49</v>
      </c>
      <c r="Y118" s="2"/>
      <c r="Z118" s="6">
        <f t="shared" si="105"/>
        <v>-1</v>
      </c>
    </row>
    <row r="119" spans="1:26" s="24" customFormat="1" hidden="1" outlineLevel="2" x14ac:dyDescent="0.25">
      <c r="A119" s="27"/>
      <c r="B119" s="11" t="str">
        <f>CONCATENATE("          ", "6298", " - ", "VEHICLE MILEAGE")</f>
        <v xml:space="preserve">          6298 - VEHICLE MILEAGE</v>
      </c>
      <c r="C119" s="11"/>
      <c r="D119" s="7"/>
      <c r="E119" s="2"/>
      <c r="F119" s="6">
        <f t="shared" si="98"/>
        <v>0</v>
      </c>
      <c r="G119" s="2"/>
      <c r="H119" s="7">
        <v>114.68</v>
      </c>
      <c r="I119" s="2"/>
      <c r="J119" s="6">
        <f t="shared" si="99"/>
        <v>1.8061127277352944E-4</v>
      </c>
      <c r="K119" s="2"/>
      <c r="L119" s="7">
        <f t="shared" si="100"/>
        <v>-114.68</v>
      </c>
      <c r="M119" s="2"/>
      <c r="N119" s="6">
        <f t="shared" si="101"/>
        <v>-1</v>
      </c>
      <c r="O119" s="11"/>
      <c r="P119" s="7">
        <v>332.21</v>
      </c>
      <c r="Q119" s="2"/>
      <c r="R119" s="6">
        <f t="shared" si="102"/>
        <v>1.688054911657477E-3</v>
      </c>
      <c r="S119" s="2"/>
      <c r="T119" s="7">
        <v>772.73</v>
      </c>
      <c r="U119" s="2"/>
      <c r="V119" s="6">
        <f t="shared" si="103"/>
        <v>1.6357017056277257E-4</v>
      </c>
      <c r="W119" s="2"/>
      <c r="X119" s="7">
        <f t="shared" si="104"/>
        <v>-440.52000000000004</v>
      </c>
      <c r="Y119" s="2"/>
      <c r="Z119" s="6">
        <f t="shared" si="105"/>
        <v>-0.57008269382578658</v>
      </c>
    </row>
    <row r="120" spans="1:26" s="25" customFormat="1" outlineLevel="1" collapsed="1" x14ac:dyDescent="0.25">
      <c r="A120" s="26"/>
      <c r="B120" s="13" t="str">
        <f>CONCATENATE("     ","Utilities                                         ")</f>
        <v xml:space="preserve">     Utilities                                         </v>
      </c>
      <c r="C120" s="13"/>
      <c r="D120" s="1">
        <f>SUM(OSRRefD22_24x_0)</f>
        <v>4796</v>
      </c>
      <c r="E120" s="1"/>
      <c r="F120" s="5">
        <f t="shared" ref="F120:F121" si="106">IF(D$12=0,0,D120/D$12)</f>
        <v>6.6454196140474417E-2</v>
      </c>
      <c r="G120" s="1"/>
      <c r="H120" s="1">
        <f>SUM(OSRRefH22_24x_0)</f>
        <v>40959</v>
      </c>
      <c r="I120" s="1"/>
      <c r="J120" s="5">
        <f t="shared" ref="J120:J121" si="107">IF(H$12=0,0,H120/H$12)</f>
        <v>6.4506950833022256E-2</v>
      </c>
      <c r="K120" s="1"/>
      <c r="L120" s="1">
        <f t="shared" ref="L120:L121" si="108">+D120-H120</f>
        <v>-36163</v>
      </c>
      <c r="M120" s="1"/>
      <c r="N120" s="5">
        <f t="shared" ref="N120:N121" si="109">IF(H120=0,0,L120/H120)</f>
        <v>-0.88290729754144393</v>
      </c>
      <c r="O120" s="13"/>
      <c r="P120" s="1">
        <f>SUM(OSRRefP22_24x_0)</f>
        <v>4550</v>
      </c>
      <c r="Q120" s="1"/>
      <c r="R120" s="5">
        <f t="shared" ref="R120:R121" si="110">IF(P$12=0,0,P120/P$12)</f>
        <v>2.3119863484065861E-2</v>
      </c>
      <c r="S120" s="1"/>
      <c r="T120" s="1">
        <f>SUM(OSRRefT22_24x_0)</f>
        <v>102337.12</v>
      </c>
      <c r="U120" s="1"/>
      <c r="V120" s="5">
        <f t="shared" ref="V120:V121" si="111">IF(T$12=0,0,T120/T$12)</f>
        <v>2.166254729763685E-2</v>
      </c>
      <c r="W120" s="1"/>
      <c r="X120" s="1">
        <f t="shared" ref="X120:X121" si="112">+P120-T120</f>
        <v>-97787.12</v>
      </c>
      <c r="Y120" s="1"/>
      <c r="Z120" s="5">
        <f t="shared" ref="Z120:Z121" si="113">IF(T120=0,0,X120/T120)</f>
        <v>-0.9555391044813456</v>
      </c>
    </row>
    <row r="121" spans="1:26" s="24" customFormat="1" hidden="1" outlineLevel="2" x14ac:dyDescent="0.25">
      <c r="A121" s="27"/>
      <c r="B121" s="11" t="str">
        <f>CONCATENATE("          ", "6274", " - ", "UTILITIES")</f>
        <v xml:space="preserve">          6274 - UTILITIES</v>
      </c>
      <c r="C121" s="11"/>
      <c r="D121" s="7">
        <v>4796</v>
      </c>
      <c r="E121" s="2"/>
      <c r="F121" s="6">
        <f t="shared" si="106"/>
        <v>6.6454196140474417E-2</v>
      </c>
      <c r="G121" s="2"/>
      <c r="H121" s="7">
        <v>40959</v>
      </c>
      <c r="I121" s="2"/>
      <c r="J121" s="6">
        <f t="shared" si="107"/>
        <v>6.4506950833022256E-2</v>
      </c>
      <c r="K121" s="2"/>
      <c r="L121" s="7">
        <f t="shared" si="108"/>
        <v>-36163</v>
      </c>
      <c r="M121" s="2"/>
      <c r="N121" s="6">
        <f t="shared" si="109"/>
        <v>-0.88290729754144393</v>
      </c>
      <c r="O121" s="11"/>
      <c r="P121" s="7">
        <v>4550</v>
      </c>
      <c r="Q121" s="2"/>
      <c r="R121" s="6">
        <f t="shared" si="110"/>
        <v>2.3119863484065861E-2</v>
      </c>
      <c r="S121" s="2"/>
      <c r="T121" s="7">
        <v>102337.12</v>
      </c>
      <c r="U121" s="2"/>
      <c r="V121" s="6">
        <f t="shared" si="111"/>
        <v>2.166254729763685E-2</v>
      </c>
      <c r="W121" s="2"/>
      <c r="X121" s="7">
        <f t="shared" si="112"/>
        <v>-97787.12</v>
      </c>
      <c r="Y121" s="2"/>
      <c r="Z121" s="6">
        <f t="shared" si="113"/>
        <v>-0.9555391044813456</v>
      </c>
    </row>
    <row r="122" spans="1:26" s="55" customFormat="1" x14ac:dyDescent="0.25">
      <c r="A122" s="37"/>
      <c r="B122" s="37"/>
      <c r="C122" s="37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7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collapsed="1" x14ac:dyDescent="0.25">
      <c r="A123" s="10"/>
      <c r="B123" s="29" t="s">
        <v>0</v>
      </c>
      <c r="C123" s="10"/>
      <c r="D123" s="4">
        <f>SUM(OSRRefD25x_0)</f>
        <v>11120.800000000001</v>
      </c>
      <c r="E123" s="4"/>
      <c r="F123" s="12">
        <f t="shared" ref="F123:F126" si="114">IF(D$12=0,0,D123/D$12)</f>
        <v>0.15409170651355045</v>
      </c>
      <c r="G123" s="4"/>
      <c r="H123" s="4">
        <f>SUM(OSRRefH25x_0)</f>
        <v>21370.27</v>
      </c>
      <c r="I123" s="4"/>
      <c r="J123" s="12">
        <f t="shared" ref="J123:J126" si="115">IF(H$12=0,0,H123/H$12)</f>
        <v>3.3656362610864778E-2</v>
      </c>
      <c r="K123" s="4"/>
      <c r="L123" s="4">
        <f t="shared" ref="L123:L126" si="116">+D123-H123</f>
        <v>-10249.469999999999</v>
      </c>
      <c r="M123" s="4"/>
      <c r="N123" s="12">
        <f t="shared" ref="N123:N126" si="117">IF(H123=0,0,L123/H123)</f>
        <v>-0.47961350043775763</v>
      </c>
      <c r="O123" s="10"/>
      <c r="P123" s="4">
        <f>SUM(OSRRefP25x_0)</f>
        <v>15371.47</v>
      </c>
      <c r="Q123" s="4"/>
      <c r="R123" s="12">
        <f t="shared" ref="R123:R126" si="118">IF(P$12=0,0,P123/P$12)</f>
        <v>7.8106876472398654E-2</v>
      </c>
      <c r="S123" s="4"/>
      <c r="T123" s="4">
        <f>SUM(OSRRefT25x_0)</f>
        <v>514437.52999999997</v>
      </c>
      <c r="U123" s="4"/>
      <c r="V123" s="12">
        <f t="shared" ref="V123:V126" si="119">IF(T$12=0,0,T123/T$12)</f>
        <v>0.1088952603444818</v>
      </c>
      <c r="W123" s="4"/>
      <c r="X123" s="4">
        <f t="shared" ref="X123:X126" si="120">+P123-T123</f>
        <v>-499066.06</v>
      </c>
      <c r="Y123" s="4"/>
      <c r="Z123" s="12">
        <f t="shared" ref="Z123:Z126" si="121">IF(T123=0,0,X123/T123)</f>
        <v>-0.97011985109251264</v>
      </c>
    </row>
    <row r="124" spans="1:26" s="24" customFormat="1" hidden="1" outlineLevel="1" x14ac:dyDescent="0.25">
      <c r="A124" s="44"/>
      <c r="B124" s="11" t="str">
        <f>CONCATENATE("          ", "9150", " - ", "MISC. INCOME")</f>
        <v xml:space="preserve">          9150 - MISC. INCOME</v>
      </c>
      <c r="C124" s="11"/>
      <c r="D124" s="2">
        <f>--804.28</f>
        <v>804.28</v>
      </c>
      <c r="E124" s="2"/>
      <c r="F124" s="19">
        <f t="shared" si="114"/>
        <v>1.1144241215984313E-2</v>
      </c>
      <c r="G124" s="2"/>
      <c r="H124" s="2">
        <f>--17328.33</f>
        <v>17328.330000000002</v>
      </c>
      <c r="I124" s="2"/>
      <c r="J124" s="19">
        <f t="shared" si="115"/>
        <v>2.729064995064295E-2</v>
      </c>
      <c r="K124" s="2"/>
      <c r="L124" s="2">
        <f t="shared" si="116"/>
        <v>-16524.050000000003</v>
      </c>
      <c r="M124" s="2"/>
      <c r="N124" s="19">
        <f t="shared" si="117"/>
        <v>-0.95358583314145107</v>
      </c>
      <c r="O124" s="11"/>
      <c r="P124" s="2">
        <f>--1728.05</f>
        <v>1728.05</v>
      </c>
      <c r="Q124" s="2"/>
      <c r="R124" s="19">
        <f t="shared" si="118"/>
        <v>8.7807208997011024E-3</v>
      </c>
      <c r="S124" s="2"/>
      <c r="T124" s="2">
        <f>--182971.27</f>
        <v>182971.27</v>
      </c>
      <c r="U124" s="2"/>
      <c r="V124" s="19">
        <f t="shared" si="119"/>
        <v>3.8731046862406159E-2</v>
      </c>
      <c r="W124" s="2"/>
      <c r="X124" s="2">
        <f t="shared" si="120"/>
        <v>-181243.22</v>
      </c>
      <c r="Y124" s="2"/>
      <c r="Z124" s="19">
        <f t="shared" si="121"/>
        <v>-0.99055562110925943</v>
      </c>
    </row>
    <row r="125" spans="1:26" s="24" customFormat="1" hidden="1" outlineLevel="1" x14ac:dyDescent="0.25">
      <c r="A125" s="44"/>
      <c r="B125" s="11" t="str">
        <f>CONCATENATE("          ", "9160", " - ", "MISC. INCOME")</f>
        <v xml:space="preserve">          9160 - MISC. INCOME</v>
      </c>
      <c r="C125" s="11"/>
      <c r="D125" s="2">
        <f>--10000</f>
        <v>10000</v>
      </c>
      <c r="E125" s="2"/>
      <c r="F125" s="19">
        <f t="shared" si="114"/>
        <v>0.13856171005103091</v>
      </c>
      <c r="G125" s="2"/>
      <c r="H125" s="2">
        <f>0</f>
        <v>0</v>
      </c>
      <c r="I125" s="2"/>
      <c r="J125" s="19">
        <f t="shared" si="115"/>
        <v>0</v>
      </c>
      <c r="K125" s="2"/>
      <c r="L125" s="2">
        <f t="shared" si="116"/>
        <v>10000</v>
      </c>
      <c r="M125" s="2"/>
      <c r="N125" s="19">
        <f t="shared" si="117"/>
        <v>0</v>
      </c>
      <c r="O125" s="11"/>
      <c r="P125" s="2">
        <f>--12328.25</f>
        <v>12328.25</v>
      </c>
      <c r="Q125" s="2"/>
      <c r="R125" s="19">
        <f t="shared" si="118"/>
        <v>6.2643397142293403E-2</v>
      </c>
      <c r="S125" s="2"/>
      <c r="T125" s="2">
        <f>--104050.2</f>
        <v>104050.2</v>
      </c>
      <c r="U125" s="2"/>
      <c r="V125" s="19">
        <f t="shared" si="119"/>
        <v>2.2025169154931992E-2</v>
      </c>
      <c r="W125" s="2"/>
      <c r="X125" s="2">
        <f t="shared" si="120"/>
        <v>-91721.95</v>
      </c>
      <c r="Y125" s="2"/>
      <c r="Z125" s="19">
        <f t="shared" si="121"/>
        <v>-0.8815163257735209</v>
      </c>
    </row>
    <row r="126" spans="1:26" s="24" customFormat="1" hidden="1" outlineLevel="1" x14ac:dyDescent="0.25">
      <c r="A126" s="44"/>
      <c r="B126" s="11" t="str">
        <f>CONCATENATE("          ", "9165", " - ", "OTHER INCOME")</f>
        <v xml:space="preserve">          9165 - OTHER INCOME</v>
      </c>
      <c r="C126" s="11"/>
      <c r="D126" s="2">
        <f>--316.52</f>
        <v>316.52</v>
      </c>
      <c r="E126" s="2"/>
      <c r="F126" s="19">
        <f t="shared" si="114"/>
        <v>4.3857552465352296E-3</v>
      </c>
      <c r="G126" s="2"/>
      <c r="H126" s="2">
        <f>--4041.94</f>
        <v>4041.94</v>
      </c>
      <c r="I126" s="2"/>
      <c r="J126" s="19">
        <f t="shared" si="115"/>
        <v>6.3657126602218311E-3</v>
      </c>
      <c r="K126" s="2"/>
      <c r="L126" s="2">
        <f t="shared" si="116"/>
        <v>-3725.42</v>
      </c>
      <c r="M126" s="2"/>
      <c r="N126" s="19">
        <f t="shared" si="117"/>
        <v>-0.92169106914006638</v>
      </c>
      <c r="O126" s="11"/>
      <c r="P126" s="2">
        <f>--1315.17</f>
        <v>1315.17</v>
      </c>
      <c r="Q126" s="2"/>
      <c r="R126" s="19">
        <f t="shared" si="118"/>
        <v>6.6827584304041546E-3</v>
      </c>
      <c r="S126" s="2"/>
      <c r="T126" s="2">
        <f>--227416.06</f>
        <v>227416.06</v>
      </c>
      <c r="U126" s="2"/>
      <c r="V126" s="19">
        <f t="shared" si="119"/>
        <v>4.8139044327143658E-2</v>
      </c>
      <c r="W126" s="2"/>
      <c r="X126" s="2">
        <f t="shared" si="120"/>
        <v>-226100.88999999998</v>
      </c>
      <c r="Y126" s="2"/>
      <c r="Z126" s="19">
        <f t="shared" si="121"/>
        <v>-0.99421689919348699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10"/>
      <c r="B128" s="28" t="s">
        <v>3</v>
      </c>
      <c r="C128" s="28"/>
      <c r="D128" s="20">
        <f>+D33-D35+D123</f>
        <v>-57237.210000000006</v>
      </c>
      <c r="E128" s="14"/>
      <c r="F128" s="21">
        <f>IF(D$12=0,0,D128/D$12)</f>
        <v>-0.79308856961499674</v>
      </c>
      <c r="G128" s="14"/>
      <c r="H128" s="20">
        <f>+H33-H35+H123</f>
        <v>-157158.44999999987</v>
      </c>
      <c r="I128" s="14"/>
      <c r="J128" s="21">
        <f>IF(H$12=0,0,H128/H$12)</f>
        <v>-0.24751122847588997</v>
      </c>
      <c r="K128" s="15"/>
      <c r="L128" s="20">
        <f>+D128-H128</f>
        <v>99921.23999999986</v>
      </c>
      <c r="M128" s="15"/>
      <c r="N128" s="21">
        <f>IF(H128=0,0,L128/H128)</f>
        <v>-0.63579934772835911</v>
      </c>
      <c r="O128" s="29"/>
      <c r="P128" s="20">
        <f>+P33-P35+P123</f>
        <v>-662667.62</v>
      </c>
      <c r="Q128" s="14"/>
      <c r="R128" s="21">
        <f>IF(P$12=0,0,P128/P$12)</f>
        <v>-3.3672054746617217</v>
      </c>
      <c r="S128" s="14"/>
      <c r="T128" s="20">
        <f>+T33-T35+T123</f>
        <v>-60511.679999999993</v>
      </c>
      <c r="U128" s="14"/>
      <c r="V128" s="21">
        <f>IF(T$12=0,0,T128/T$12)</f>
        <v>-1.2809009380559719E-2</v>
      </c>
      <c r="W128" s="15"/>
      <c r="X128" s="20">
        <f>+P128-T128</f>
        <v>-602155.93999999994</v>
      </c>
      <c r="Y128" s="15"/>
      <c r="Z128" s="21">
        <f>IF(T128=0,0,X128/T128)</f>
        <v>9.9510696116848845</v>
      </c>
    </row>
    <row r="129" spans="1:26" x14ac:dyDescent="0.25">
      <c r="A129" s="9"/>
      <c r="B129" s="10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51"/>
      <c r="B130" s="10" t="s">
        <v>13</v>
      </c>
      <c r="C130" s="10"/>
      <c r="D130" s="4">
        <v>16602.12</v>
      </c>
      <c r="E130" s="4"/>
      <c r="F130" s="12">
        <f>IF(D$12=0,0,D130/D$12)</f>
        <v>0.23004181376724211</v>
      </c>
      <c r="G130" s="4"/>
      <c r="H130" s="4">
        <v>77226.450000000012</v>
      </c>
      <c r="I130" s="4"/>
      <c r="J130" s="12">
        <f>IF(H$12=0,0,H130/H$12)</f>
        <v>0.12162510835613301</v>
      </c>
      <c r="K130" s="4"/>
      <c r="L130" s="4">
        <f>+D130-H130</f>
        <v>-60624.330000000016</v>
      </c>
      <c r="M130" s="4"/>
      <c r="N130" s="12">
        <f>IF(H130=0,0,L130/H130)</f>
        <v>-0.78502028773820376</v>
      </c>
      <c r="O130" s="10"/>
      <c r="P130" s="4">
        <v>36412.25</v>
      </c>
      <c r="Q130" s="4"/>
      <c r="R130" s="12">
        <f>IF(P$12=0,0,P130/P$12)</f>
        <v>0.18502115365883015</v>
      </c>
      <c r="S130" s="4"/>
      <c r="T130" s="4">
        <v>510244.57</v>
      </c>
      <c r="U130" s="4"/>
      <c r="V130" s="12">
        <f>IF(T$12=0,0,T130/T$12)</f>
        <v>0.1080077017116309</v>
      </c>
      <c r="W130" s="4"/>
      <c r="X130" s="4">
        <f>+P130-T130</f>
        <v>-473832.32</v>
      </c>
      <c r="Y130" s="4"/>
      <c r="Z130" s="12">
        <f>IF(T130=0,0,X130/T130)</f>
        <v>-0.92863765311603419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8" t="s">
        <v>4</v>
      </c>
      <c r="C132" s="28"/>
      <c r="D132" s="33">
        <f>+D128-D130</f>
        <v>-73839.33</v>
      </c>
      <c r="E132" s="14"/>
      <c r="F132" s="34">
        <f>IF(D$12=0,0,D132/D$12)</f>
        <v>-1.0231303833822387</v>
      </c>
      <c r="G132" s="14"/>
      <c r="H132" s="33">
        <f>+H128-H130</f>
        <v>-234384.89999999988</v>
      </c>
      <c r="I132" s="14"/>
      <c r="J132" s="34">
        <f>IF(H$12=0,0,H132/H$12)</f>
        <v>-0.36913633683202296</v>
      </c>
      <c r="K132" s="15"/>
      <c r="L132" s="33">
        <f>D132-H132</f>
        <v>160545.56999999989</v>
      </c>
      <c r="M132" s="15"/>
      <c r="N132" s="34">
        <f>IF(H132=0,0,L132/H132)</f>
        <v>-0.68496549905731974</v>
      </c>
      <c r="O132" s="29"/>
      <c r="P132" s="33">
        <f>+P128-P130</f>
        <v>-699079.87</v>
      </c>
      <c r="Q132" s="14"/>
      <c r="R132" s="34">
        <f>IF(P$12=0,0,P132/P$12)</f>
        <v>-3.5522266283205517</v>
      </c>
      <c r="S132" s="14"/>
      <c r="T132" s="33">
        <f>+T128-T130</f>
        <v>-570756.25</v>
      </c>
      <c r="U132" s="14"/>
      <c r="V132" s="34">
        <f>IF(T$12=0,0,T132/T$12)</f>
        <v>-0.12081671109219062</v>
      </c>
      <c r="W132" s="15"/>
      <c r="X132" s="33">
        <f>P132-T132</f>
        <v>-128323.62</v>
      </c>
      <c r="Y132" s="15"/>
      <c r="Z132" s="34">
        <f>IF(T132=0,0,X132/T132)</f>
        <v>0.22483086256173279</v>
      </c>
    </row>
    <row r="133" spans="1:26" ht="15.75" thickTop="1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ht="15.75" thickBot="1" x14ac:dyDescent="0.3">
      <c r="A135" s="10"/>
      <c r="B135" s="28" t="s">
        <v>5</v>
      </c>
      <c r="C135" s="28"/>
      <c r="D135" s="30">
        <f>SUM(D132:D134)</f>
        <v>-73839.33</v>
      </c>
      <c r="E135" s="14"/>
      <c r="F135" s="32">
        <f>IF(D$12=0,0,D135/D$12)</f>
        <v>-1.0231303833822387</v>
      </c>
      <c r="G135" s="14"/>
      <c r="H135" s="30">
        <f>SUM(H132:H134)</f>
        <v>-234384.89999999988</v>
      </c>
      <c r="I135" s="14"/>
      <c r="J135" s="32">
        <f>IF(H$12=0,0,H135/H$12)</f>
        <v>-0.36913633683202296</v>
      </c>
      <c r="K135" s="15"/>
      <c r="L135" s="30">
        <f>+D135-H135</f>
        <v>160545.56999999989</v>
      </c>
      <c r="M135" s="15"/>
      <c r="N135" s="32">
        <f>IF(H135=0,0,L135/H135)</f>
        <v>-0.68496549905731974</v>
      </c>
      <c r="O135" s="29"/>
      <c r="P135" s="30">
        <f>SUM(P132:P134)</f>
        <v>-699079.87</v>
      </c>
      <c r="Q135" s="14"/>
      <c r="R135" s="32">
        <f>IF(P$12=0,0,P135/P$12)</f>
        <v>-3.5522266283205517</v>
      </c>
      <c r="S135" s="14"/>
      <c r="T135" s="30">
        <f>SUM(T132:T134)</f>
        <v>-570756.25</v>
      </c>
      <c r="U135" s="14"/>
      <c r="V135" s="32">
        <f>IF(T$12=0,0,T135/T$12)</f>
        <v>-0.12081671109219062</v>
      </c>
      <c r="W135" s="15"/>
      <c r="X135" s="30">
        <f>+P135-T135</f>
        <v>-128323.62</v>
      </c>
      <c r="Y135" s="15"/>
      <c r="Z135" s="32">
        <f>IF(T135=0,0,X135/T135)</f>
        <v>0.22483086256173279</v>
      </c>
    </row>
    <row r="136" spans="1:26" ht="15.75" thickTop="1" x14ac:dyDescent="0.25">
      <c r="A136" s="9"/>
      <c r="C136" s="9"/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  <row r="137" spans="1:26" x14ac:dyDescent="0.25">
      <c r="A137" s="9"/>
      <c r="B137" s="58">
        <v>44209.521464467594</v>
      </c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  <row r="138" spans="1:26" x14ac:dyDescent="0.25">
      <c r="A138" s="9"/>
      <c r="B138" s="61" t="s">
        <v>313</v>
      </c>
      <c r="D138" s="17"/>
      <c r="E138" s="17"/>
      <c r="G138" s="17"/>
      <c r="H138" s="17"/>
      <c r="I138" s="17"/>
      <c r="J138" s="43"/>
      <c r="K138" s="17"/>
      <c r="L138" s="17"/>
      <c r="M138" s="17"/>
      <c r="P138" s="17"/>
      <c r="Q138" s="17"/>
      <c r="R138" s="43"/>
      <c r="S138" s="17"/>
      <c r="T138" s="17"/>
      <c r="U138" s="17"/>
      <c r="V138" s="43"/>
      <c r="W138" s="17"/>
      <c r="X138" s="17"/>
    </row>
    <row r="139" spans="1:26" x14ac:dyDescent="0.25">
      <c r="A139" s="9"/>
      <c r="B139" s="57"/>
      <c r="D139" s="17"/>
      <c r="E139" s="17"/>
      <c r="G139" s="17"/>
      <c r="H139" s="17"/>
      <c r="I139" s="17"/>
      <c r="J139" s="43"/>
      <c r="K139" s="17"/>
      <c r="L139" s="17"/>
      <c r="M139" s="17"/>
      <c r="P139" s="17"/>
      <c r="Q139" s="17"/>
      <c r="R139" s="43"/>
      <c r="S139" s="17"/>
      <c r="T139" s="17"/>
      <c r="U139" s="17"/>
      <c r="V139" s="43"/>
      <c r="W139" s="17"/>
      <c r="X139" s="17"/>
    </row>
    <row r="140" spans="1:26" x14ac:dyDescent="0.25">
      <c r="D140" s="17"/>
      <c r="E140" s="17"/>
      <c r="G140" s="17"/>
      <c r="H140" s="17"/>
      <c r="I140" s="17"/>
      <c r="J140" s="43"/>
      <c r="K140" s="17"/>
      <c r="L140" s="17"/>
      <c r="M140" s="17"/>
      <c r="P140" s="17"/>
      <c r="Q140" s="17"/>
      <c r="R140" s="43"/>
      <c r="S140" s="17"/>
      <c r="T140" s="17"/>
      <c r="U140" s="17"/>
      <c r="V140" s="43"/>
      <c r="W140" s="17"/>
      <c r="X140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299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72170.009999999995</v>
      </c>
      <c r="E12" s="4"/>
      <c r="F12" s="12"/>
      <c r="G12" s="4"/>
      <c r="H12" s="4">
        <f>SUM(OSRRefH13x_0)</f>
        <v>426987.52999999997</v>
      </c>
      <c r="I12" s="4"/>
      <c r="J12" s="12"/>
      <c r="K12" s="4"/>
      <c r="L12" s="4">
        <f t="shared" ref="L12:L21" si="0">+D12-H12</f>
        <v>-354817.51999999996</v>
      </c>
      <c r="M12" s="4"/>
      <c r="N12" s="12">
        <f t="shared" ref="N12:N21" si="1">IF(H12=0,0,L12/H12)</f>
        <v>-0.83097864708133273</v>
      </c>
      <c r="O12" s="10"/>
      <c r="P12" s="4">
        <f>SUM(OSRRefP13x_0)</f>
        <v>194214.00000000003</v>
      </c>
      <c r="Q12" s="4"/>
      <c r="R12" s="12"/>
      <c r="S12" s="4"/>
      <c r="T12" s="4">
        <f>SUM(OSRRefT13x_0)</f>
        <v>3097357.05</v>
      </c>
      <c r="U12" s="4"/>
      <c r="V12" s="12"/>
      <c r="W12" s="4"/>
      <c r="X12" s="4">
        <f t="shared" ref="X12:X21" si="2">+P12-T12</f>
        <v>-2903143.05</v>
      </c>
      <c r="Y12" s="4"/>
      <c r="Z12" s="12">
        <f t="shared" ref="Z12:Z21" si="3">IF(T12=0,0,X12/T12)</f>
        <v>-0.93729686411193702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--5713.27</f>
        <v>5713.27</v>
      </c>
      <c r="E13" s="2"/>
      <c r="F13" s="19"/>
      <c r="G13" s="2"/>
      <c r="H13" s="2">
        <f>--40718.26</f>
        <v>40718.26</v>
      </c>
      <c r="I13" s="2"/>
      <c r="J13" s="19"/>
      <c r="K13" s="2"/>
      <c r="L13" s="2">
        <f t="shared" si="0"/>
        <v>-35004.990000000005</v>
      </c>
      <c r="M13" s="2"/>
      <c r="N13" s="19">
        <f t="shared" si="1"/>
        <v>-0.85968776661871116</v>
      </c>
      <c r="O13" s="11"/>
      <c r="P13" s="2">
        <f>--22964.48</f>
        <v>22964.48</v>
      </c>
      <c r="Q13" s="2"/>
      <c r="R13" s="19"/>
      <c r="S13" s="2"/>
      <c r="T13" s="2">
        <f>--323725.59</f>
        <v>323725.59000000003</v>
      </c>
      <c r="U13" s="2"/>
      <c r="V13" s="19"/>
      <c r="W13" s="2"/>
      <c r="X13" s="2">
        <f t="shared" si="2"/>
        <v>-300761.11000000004</v>
      </c>
      <c r="Y13" s="2"/>
      <c r="Z13" s="19">
        <f t="shared" si="3"/>
        <v>-0.92906189467443712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--62378.23</f>
        <v>62378.23</v>
      </c>
      <c r="E14" s="2"/>
      <c r="F14" s="19"/>
      <c r="G14" s="2"/>
      <c r="H14" s="2">
        <f>--82451.12</f>
        <v>82451.12</v>
      </c>
      <c r="I14" s="2"/>
      <c r="J14" s="19"/>
      <c r="K14" s="2"/>
      <c r="L14" s="2">
        <f t="shared" si="0"/>
        <v>-20072.889999999992</v>
      </c>
      <c r="M14" s="2"/>
      <c r="N14" s="19">
        <f t="shared" si="1"/>
        <v>-0.24345199919661484</v>
      </c>
      <c r="O14" s="11"/>
      <c r="P14" s="2">
        <f>--148103.39</f>
        <v>148103.39000000001</v>
      </c>
      <c r="Q14" s="2"/>
      <c r="R14" s="19"/>
      <c r="S14" s="2"/>
      <c r="T14" s="2">
        <f>--536296.65</f>
        <v>536296.65</v>
      </c>
      <c r="U14" s="2"/>
      <c r="V14" s="19"/>
      <c r="W14" s="2"/>
      <c r="X14" s="2">
        <f t="shared" si="2"/>
        <v>-388193.26</v>
      </c>
      <c r="Y14" s="2"/>
      <c r="Z14" s="19">
        <f t="shared" si="3"/>
        <v>-0.72384054608582771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ref="D15:D17" si="4">0</f>
        <v>0</v>
      </c>
      <c r="E15" s="2"/>
      <c r="F15" s="19"/>
      <c r="G15" s="2"/>
      <c r="H15" s="2">
        <f>--15916.58</f>
        <v>15916.58</v>
      </c>
      <c r="I15" s="2"/>
      <c r="J15" s="19"/>
      <c r="K15" s="2"/>
      <c r="L15" s="2">
        <f t="shared" si="0"/>
        <v>-15916.58</v>
      </c>
      <c r="M15" s="2"/>
      <c r="N15" s="19">
        <f t="shared" si="1"/>
        <v>-1</v>
      </c>
      <c r="O15" s="11"/>
      <c r="P15" s="2">
        <f t="shared" ref="P15:P16" si="5">0</f>
        <v>0</v>
      </c>
      <c r="Q15" s="2"/>
      <c r="R15" s="19"/>
      <c r="S15" s="2"/>
      <c r="T15" s="2">
        <f>--86431.87</f>
        <v>86431.87</v>
      </c>
      <c r="U15" s="2"/>
      <c r="V15" s="19"/>
      <c r="W15" s="2"/>
      <c r="X15" s="2">
        <f t="shared" si="2"/>
        <v>-86431.87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si="4"/>
        <v>0</v>
      </c>
      <c r="E16" s="2"/>
      <c r="F16" s="19"/>
      <c r="G16" s="2"/>
      <c r="H16" s="2">
        <f>--36745.98</f>
        <v>36745.980000000003</v>
      </c>
      <c r="I16" s="2"/>
      <c r="J16" s="19"/>
      <c r="K16" s="2"/>
      <c r="L16" s="2">
        <f t="shared" si="0"/>
        <v>-36745.980000000003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--271853.95</f>
        <v>271853.95</v>
      </c>
      <c r="U16" s="2"/>
      <c r="V16" s="19"/>
      <c r="W16" s="2"/>
      <c r="X16" s="2">
        <f t="shared" si="2"/>
        <v>-271853.95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si="4"/>
        <v>0</v>
      </c>
      <c r="E17" s="2"/>
      <c r="F17" s="19"/>
      <c r="G17" s="2"/>
      <c r="H17" s="2">
        <f>--9096.8</f>
        <v>9096.7999999999993</v>
      </c>
      <c r="I17" s="2"/>
      <c r="J17" s="19"/>
      <c r="K17" s="2"/>
      <c r="L17" s="2">
        <f t="shared" si="0"/>
        <v>-9096.7999999999993</v>
      </c>
      <c r="M17" s="2"/>
      <c r="N17" s="19">
        <f t="shared" si="1"/>
        <v>-1</v>
      </c>
      <c r="O17" s="11"/>
      <c r="P17" s="2">
        <f>--974.91</f>
        <v>974.91</v>
      </c>
      <c r="Q17" s="2"/>
      <c r="R17" s="19"/>
      <c r="S17" s="2"/>
      <c r="T17" s="2">
        <f>--87899.21</f>
        <v>87899.21</v>
      </c>
      <c r="U17" s="2"/>
      <c r="V17" s="19"/>
      <c r="W17" s="2"/>
      <c r="X17" s="2">
        <f t="shared" si="2"/>
        <v>-86924.3</v>
      </c>
      <c r="Y17" s="2"/>
      <c r="Z17" s="19">
        <f t="shared" si="3"/>
        <v>-0.9889087740379009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>--4078.51</f>
        <v>4078.51</v>
      </c>
      <c r="E18" s="2"/>
      <c r="F18" s="19"/>
      <c r="G18" s="2"/>
      <c r="H18" s="2">
        <f>--128781.5</f>
        <v>128781.5</v>
      </c>
      <c r="I18" s="2"/>
      <c r="J18" s="19"/>
      <c r="K18" s="2"/>
      <c r="L18" s="2">
        <f t="shared" si="0"/>
        <v>-124702.99</v>
      </c>
      <c r="M18" s="2"/>
      <c r="N18" s="19">
        <f t="shared" si="1"/>
        <v>-0.96833000081533449</v>
      </c>
      <c r="O18" s="11"/>
      <c r="P18" s="2">
        <f>--22171.22</f>
        <v>22171.22</v>
      </c>
      <c r="Q18" s="2"/>
      <c r="R18" s="19"/>
      <c r="S18" s="2"/>
      <c r="T18" s="2">
        <f>--953178.59</f>
        <v>953178.59</v>
      </c>
      <c r="U18" s="2"/>
      <c r="V18" s="19"/>
      <c r="W18" s="2"/>
      <c r="X18" s="2">
        <f t="shared" si="2"/>
        <v>-931007.37</v>
      </c>
      <c r="Y18" s="2"/>
      <c r="Z18" s="19">
        <f t="shared" si="3"/>
        <v>-0.97673969995486365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 t="shared" ref="D19:D21" si="6">0</f>
        <v>0</v>
      </c>
      <c r="E19" s="2"/>
      <c r="F19" s="19"/>
      <c r="G19" s="2"/>
      <c r="H19" s="2">
        <f>--4293.35</f>
        <v>4293.3500000000004</v>
      </c>
      <c r="I19" s="2"/>
      <c r="J19" s="19"/>
      <c r="K19" s="2"/>
      <c r="L19" s="2">
        <f t="shared" si="0"/>
        <v>-4293.3500000000004</v>
      </c>
      <c r="M19" s="2"/>
      <c r="N19" s="19">
        <f t="shared" si="1"/>
        <v>-1</v>
      </c>
      <c r="O19" s="11"/>
      <c r="P19" s="2">
        <f t="shared" ref="P19:P21" si="7">0</f>
        <v>0</v>
      </c>
      <c r="Q19" s="2"/>
      <c r="R19" s="19"/>
      <c r="S19" s="2"/>
      <c r="T19" s="2">
        <f>--34634.8</f>
        <v>34634.800000000003</v>
      </c>
      <c r="U19" s="2"/>
      <c r="V19" s="19"/>
      <c r="W19" s="2"/>
      <c r="X19" s="2">
        <f t="shared" si="2"/>
        <v>-34634.800000000003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"4155", " - ", "NON-TAXABLE SALES-FOOD")</f>
        <v xml:space="preserve">          4155 - NON-TAXABLE SALES-FOOD</v>
      </c>
      <c r="C20" s="11"/>
      <c r="D20" s="2">
        <f t="shared" si="6"/>
        <v>0</v>
      </c>
      <c r="E20" s="2"/>
      <c r="F20" s="19"/>
      <c r="G20" s="2"/>
      <c r="H20" s="2">
        <f>--63255.26</f>
        <v>63255.26</v>
      </c>
      <c r="I20" s="2"/>
      <c r="J20" s="19"/>
      <c r="K20" s="2"/>
      <c r="L20" s="2">
        <f t="shared" si="0"/>
        <v>-63255.26</v>
      </c>
      <c r="M20" s="2"/>
      <c r="N20" s="19">
        <f t="shared" si="1"/>
        <v>-1</v>
      </c>
      <c r="O20" s="11"/>
      <c r="P20" s="2">
        <f t="shared" si="7"/>
        <v>0</v>
      </c>
      <c r="Q20" s="2"/>
      <c r="R20" s="19"/>
      <c r="S20" s="2"/>
      <c r="T20" s="2">
        <f>--484720.45</f>
        <v>484720.45</v>
      </c>
      <c r="U20" s="2"/>
      <c r="V20" s="19"/>
      <c r="W20" s="2"/>
      <c r="X20" s="2">
        <f t="shared" si="2"/>
        <v>-484720.45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"4158", " - ", "NON-TAXABLE SALES-FOOD")</f>
        <v xml:space="preserve">          4158 - NON-TAXABLE SALES-FOOD</v>
      </c>
      <c r="C21" s="11"/>
      <c r="D21" s="2">
        <f t="shared" si="6"/>
        <v>0</v>
      </c>
      <c r="E21" s="2"/>
      <c r="F21" s="19"/>
      <c r="G21" s="2"/>
      <c r="H21" s="2">
        <f>--45728.68</f>
        <v>45728.68</v>
      </c>
      <c r="I21" s="2"/>
      <c r="J21" s="19"/>
      <c r="K21" s="2"/>
      <c r="L21" s="2">
        <f t="shared" si="0"/>
        <v>-45728.68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--318615.94</f>
        <v>318615.94</v>
      </c>
      <c r="U21" s="2"/>
      <c r="V21" s="19"/>
      <c r="W21" s="2"/>
      <c r="X21" s="2">
        <f t="shared" si="2"/>
        <v>-318615.94</v>
      </c>
      <c r="Y21" s="2"/>
      <c r="Z21" s="19">
        <f t="shared" si="3"/>
        <v>-1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9" t="s">
        <v>8</v>
      </c>
      <c r="C23" s="10"/>
      <c r="D23" s="4">
        <f>SUM(OSRRefD16x_0)</f>
        <v>4197.08</v>
      </c>
      <c r="E23" s="4"/>
      <c r="F23" s="12">
        <f t="shared" ref="F23:F25" si="8">IF(D$12=0,0,D23/D$12)</f>
        <v>5.8155458202098075E-2</v>
      </c>
      <c r="G23" s="4"/>
      <c r="H23" s="4">
        <f>SUM(OSRRefH16x_0)</f>
        <v>141406.26999999999</v>
      </c>
      <c r="I23" s="4"/>
      <c r="J23" s="12">
        <f t="shared" ref="J23:J25" si="9">IF(H$12=0,0,H23/H$12)</f>
        <v>0.3311718962846526</v>
      </c>
      <c r="K23" s="4"/>
      <c r="L23" s="4">
        <f t="shared" ref="L23:L25" si="10">+D23-H23</f>
        <v>-137209.19</v>
      </c>
      <c r="M23" s="4"/>
      <c r="N23" s="12">
        <f t="shared" ref="N23:N25" si="11">IF(H23=0,0,L23/H23)</f>
        <v>-0.97031899646316966</v>
      </c>
      <c r="O23" s="10"/>
      <c r="P23" s="4">
        <f>SUM(OSRRefP16x_0)</f>
        <v>18853.48</v>
      </c>
      <c r="Q23" s="4"/>
      <c r="R23" s="12">
        <f t="shared" ref="R23:R25" si="12">IF(P$12=0,0,P23/P$12)</f>
        <v>9.7075802980217687E-2</v>
      </c>
      <c r="S23" s="4"/>
      <c r="T23" s="4">
        <f>SUM(OSRRefT16x_0)</f>
        <v>1016077.86</v>
      </c>
      <c r="U23" s="4"/>
      <c r="V23" s="12">
        <f t="shared" ref="V23:V25" si="13">IF(T$12=0,0,T23/T$12)</f>
        <v>0.32804673261676437</v>
      </c>
      <c r="W23" s="4"/>
      <c r="X23" s="4">
        <f t="shared" ref="X23:X25" si="14">+P23-T23</f>
        <v>-997224.38</v>
      </c>
      <c r="Y23" s="4"/>
      <c r="Z23" s="12">
        <f t="shared" ref="Z23:Z25" si="15">IF(T23=0,0,X23/T23)</f>
        <v>-0.98144484714980407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1832.08</v>
      </c>
      <c r="E24" s="2"/>
      <c r="F24" s="19">
        <f t="shared" si="8"/>
        <v>2.5385613775029268E-2</v>
      </c>
      <c r="G24" s="2"/>
      <c r="H24" s="2">
        <v>142262.15</v>
      </c>
      <c r="I24" s="2"/>
      <c r="J24" s="19">
        <f t="shared" si="9"/>
        <v>0.33317635763273928</v>
      </c>
      <c r="K24" s="2"/>
      <c r="L24" s="2">
        <f t="shared" si="10"/>
        <v>-140430.07</v>
      </c>
      <c r="M24" s="2"/>
      <c r="N24" s="19">
        <f t="shared" si="11"/>
        <v>-0.98712180295321006</v>
      </c>
      <c r="O24" s="11"/>
      <c r="P24" s="2">
        <v>13309.42</v>
      </c>
      <c r="Q24" s="2"/>
      <c r="R24" s="19">
        <f t="shared" si="12"/>
        <v>6.8529663155076345E-2</v>
      </c>
      <c r="S24" s="2"/>
      <c r="T24" s="2">
        <v>1048789.43</v>
      </c>
      <c r="U24" s="2"/>
      <c r="V24" s="19">
        <f t="shared" si="13"/>
        <v>0.33860785601065913</v>
      </c>
      <c r="W24" s="2"/>
      <c r="X24" s="2">
        <f t="shared" si="14"/>
        <v>-1035480.0099999999</v>
      </c>
      <c r="Y24" s="2"/>
      <c r="Z24" s="19">
        <f t="shared" si="15"/>
        <v>-0.98730973099147268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2365</v>
      </c>
      <c r="E25" s="2"/>
      <c r="F25" s="19">
        <f t="shared" si="8"/>
        <v>3.276984442706881E-2</v>
      </c>
      <c r="G25" s="2"/>
      <c r="H25" s="2">
        <v>-855.88</v>
      </c>
      <c r="I25" s="2"/>
      <c r="J25" s="19">
        <f t="shared" si="9"/>
        <v>-2.0044613480866762E-3</v>
      </c>
      <c r="K25" s="2"/>
      <c r="L25" s="2">
        <f t="shared" si="10"/>
        <v>3220.88</v>
      </c>
      <c r="M25" s="2"/>
      <c r="N25" s="19">
        <f t="shared" si="11"/>
        <v>-3.7632378370799646</v>
      </c>
      <c r="O25" s="11"/>
      <c r="P25" s="2">
        <v>5544.06</v>
      </c>
      <c r="Q25" s="2"/>
      <c r="R25" s="19">
        <f t="shared" si="12"/>
        <v>2.8546139825141335E-2</v>
      </c>
      <c r="S25" s="2"/>
      <c r="T25" s="2">
        <v>-32711.57</v>
      </c>
      <c r="U25" s="2"/>
      <c r="V25" s="19">
        <f t="shared" si="13"/>
        <v>-1.0561123393894804E-2</v>
      </c>
      <c r="W25" s="2"/>
      <c r="X25" s="2">
        <f t="shared" si="14"/>
        <v>38255.629999999997</v>
      </c>
      <c r="Y25" s="2"/>
      <c r="Z25" s="19">
        <f t="shared" si="15"/>
        <v>-1.1694831522913758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6</v>
      </c>
      <c r="C27" s="28"/>
      <c r="D27" s="20">
        <f>D12-D23</f>
        <v>67972.929999999993</v>
      </c>
      <c r="E27" s="14"/>
      <c r="F27" s="21">
        <f>IF(D$12=0,0,D27/D$12)</f>
        <v>0.94184454179790189</v>
      </c>
      <c r="G27" s="14"/>
      <c r="H27" s="20">
        <f>H12-H23</f>
        <v>285581.26</v>
      </c>
      <c r="I27" s="14"/>
      <c r="J27" s="21">
        <f>IF(H$12=0,0,H27/H$12)</f>
        <v>0.6688281037153474</v>
      </c>
      <c r="K27" s="15"/>
      <c r="L27" s="20">
        <f>+D27-H27</f>
        <v>-217608.33000000002</v>
      </c>
      <c r="M27" s="15"/>
      <c r="N27" s="21">
        <f>IF(H27=0,0,L27/H27)</f>
        <v>-0.761983927096617</v>
      </c>
      <c r="O27" s="29"/>
      <c r="P27" s="20">
        <f>P12-P23</f>
        <v>175360.52000000002</v>
      </c>
      <c r="Q27" s="14"/>
      <c r="R27" s="21">
        <f>IF(P$12=0,0,P27/P$12)</f>
        <v>0.90292419701978222</v>
      </c>
      <c r="S27" s="14"/>
      <c r="T27" s="20">
        <f>T12-T23</f>
        <v>2081279.19</v>
      </c>
      <c r="U27" s="14"/>
      <c r="V27" s="21">
        <f>IF(T$12=0,0,T27/T$12)</f>
        <v>0.67195326738323569</v>
      </c>
      <c r="W27" s="15"/>
      <c r="X27" s="20">
        <f>+P27-T27</f>
        <v>-1905918.67</v>
      </c>
      <c r="Y27" s="15"/>
      <c r="Z27" s="21">
        <f>IF(T27=0,0,X27/T27)</f>
        <v>-0.91574387480422559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9" t="s">
        <v>9</v>
      </c>
      <c r="C29" s="10"/>
      <c r="D29" s="22">
        <f>SUM(OSRRefD22x_0)</f>
        <v>115609.44</v>
      </c>
      <c r="E29" s="22"/>
      <c r="F29" s="36">
        <f t="shared" ref="F29:F39" si="16">IF(D$12=0,0,D29/D$12)</f>
        <v>1.6019041704442054</v>
      </c>
      <c r="G29" s="22"/>
      <c r="H29" s="22">
        <f>SUM(OSRRefH22x_0)</f>
        <v>476931.19000000006</v>
      </c>
      <c r="I29" s="22"/>
      <c r="J29" s="36">
        <f t="shared" ref="J29:J39" si="17">IF(H$12=0,0,H29/H$12)</f>
        <v>1.1169674908304701</v>
      </c>
      <c r="K29" s="4"/>
      <c r="L29" s="22">
        <f t="shared" ref="L29:L39" si="18">+D29-H29</f>
        <v>-361321.75000000006</v>
      </c>
      <c r="M29" s="4"/>
      <c r="N29" s="36">
        <f t="shared" ref="N29:N39" si="19">IF(H29=0,0,L29/H29)</f>
        <v>-0.75759723326125938</v>
      </c>
      <c r="O29" s="10"/>
      <c r="P29" s="22">
        <f>SUM(OSRRefP22x_0)</f>
        <v>674842.47000000009</v>
      </c>
      <c r="Q29" s="22"/>
      <c r="R29" s="36">
        <f t="shared" ref="R29:R39" si="20">IF(P$12=0,0,P29/P$12)</f>
        <v>3.4747364762581481</v>
      </c>
      <c r="S29" s="22"/>
      <c r="T29" s="22">
        <f>SUM(OSRRefT22x_0)</f>
        <v>2870088.17</v>
      </c>
      <c r="U29" s="22"/>
      <c r="V29" s="36">
        <f t="shared" ref="V29:V39" si="21">IF(T$12=0,0,T29/T$12)</f>
        <v>0.92662490105879147</v>
      </c>
      <c r="W29" s="4"/>
      <c r="X29" s="22">
        <f t="shared" ref="X29:X39" si="22">+P29-T29</f>
        <v>-2195245.6999999997</v>
      </c>
      <c r="Y29" s="4"/>
      <c r="Z29" s="36">
        <f t="shared" ref="Z29:Z39" si="23">IF(T29=0,0,X29/T29)</f>
        <v>-0.76487047434504418</v>
      </c>
    </row>
    <row r="30" spans="1:26" s="25" customFormat="1" outlineLevel="1" collapsed="1" x14ac:dyDescent="0.25">
      <c r="A30" s="26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18327.36</v>
      </c>
      <c r="E30" s="1"/>
      <c r="F30" s="5">
        <f t="shared" si="16"/>
        <v>0.2539470342320862</v>
      </c>
      <c r="G30" s="1"/>
      <c r="H30" s="1">
        <f>SUM(OSRRefH22_0x_0)</f>
        <v>66256.01999999999</v>
      </c>
      <c r="I30" s="1"/>
      <c r="J30" s="5">
        <f t="shared" si="17"/>
        <v>0.15517085475540701</v>
      </c>
      <c r="K30" s="1"/>
      <c r="L30" s="1">
        <f t="shared" si="18"/>
        <v>-47928.659999999989</v>
      </c>
      <c r="M30" s="1"/>
      <c r="N30" s="5">
        <f t="shared" si="19"/>
        <v>-0.72338573913736437</v>
      </c>
      <c r="O30" s="13"/>
      <c r="P30" s="1">
        <f>SUM(OSRRefP22_0x_0)</f>
        <v>131169.07</v>
      </c>
      <c r="Q30" s="1"/>
      <c r="R30" s="5">
        <f t="shared" si="20"/>
        <v>0.67538421535007764</v>
      </c>
      <c r="S30" s="1"/>
      <c r="T30" s="1">
        <f>SUM(OSRRefT22_0x_0)</f>
        <v>406949.24</v>
      </c>
      <c r="U30" s="1"/>
      <c r="V30" s="5">
        <f t="shared" si="21"/>
        <v>0.13138596339740682</v>
      </c>
      <c r="W30" s="1"/>
      <c r="X30" s="1">
        <f t="shared" si="22"/>
        <v>-275780.17</v>
      </c>
      <c r="Y30" s="1"/>
      <c r="Z30" s="5">
        <f t="shared" si="23"/>
        <v>-0.67767707343549777</v>
      </c>
    </row>
    <row r="31" spans="1:26" s="24" customFormat="1" hidden="1" outlineLevel="2" x14ac:dyDescent="0.25">
      <c r="A31" s="27"/>
      <c r="B31" s="11" t="str">
        <f>CONCATENATE("          ", "6111", " - ", "F.I.C.A.")</f>
        <v xml:space="preserve">          6111 - F.I.C.A.</v>
      </c>
      <c r="C31" s="11"/>
      <c r="D31" s="7">
        <v>1575.88</v>
      </c>
      <c r="E31" s="2"/>
      <c r="F31" s="6">
        <f t="shared" si="16"/>
        <v>2.1835662763521859E-2</v>
      </c>
      <c r="G31" s="2"/>
      <c r="H31" s="7">
        <v>10789</v>
      </c>
      <c r="I31" s="2"/>
      <c r="J31" s="6">
        <f t="shared" si="17"/>
        <v>2.5267716834728175E-2</v>
      </c>
      <c r="K31" s="2"/>
      <c r="L31" s="7">
        <f t="shared" si="18"/>
        <v>-9213.119999999999</v>
      </c>
      <c r="M31" s="2"/>
      <c r="N31" s="6">
        <f t="shared" si="19"/>
        <v>-0.85393641672073395</v>
      </c>
      <c r="O31" s="11"/>
      <c r="P31" s="7">
        <v>15644.78</v>
      </c>
      <c r="Q31" s="2"/>
      <c r="R31" s="6">
        <f t="shared" si="20"/>
        <v>8.055433696849866E-2</v>
      </c>
      <c r="S31" s="2"/>
      <c r="T31" s="7">
        <v>80115.37999999999</v>
      </c>
      <c r="U31" s="2"/>
      <c r="V31" s="6">
        <f t="shared" si="21"/>
        <v>2.5865723165496853E-2</v>
      </c>
      <c r="W31" s="2"/>
      <c r="X31" s="7">
        <f t="shared" si="22"/>
        <v>-64470.599999999991</v>
      </c>
      <c r="Y31" s="2"/>
      <c r="Z31" s="6">
        <f t="shared" si="23"/>
        <v>-0.80472188985435755</v>
      </c>
    </row>
    <row r="32" spans="1:26" s="24" customFormat="1" hidden="1" outlineLevel="2" x14ac:dyDescent="0.25">
      <c r="A32" s="27"/>
      <c r="B32" s="11" t="str">
        <f>CONCATENATE("          ", "6112", " - ", "COMPENSATION INSURANCE")</f>
        <v xml:space="preserve">          6112 - COMPENSATION INSURANCE</v>
      </c>
      <c r="C32" s="11"/>
      <c r="D32" s="7">
        <v>1146.3</v>
      </c>
      <c r="E32" s="2"/>
      <c r="F32" s="6">
        <f t="shared" si="16"/>
        <v>1.5883328823149672E-2</v>
      </c>
      <c r="G32" s="2"/>
      <c r="H32" s="7">
        <v>10783.32</v>
      </c>
      <c r="I32" s="2"/>
      <c r="J32" s="6">
        <f t="shared" si="17"/>
        <v>2.5254414338517099E-2</v>
      </c>
      <c r="K32" s="2"/>
      <c r="L32" s="7">
        <f t="shared" si="18"/>
        <v>-9637.02</v>
      </c>
      <c r="M32" s="2"/>
      <c r="N32" s="6">
        <f t="shared" si="19"/>
        <v>-0.89369693192820032</v>
      </c>
      <c r="O32" s="11"/>
      <c r="P32" s="7">
        <v>4956.7</v>
      </c>
      <c r="Q32" s="2"/>
      <c r="R32" s="6">
        <f t="shared" si="20"/>
        <v>2.552184703471428E-2</v>
      </c>
      <c r="S32" s="2"/>
      <c r="T32" s="7">
        <v>37980.009999999995</v>
      </c>
      <c r="U32" s="2"/>
      <c r="V32" s="6">
        <f t="shared" si="21"/>
        <v>1.2262070335094237E-2</v>
      </c>
      <c r="W32" s="2"/>
      <c r="X32" s="7">
        <f t="shared" si="22"/>
        <v>-33023.31</v>
      </c>
      <c r="Y32" s="2"/>
      <c r="Z32" s="6">
        <f t="shared" si="23"/>
        <v>-0.86949187217170298</v>
      </c>
    </row>
    <row r="33" spans="1:26" s="24" customFormat="1" hidden="1" outlineLevel="2" x14ac:dyDescent="0.25">
      <c r="A33" s="27"/>
      <c r="B33" s="11" t="str">
        <f>CONCATENATE("          ", "6113", " - ", "GROUP INSURANCE")</f>
        <v xml:space="preserve">          6113 - GROUP INSURANCE</v>
      </c>
      <c r="C33" s="11"/>
      <c r="D33" s="7">
        <v>8662.99</v>
      </c>
      <c r="E33" s="2"/>
      <c r="F33" s="6">
        <f t="shared" si="16"/>
        <v>0.12003587085549802</v>
      </c>
      <c r="G33" s="2"/>
      <c r="H33" s="7">
        <v>23214.5</v>
      </c>
      <c r="I33" s="2"/>
      <c r="J33" s="6">
        <f t="shared" si="17"/>
        <v>5.4368098290832993E-2</v>
      </c>
      <c r="K33" s="2"/>
      <c r="L33" s="7">
        <f t="shared" si="18"/>
        <v>-14551.51</v>
      </c>
      <c r="M33" s="2"/>
      <c r="N33" s="6">
        <f t="shared" si="19"/>
        <v>-0.62682849081393099</v>
      </c>
      <c r="O33" s="11"/>
      <c r="P33" s="7">
        <v>60931.85</v>
      </c>
      <c r="Q33" s="2"/>
      <c r="R33" s="6">
        <f t="shared" si="20"/>
        <v>0.31373562153088858</v>
      </c>
      <c r="S33" s="2"/>
      <c r="T33" s="7">
        <v>128990.09999999999</v>
      </c>
      <c r="U33" s="2"/>
      <c r="V33" s="6">
        <f t="shared" si="21"/>
        <v>4.164521490991812E-2</v>
      </c>
      <c r="W33" s="2"/>
      <c r="X33" s="7">
        <f t="shared" si="22"/>
        <v>-68058.25</v>
      </c>
      <c r="Y33" s="2"/>
      <c r="Z33" s="6">
        <f t="shared" si="23"/>
        <v>-0.52762382539435204</v>
      </c>
    </row>
    <row r="34" spans="1:26" s="24" customFormat="1" hidden="1" outlineLevel="2" x14ac:dyDescent="0.25">
      <c r="A34" s="27"/>
      <c r="B34" s="11" t="str">
        <f>CONCATENATE("          ", "6114", " - ", "STATE UNEMPLOYMENT INSURANCE")</f>
        <v xml:space="preserve">          6114 - STATE UNEMPLOYMENT INSURANCE</v>
      </c>
      <c r="C34" s="11"/>
      <c r="D34" s="7"/>
      <c r="E34" s="2"/>
      <c r="F34" s="6">
        <f t="shared" si="16"/>
        <v>0</v>
      </c>
      <c r="G34" s="2"/>
      <c r="H34" s="7">
        <v>778.25</v>
      </c>
      <c r="I34" s="2"/>
      <c r="J34" s="6">
        <f t="shared" si="17"/>
        <v>1.8226527599061266E-3</v>
      </c>
      <c r="K34" s="2"/>
      <c r="L34" s="7">
        <f t="shared" si="18"/>
        <v>-778.25</v>
      </c>
      <c r="M34" s="2"/>
      <c r="N34" s="6">
        <f t="shared" si="19"/>
        <v>-1</v>
      </c>
      <c r="O34" s="11"/>
      <c r="P34" s="7">
        <v>508.27</v>
      </c>
      <c r="Q34" s="2"/>
      <c r="R34" s="6">
        <f t="shared" si="20"/>
        <v>2.6170615918522863E-3</v>
      </c>
      <c r="S34" s="2"/>
      <c r="T34" s="7">
        <v>3678.35</v>
      </c>
      <c r="U34" s="2"/>
      <c r="V34" s="6">
        <f t="shared" si="21"/>
        <v>1.1875770021412288E-3</v>
      </c>
      <c r="W34" s="2"/>
      <c r="X34" s="7">
        <f t="shared" si="22"/>
        <v>-3170.08</v>
      </c>
      <c r="Y34" s="2"/>
      <c r="Z34" s="6">
        <f t="shared" si="23"/>
        <v>-0.86182119700409154</v>
      </c>
    </row>
    <row r="35" spans="1:26" s="24" customFormat="1" hidden="1" outlineLevel="2" x14ac:dyDescent="0.25">
      <c r="A35" s="27"/>
      <c r="B35" s="11" t="str">
        <f>CONCATENATE("          ", "6115", " - ", "P.E.R.S.")</f>
        <v xml:space="preserve">          6115 - P.E.R.S.</v>
      </c>
      <c r="C35" s="11"/>
      <c r="D35" s="7">
        <v>2748.35</v>
      </c>
      <c r="E35" s="2"/>
      <c r="F35" s="6">
        <f t="shared" si="16"/>
        <v>3.8081607581875079E-2</v>
      </c>
      <c r="G35" s="2"/>
      <c r="H35" s="7">
        <v>6762.88</v>
      </c>
      <c r="I35" s="2"/>
      <c r="J35" s="6">
        <f t="shared" si="17"/>
        <v>1.5838589009847664E-2</v>
      </c>
      <c r="K35" s="2"/>
      <c r="L35" s="7">
        <f t="shared" si="18"/>
        <v>-4014.53</v>
      </c>
      <c r="M35" s="2"/>
      <c r="N35" s="6">
        <f t="shared" si="19"/>
        <v>-0.59361248462193628</v>
      </c>
      <c r="O35" s="11"/>
      <c r="P35" s="7">
        <v>20264.28</v>
      </c>
      <c r="Q35" s="2"/>
      <c r="R35" s="6">
        <f t="shared" si="20"/>
        <v>0.10433995489511567</v>
      </c>
      <c r="S35" s="2"/>
      <c r="T35" s="7">
        <v>42308.88</v>
      </c>
      <c r="U35" s="2"/>
      <c r="V35" s="6">
        <f t="shared" si="21"/>
        <v>1.3659671557723706E-2</v>
      </c>
      <c r="W35" s="2"/>
      <c r="X35" s="7">
        <f t="shared" si="22"/>
        <v>-22044.6</v>
      </c>
      <c r="Y35" s="2"/>
      <c r="Z35" s="6">
        <f t="shared" si="23"/>
        <v>-0.52103955481686115</v>
      </c>
    </row>
    <row r="36" spans="1:26" s="24" customFormat="1" hidden="1" outlineLevel="2" x14ac:dyDescent="0.25">
      <c r="A36" s="27"/>
      <c r="B36" s="11" t="str">
        <f>CONCATENATE("          ", "6117", " - ", "RETIREMENT STAFF HOURLY")</f>
        <v xml:space="preserve">          6117 - RETIREMENT STAFF HOURLY</v>
      </c>
      <c r="C36" s="11"/>
      <c r="D36" s="7"/>
      <c r="E36" s="2"/>
      <c r="F36" s="6">
        <f t="shared" si="16"/>
        <v>0</v>
      </c>
      <c r="G36" s="2"/>
      <c r="H36" s="7">
        <v>56</v>
      </c>
      <c r="I36" s="2"/>
      <c r="J36" s="6">
        <f t="shared" si="17"/>
        <v>1.3115137109507625E-4</v>
      </c>
      <c r="K36" s="2"/>
      <c r="L36" s="7">
        <f t="shared" si="18"/>
        <v>-56</v>
      </c>
      <c r="M36" s="2"/>
      <c r="N36" s="6">
        <f t="shared" si="19"/>
        <v>-1</v>
      </c>
      <c r="O36" s="11"/>
      <c r="P36" s="7"/>
      <c r="Q36" s="2"/>
      <c r="R36" s="6">
        <f t="shared" si="20"/>
        <v>0</v>
      </c>
      <c r="S36" s="2"/>
      <c r="T36" s="7">
        <v>364</v>
      </c>
      <c r="U36" s="2"/>
      <c r="V36" s="6">
        <f t="shared" si="21"/>
        <v>1.1751954783514546E-4</v>
      </c>
      <c r="W36" s="2"/>
      <c r="X36" s="7">
        <f t="shared" si="22"/>
        <v>-364</v>
      </c>
      <c r="Y36" s="2"/>
      <c r="Z36" s="6">
        <f t="shared" si="23"/>
        <v>-1</v>
      </c>
    </row>
    <row r="37" spans="1:26" s="24" customFormat="1" hidden="1" outlineLevel="2" x14ac:dyDescent="0.25">
      <c r="A37" s="27"/>
      <c r="B37" s="11" t="str">
        <f>CONCATENATE("          ", "6118", " - ", "VACATION")</f>
        <v xml:space="preserve">          6118 - VACATION</v>
      </c>
      <c r="C37" s="11"/>
      <c r="D37" s="7">
        <v>2400.38</v>
      </c>
      <c r="E37" s="2"/>
      <c r="F37" s="6">
        <f t="shared" si="16"/>
        <v>3.3260075757229356E-2</v>
      </c>
      <c r="G37" s="2"/>
      <c r="H37" s="7">
        <v>6258.93</v>
      </c>
      <c r="I37" s="2"/>
      <c r="J37" s="6">
        <f t="shared" si="17"/>
        <v>1.4658343769430458E-2</v>
      </c>
      <c r="K37" s="2"/>
      <c r="L37" s="7">
        <f t="shared" si="18"/>
        <v>-3858.55</v>
      </c>
      <c r="M37" s="2"/>
      <c r="N37" s="6">
        <f t="shared" si="19"/>
        <v>-0.6164871631413037</v>
      </c>
      <c r="O37" s="11"/>
      <c r="P37" s="7">
        <v>16085.3</v>
      </c>
      <c r="Q37" s="2"/>
      <c r="R37" s="6">
        <f t="shared" si="20"/>
        <v>8.2822556561318941E-2</v>
      </c>
      <c r="S37" s="2"/>
      <c r="T37" s="7">
        <v>45171.65</v>
      </c>
      <c r="U37" s="2"/>
      <c r="V37" s="6">
        <f t="shared" si="21"/>
        <v>1.4583933744416067E-2</v>
      </c>
      <c r="W37" s="2"/>
      <c r="X37" s="7">
        <f t="shared" si="22"/>
        <v>-29086.350000000002</v>
      </c>
      <c r="Y37" s="2"/>
      <c r="Z37" s="6">
        <f t="shared" si="23"/>
        <v>-0.64390718514820688</v>
      </c>
    </row>
    <row r="38" spans="1:26" s="24" customFormat="1" hidden="1" outlineLevel="2" x14ac:dyDescent="0.25">
      <c r="A38" s="27"/>
      <c r="B38" s="11" t="str">
        <f>CONCATENATE("          ", "6119", " - ", "SICK LEAVE")</f>
        <v xml:space="preserve">          6119 - SICK LEAVE</v>
      </c>
      <c r="C38" s="11"/>
      <c r="D38" s="7">
        <v>1368.1</v>
      </c>
      <c r="E38" s="2"/>
      <c r="F38" s="6">
        <f t="shared" si="16"/>
        <v>1.8956627552081537E-2</v>
      </c>
      <c r="G38" s="2"/>
      <c r="H38" s="7">
        <v>4772.6000000000004</v>
      </c>
      <c r="I38" s="2"/>
      <c r="J38" s="6">
        <f t="shared" si="17"/>
        <v>1.1177375601577874E-2</v>
      </c>
      <c r="K38" s="2"/>
      <c r="L38" s="7">
        <f t="shared" si="18"/>
        <v>-3404.5000000000005</v>
      </c>
      <c r="M38" s="2"/>
      <c r="N38" s="6">
        <f t="shared" si="19"/>
        <v>-0.71334283199932957</v>
      </c>
      <c r="O38" s="11"/>
      <c r="P38" s="7">
        <v>9359.56</v>
      </c>
      <c r="Q38" s="2"/>
      <c r="R38" s="6">
        <f t="shared" si="20"/>
        <v>4.8191994397932168E-2</v>
      </c>
      <c r="S38" s="2"/>
      <c r="T38" s="7">
        <v>52686.720000000001</v>
      </c>
      <c r="U38" s="2"/>
      <c r="V38" s="6">
        <f t="shared" si="21"/>
        <v>1.7010218437683834E-2</v>
      </c>
      <c r="W38" s="2"/>
      <c r="X38" s="7">
        <f t="shared" si="22"/>
        <v>-43327.16</v>
      </c>
      <c r="Y38" s="2"/>
      <c r="Z38" s="6">
        <f t="shared" si="23"/>
        <v>-0.82235447566293751</v>
      </c>
    </row>
    <row r="39" spans="1:26" s="24" customFormat="1" hidden="1" outlineLevel="2" x14ac:dyDescent="0.25">
      <c r="A39" s="27"/>
      <c r="B39" s="11" t="str">
        <f>CONCATENATE("          ", "6156", " - ", "EMPLOYEE MEALS")</f>
        <v xml:space="preserve">          6156 - EMPLOYEE MEALS</v>
      </c>
      <c r="C39" s="11"/>
      <c r="D39" s="7">
        <v>425.36</v>
      </c>
      <c r="E39" s="2"/>
      <c r="F39" s="6">
        <f t="shared" si="16"/>
        <v>5.8938608987306506E-3</v>
      </c>
      <c r="G39" s="2"/>
      <c r="H39" s="7">
        <v>2840.54</v>
      </c>
      <c r="I39" s="2"/>
      <c r="J39" s="6">
        <f t="shared" si="17"/>
        <v>6.6525127794715691E-3</v>
      </c>
      <c r="K39" s="2"/>
      <c r="L39" s="7">
        <f t="shared" si="18"/>
        <v>-2415.1799999999998</v>
      </c>
      <c r="M39" s="2"/>
      <c r="N39" s="6">
        <f t="shared" si="19"/>
        <v>-0.85025382497694091</v>
      </c>
      <c r="O39" s="11"/>
      <c r="P39" s="7">
        <v>3418.33</v>
      </c>
      <c r="Q39" s="2"/>
      <c r="R39" s="6">
        <f t="shared" si="20"/>
        <v>1.7600842369757071E-2</v>
      </c>
      <c r="S39" s="2"/>
      <c r="T39" s="7">
        <v>15654.150000000001</v>
      </c>
      <c r="U39" s="2"/>
      <c r="V39" s="6">
        <f t="shared" si="21"/>
        <v>5.0540346970976441E-3</v>
      </c>
      <c r="W39" s="2"/>
      <c r="X39" s="7">
        <f t="shared" si="22"/>
        <v>-12235.820000000002</v>
      </c>
      <c r="Y39" s="2"/>
      <c r="Z39" s="6">
        <f t="shared" si="23"/>
        <v>-0.78163426311872575</v>
      </c>
    </row>
    <row r="40" spans="1:26" s="25" customFormat="1" outlineLevel="1" collapsed="1" x14ac:dyDescent="0.25">
      <c r="A40" s="26"/>
      <c r="B40" s="13" t="str">
        <f>CONCATENATE("     ","*Payroll                                          ")</f>
        <v xml:space="preserve">     *Payroll                                          </v>
      </c>
      <c r="C40" s="13"/>
      <c r="D40" s="1">
        <f>SUM(OSRRefD22_1x_0)</f>
        <v>24458.49</v>
      </c>
      <c r="E40" s="1"/>
      <c r="F40" s="5">
        <f t="shared" ref="F40:F47" si="24">IF(D$12=0,0,D40/D$12)</f>
        <v>0.33890101996660388</v>
      </c>
      <c r="G40" s="1"/>
      <c r="H40" s="1">
        <f>SUM(OSRRefH22_1x_0)</f>
        <v>189034.99000000002</v>
      </c>
      <c r="I40" s="1"/>
      <c r="J40" s="5">
        <f t="shared" ref="J40:J47" si="25">IF(H$12=0,0,H40/H$12)</f>
        <v>0.44271782363292911</v>
      </c>
      <c r="K40" s="1"/>
      <c r="L40" s="1">
        <f t="shared" ref="L40:L47" si="26">+D40-H40</f>
        <v>-164576.50000000003</v>
      </c>
      <c r="M40" s="1"/>
      <c r="N40" s="5">
        <f t="shared" ref="N40:N47" si="27">IF(H40=0,0,L40/H40)</f>
        <v>-0.87061395353315285</v>
      </c>
      <c r="O40" s="13"/>
      <c r="P40" s="1">
        <f>SUM(OSRRefP22_1x_0)</f>
        <v>178931.66</v>
      </c>
      <c r="Q40" s="1"/>
      <c r="R40" s="5">
        <f t="shared" ref="R40:R47" si="28">IF(P$12=0,0,P40/P$12)</f>
        <v>0.92131185187473597</v>
      </c>
      <c r="S40" s="1"/>
      <c r="T40" s="1">
        <f>SUM(OSRRefT22_1x_0)</f>
        <v>1292102.8299999998</v>
      </c>
      <c r="U40" s="1"/>
      <c r="V40" s="5">
        <f t="shared" ref="V40:V47" si="29">IF(T$12=0,0,T40/T$12)</f>
        <v>0.41716302290690055</v>
      </c>
      <c r="W40" s="1"/>
      <c r="X40" s="1">
        <f t="shared" ref="X40:X47" si="30">+P40-T40</f>
        <v>-1113171.17</v>
      </c>
      <c r="Y40" s="1"/>
      <c r="Z40" s="5">
        <f t="shared" ref="Z40:Z47" si="31">IF(T40=0,0,X40/T40)</f>
        <v>-0.86151902476678277</v>
      </c>
    </row>
    <row r="41" spans="1:26" s="24" customFormat="1" hidden="1" outlineLevel="2" x14ac:dyDescent="0.25">
      <c r="A41" s="27"/>
      <c r="B41" s="11" t="str">
        <f>CONCATENATE("          ", "6001", " - ", "ADMINISTRATIVE SALARIES")</f>
        <v xml:space="preserve">          6001 - ADMINISTRATIVE SALARIES</v>
      </c>
      <c r="C41" s="11"/>
      <c r="D41" s="7">
        <v>8855.42</v>
      </c>
      <c r="E41" s="2"/>
      <c r="F41" s="6">
        <f t="shared" si="24"/>
        <v>0.12270221384201001</v>
      </c>
      <c r="G41" s="2"/>
      <c r="H41" s="7">
        <v>17492.32</v>
      </c>
      <c r="I41" s="2"/>
      <c r="J41" s="6">
        <f t="shared" si="25"/>
        <v>4.0966816993461143E-2</v>
      </c>
      <c r="K41" s="2"/>
      <c r="L41" s="7">
        <f t="shared" si="26"/>
        <v>-8636.9</v>
      </c>
      <c r="M41" s="2"/>
      <c r="N41" s="6">
        <f t="shared" si="27"/>
        <v>-0.49375383025236219</v>
      </c>
      <c r="O41" s="11"/>
      <c r="P41" s="7">
        <v>62679.80000000001</v>
      </c>
      <c r="Q41" s="2"/>
      <c r="R41" s="6">
        <f t="shared" si="28"/>
        <v>0.32273574510591407</v>
      </c>
      <c r="S41" s="2"/>
      <c r="T41" s="7">
        <v>104234.41</v>
      </c>
      <c r="U41" s="2"/>
      <c r="V41" s="6">
        <f t="shared" si="29"/>
        <v>3.3652694318854849E-2</v>
      </c>
      <c r="W41" s="2"/>
      <c r="X41" s="7">
        <f t="shared" si="30"/>
        <v>-41554.609999999993</v>
      </c>
      <c r="Y41" s="2"/>
      <c r="Z41" s="6">
        <f t="shared" si="31"/>
        <v>-0.39866498980519</v>
      </c>
    </row>
    <row r="42" spans="1:26" s="24" customFormat="1" hidden="1" outlineLevel="2" x14ac:dyDescent="0.25">
      <c r="A42" s="27"/>
      <c r="B42" s="11" t="str">
        <f>CONCATENATE("          ", "6002", " - ", "STAFF SALARIES")</f>
        <v xml:space="preserve">          6002 - STAFF SALARIES</v>
      </c>
      <c r="C42" s="11"/>
      <c r="D42" s="7">
        <v>12942.91</v>
      </c>
      <c r="E42" s="2"/>
      <c r="F42" s="6">
        <f t="shared" si="24"/>
        <v>0.17933917426365883</v>
      </c>
      <c r="G42" s="2"/>
      <c r="H42" s="7">
        <v>59259.250000000007</v>
      </c>
      <c r="I42" s="2"/>
      <c r="J42" s="6">
        <f t="shared" si="25"/>
        <v>0.13878449799224818</v>
      </c>
      <c r="K42" s="2"/>
      <c r="L42" s="7">
        <f t="shared" si="26"/>
        <v>-46316.340000000011</v>
      </c>
      <c r="M42" s="2"/>
      <c r="N42" s="6">
        <f t="shared" si="27"/>
        <v>-0.78158835962318129</v>
      </c>
      <c r="O42" s="11"/>
      <c r="P42" s="7">
        <v>92920.81</v>
      </c>
      <c r="Q42" s="2"/>
      <c r="R42" s="6">
        <f t="shared" si="28"/>
        <v>0.478445477668963</v>
      </c>
      <c r="S42" s="2"/>
      <c r="T42" s="7">
        <v>360124.69</v>
      </c>
      <c r="U42" s="2"/>
      <c r="V42" s="6">
        <f t="shared" si="29"/>
        <v>0.116268381134813</v>
      </c>
      <c r="W42" s="2"/>
      <c r="X42" s="7">
        <f t="shared" si="30"/>
        <v>-267203.88</v>
      </c>
      <c r="Y42" s="2"/>
      <c r="Z42" s="6">
        <f t="shared" si="31"/>
        <v>-0.74197600836532485</v>
      </c>
    </row>
    <row r="43" spans="1:26" s="24" customFormat="1" hidden="1" outlineLevel="2" x14ac:dyDescent="0.25">
      <c r="A43" s="27"/>
      <c r="B43" s="11" t="str">
        <f>CONCATENATE("          ", "6004", " - ", "STAFF HOURLY")</f>
        <v xml:space="preserve">          6004 - STAFF HOURLY</v>
      </c>
      <c r="C43" s="11"/>
      <c r="D43" s="7">
        <v>2426.3000000000002</v>
      </c>
      <c r="E43" s="2"/>
      <c r="F43" s="6">
        <f t="shared" si="24"/>
        <v>3.3619227709681627E-2</v>
      </c>
      <c r="G43" s="2"/>
      <c r="H43" s="7">
        <v>18447.240000000002</v>
      </c>
      <c r="I43" s="2"/>
      <c r="J43" s="6">
        <f t="shared" si="25"/>
        <v>4.3203228909284547E-2</v>
      </c>
      <c r="K43" s="2"/>
      <c r="L43" s="7">
        <f t="shared" si="26"/>
        <v>-16020.940000000002</v>
      </c>
      <c r="M43" s="2"/>
      <c r="N43" s="6">
        <f t="shared" si="27"/>
        <v>-0.86847354943070076</v>
      </c>
      <c r="O43" s="11"/>
      <c r="P43" s="7">
        <v>20524.63</v>
      </c>
      <c r="Q43" s="2"/>
      <c r="R43" s="6">
        <f t="shared" si="28"/>
        <v>0.10568048647368365</v>
      </c>
      <c r="S43" s="2"/>
      <c r="T43" s="7">
        <v>121837.99</v>
      </c>
      <c r="U43" s="2"/>
      <c r="V43" s="6">
        <f t="shared" si="29"/>
        <v>3.9336113994348831E-2</v>
      </c>
      <c r="W43" s="2"/>
      <c r="X43" s="7">
        <f t="shared" si="30"/>
        <v>-101313.36</v>
      </c>
      <c r="Y43" s="2"/>
      <c r="Z43" s="6">
        <f t="shared" si="31"/>
        <v>-0.83154162342960514</v>
      </c>
    </row>
    <row r="44" spans="1:26" s="24" customFormat="1" hidden="1" outlineLevel="2" x14ac:dyDescent="0.25">
      <c r="A44" s="27"/>
      <c r="B44" s="11" t="str">
        <f>CONCATENATE("          ", "6005", " - ", "TEMPORARY WAGES-HOURLY")</f>
        <v xml:space="preserve">          6005 - TEMPORARY WAGES-HOURLY</v>
      </c>
      <c r="C44" s="11"/>
      <c r="D44" s="7">
        <v>233.86</v>
      </c>
      <c r="E44" s="2"/>
      <c r="F44" s="6">
        <f t="shared" si="24"/>
        <v>3.2404041512534088E-3</v>
      </c>
      <c r="G44" s="2"/>
      <c r="H44" s="7">
        <v>39760.07</v>
      </c>
      <c r="I44" s="2"/>
      <c r="J44" s="6">
        <f t="shared" si="25"/>
        <v>9.311763741671801E-2</v>
      </c>
      <c r="K44" s="2"/>
      <c r="L44" s="7">
        <f t="shared" si="26"/>
        <v>-39526.21</v>
      </c>
      <c r="M44" s="2"/>
      <c r="N44" s="6">
        <f t="shared" si="27"/>
        <v>-0.9941182196107804</v>
      </c>
      <c r="O44" s="11"/>
      <c r="P44" s="7">
        <v>2736.71</v>
      </c>
      <c r="Q44" s="2"/>
      <c r="R44" s="6">
        <f t="shared" si="28"/>
        <v>1.4091208666728453E-2</v>
      </c>
      <c r="S44" s="2"/>
      <c r="T44" s="7">
        <v>275689.56</v>
      </c>
      <c r="U44" s="2"/>
      <c r="V44" s="6">
        <f t="shared" si="29"/>
        <v>8.900800119250056E-2</v>
      </c>
      <c r="W44" s="2"/>
      <c r="X44" s="7">
        <f t="shared" si="30"/>
        <v>-272952.84999999998</v>
      </c>
      <c r="Y44" s="2"/>
      <c r="Z44" s="6">
        <f t="shared" si="31"/>
        <v>-0.99007321858687714</v>
      </c>
    </row>
    <row r="45" spans="1:26" s="24" customFormat="1" hidden="1" outlineLevel="2" x14ac:dyDescent="0.25">
      <c r="A45" s="27"/>
      <c r="B45" s="11" t="str">
        <f>CONCATENATE("          ", "6006", " - ", "TEMPORARY PART TIME")</f>
        <v xml:space="preserve">          6006 - TEMPORARY PART TIME</v>
      </c>
      <c r="C45" s="11"/>
      <c r="D45" s="7"/>
      <c r="E45" s="2"/>
      <c r="F45" s="6">
        <f t="shared" si="24"/>
        <v>0</v>
      </c>
      <c r="G45" s="2"/>
      <c r="H45" s="7">
        <v>568.75</v>
      </c>
      <c r="I45" s="2"/>
      <c r="J45" s="6">
        <f t="shared" si="25"/>
        <v>1.3320061126843681E-3</v>
      </c>
      <c r="K45" s="2"/>
      <c r="L45" s="7">
        <f t="shared" si="26"/>
        <v>-568.75</v>
      </c>
      <c r="M45" s="2"/>
      <c r="N45" s="6">
        <f t="shared" si="27"/>
        <v>-1</v>
      </c>
      <c r="O45" s="11"/>
      <c r="P45" s="7"/>
      <c r="Q45" s="2"/>
      <c r="R45" s="6">
        <f t="shared" si="28"/>
        <v>0</v>
      </c>
      <c r="S45" s="2"/>
      <c r="T45" s="7">
        <v>10642.65</v>
      </c>
      <c r="U45" s="2"/>
      <c r="V45" s="6">
        <f t="shared" si="29"/>
        <v>3.4360423510101943E-3</v>
      </c>
      <c r="W45" s="2"/>
      <c r="X45" s="7">
        <f t="shared" si="30"/>
        <v>-10642.65</v>
      </c>
      <c r="Y45" s="2"/>
      <c r="Z45" s="6">
        <f t="shared" si="31"/>
        <v>-1</v>
      </c>
    </row>
    <row r="46" spans="1:26" s="24" customFormat="1" hidden="1" outlineLevel="2" x14ac:dyDescent="0.25">
      <c r="A46" s="27"/>
      <c r="B46" s="11" t="str">
        <f>CONCATENATE("          ", "6007", " - ", "STUDENT HOURLY")</f>
        <v xml:space="preserve">          6007 - STUDENT HOURLY</v>
      </c>
      <c r="C46" s="11"/>
      <c r="D46" s="7"/>
      <c r="E46" s="2"/>
      <c r="F46" s="6">
        <f t="shared" si="24"/>
        <v>0</v>
      </c>
      <c r="G46" s="2"/>
      <c r="H46" s="7">
        <v>50087.950000000004</v>
      </c>
      <c r="I46" s="2"/>
      <c r="J46" s="6">
        <f t="shared" si="25"/>
        <v>0.11730541639002902</v>
      </c>
      <c r="K46" s="2"/>
      <c r="L46" s="7">
        <f t="shared" si="26"/>
        <v>-50087.950000000004</v>
      </c>
      <c r="M46" s="2"/>
      <c r="N46" s="6">
        <f t="shared" si="27"/>
        <v>-1</v>
      </c>
      <c r="O46" s="11"/>
      <c r="P46" s="7">
        <v>69.709999999999994</v>
      </c>
      <c r="Q46" s="2"/>
      <c r="R46" s="6">
        <f t="shared" si="28"/>
        <v>3.5893395944679569E-4</v>
      </c>
      <c r="S46" s="2"/>
      <c r="T46" s="7">
        <v>398062.86</v>
      </c>
      <c r="U46" s="2"/>
      <c r="V46" s="6">
        <f t="shared" si="29"/>
        <v>0.12851694317902421</v>
      </c>
      <c r="W46" s="2"/>
      <c r="X46" s="7">
        <f t="shared" si="30"/>
        <v>-397993.14999999997</v>
      </c>
      <c r="Y46" s="2"/>
      <c r="Z46" s="6">
        <f t="shared" si="31"/>
        <v>-0.9998248769051199</v>
      </c>
    </row>
    <row r="47" spans="1:26" s="24" customFormat="1" hidden="1" outlineLevel="2" x14ac:dyDescent="0.25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7"/>
      <c r="E47" s="2"/>
      <c r="F47" s="6">
        <f t="shared" si="24"/>
        <v>0</v>
      </c>
      <c r="G47" s="2"/>
      <c r="H47" s="7">
        <v>3419.41</v>
      </c>
      <c r="I47" s="2"/>
      <c r="J47" s="6">
        <f t="shared" si="25"/>
        <v>8.0082198185038329E-3</v>
      </c>
      <c r="K47" s="2"/>
      <c r="L47" s="7">
        <f t="shared" si="26"/>
        <v>-3419.41</v>
      </c>
      <c r="M47" s="2"/>
      <c r="N47" s="6">
        <f t="shared" si="27"/>
        <v>-1</v>
      </c>
      <c r="O47" s="11"/>
      <c r="P47" s="7"/>
      <c r="Q47" s="2"/>
      <c r="R47" s="6">
        <f t="shared" si="28"/>
        <v>0</v>
      </c>
      <c r="S47" s="2"/>
      <c r="T47" s="7">
        <v>21510.670000000002</v>
      </c>
      <c r="U47" s="2"/>
      <c r="V47" s="6">
        <f t="shared" si="29"/>
        <v>6.9448467363489794E-3</v>
      </c>
      <c r="W47" s="2"/>
      <c r="X47" s="7">
        <f t="shared" si="30"/>
        <v>-21510.670000000002</v>
      </c>
      <c r="Y47" s="2"/>
      <c r="Z47" s="6">
        <f t="shared" si="31"/>
        <v>-1</v>
      </c>
    </row>
    <row r="48" spans="1:26" s="25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7.42</v>
      </c>
      <c r="E48" s="1"/>
      <c r="F48" s="5">
        <f t="shared" ref="F48:F57" si="32">IF(D$12=0,0,D48/D$12)</f>
        <v>1.0281278885786493E-4</v>
      </c>
      <c r="G48" s="1"/>
      <c r="H48" s="1">
        <f>SUM(OSRRefH22_2x_0)</f>
        <v>2704.43</v>
      </c>
      <c r="I48" s="1"/>
      <c r="J48" s="5">
        <f t="shared" ref="J48:J57" si="33">IF(H$12=0,0,H48/H$12)</f>
        <v>6.3337446880474477E-3</v>
      </c>
      <c r="K48" s="1"/>
      <c r="L48" s="1">
        <f t="shared" ref="L48:L57" si="34">+D48-H48</f>
        <v>-2697.0099999999998</v>
      </c>
      <c r="M48" s="1"/>
      <c r="N48" s="5">
        <f t="shared" ref="N48:N57" si="35">IF(H48=0,0,L48/H48)</f>
        <v>-0.99725635346450081</v>
      </c>
      <c r="O48" s="13"/>
      <c r="P48" s="1">
        <f>SUM(OSRRefP22_2x_0)</f>
        <v>133.94999999999999</v>
      </c>
      <c r="Q48" s="1"/>
      <c r="R48" s="5">
        <f t="shared" ref="R48:R57" si="36">IF(P$12=0,0,P48/P$12)</f>
        <v>6.8970311100126651E-4</v>
      </c>
      <c r="S48" s="1"/>
      <c r="T48" s="1">
        <f>SUM(OSRRefT22_2x_0)</f>
        <v>19641.43</v>
      </c>
      <c r="U48" s="1"/>
      <c r="V48" s="5">
        <f t="shared" ref="V48:V57" si="37">IF(T$12=0,0,T48/T$12)</f>
        <v>6.3413515726254421E-3</v>
      </c>
      <c r="W48" s="1"/>
      <c r="X48" s="1">
        <f t="shared" ref="X48:X57" si="38">+P48-T48</f>
        <v>-19507.48</v>
      </c>
      <c r="Y48" s="1"/>
      <c r="Z48" s="5">
        <f t="shared" ref="Z48:Z57" si="39">IF(T48=0,0,X48/T48)</f>
        <v>-0.99318023178556747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7">
        <v>7.42</v>
      </c>
      <c r="E49" s="2"/>
      <c r="F49" s="6">
        <f t="shared" si="32"/>
        <v>1.0281278885786493E-4</v>
      </c>
      <c r="G49" s="2"/>
      <c r="H49" s="7">
        <v>2704.43</v>
      </c>
      <c r="I49" s="2"/>
      <c r="J49" s="6">
        <f t="shared" si="33"/>
        <v>6.3337446880474477E-3</v>
      </c>
      <c r="K49" s="2"/>
      <c r="L49" s="7">
        <f t="shared" si="34"/>
        <v>-2697.0099999999998</v>
      </c>
      <c r="M49" s="2"/>
      <c r="N49" s="6">
        <f t="shared" si="35"/>
        <v>-0.99725635346450081</v>
      </c>
      <c r="O49" s="11"/>
      <c r="P49" s="7">
        <v>133.94999999999999</v>
      </c>
      <c r="Q49" s="2"/>
      <c r="R49" s="6">
        <f t="shared" si="36"/>
        <v>6.8970311100126651E-4</v>
      </c>
      <c r="S49" s="2"/>
      <c r="T49" s="7">
        <v>19641.43</v>
      </c>
      <c r="U49" s="2"/>
      <c r="V49" s="6">
        <f t="shared" si="37"/>
        <v>6.3413515726254421E-3</v>
      </c>
      <c r="W49" s="2"/>
      <c r="X49" s="7">
        <f t="shared" si="38"/>
        <v>-19507.48</v>
      </c>
      <c r="Y49" s="2"/>
      <c r="Z49" s="6">
        <f t="shared" si="39"/>
        <v>-0.99318023178556747</v>
      </c>
    </row>
    <row r="50" spans="1:26" s="25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1.74</v>
      </c>
      <c r="E50" s="1"/>
      <c r="F50" s="5">
        <f t="shared" si="32"/>
        <v>2.4109737548879378E-5</v>
      </c>
      <c r="G50" s="1"/>
      <c r="H50" s="1">
        <f>SUM(OSRRefH22_3x_0)</f>
        <v>-70.819999999999993</v>
      </c>
      <c r="I50" s="1"/>
      <c r="J50" s="5">
        <f t="shared" si="33"/>
        <v>-1.6585964465988035E-4</v>
      </c>
      <c r="K50" s="1"/>
      <c r="L50" s="1">
        <f t="shared" si="34"/>
        <v>72.559999999999988</v>
      </c>
      <c r="M50" s="1"/>
      <c r="N50" s="5">
        <f t="shared" si="35"/>
        <v>-1.024569330697543</v>
      </c>
      <c r="O50" s="13"/>
      <c r="P50" s="1">
        <f>SUM(OSRRefP22_3x_0)</f>
        <v>8.7899999999999991</v>
      </c>
      <c r="Q50" s="1"/>
      <c r="R50" s="5">
        <f t="shared" si="36"/>
        <v>4.5259353084741561E-5</v>
      </c>
      <c r="S50" s="1"/>
      <c r="T50" s="1">
        <f>SUM(OSRRefT22_3x_0)</f>
        <v>-92.05</v>
      </c>
      <c r="U50" s="1"/>
      <c r="V50" s="5">
        <f t="shared" si="37"/>
        <v>-2.9718885654464669E-5</v>
      </c>
      <c r="W50" s="1"/>
      <c r="X50" s="1">
        <f t="shared" si="38"/>
        <v>100.84</v>
      </c>
      <c r="Y50" s="1"/>
      <c r="Z50" s="5">
        <f t="shared" si="39"/>
        <v>-1.0954915806626835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7">
        <v>1.74</v>
      </c>
      <c r="E51" s="2"/>
      <c r="F51" s="6">
        <f t="shared" si="32"/>
        <v>2.4109737548879378E-5</v>
      </c>
      <c r="G51" s="2"/>
      <c r="H51" s="7">
        <v>-70.819999999999993</v>
      </c>
      <c r="I51" s="2"/>
      <c r="J51" s="6">
        <f t="shared" si="33"/>
        <v>-1.6585964465988035E-4</v>
      </c>
      <c r="K51" s="2"/>
      <c r="L51" s="7">
        <f t="shared" si="34"/>
        <v>72.559999999999988</v>
      </c>
      <c r="M51" s="2"/>
      <c r="N51" s="6">
        <f t="shared" si="35"/>
        <v>-1.024569330697543</v>
      </c>
      <c r="O51" s="11"/>
      <c r="P51" s="7">
        <v>8.7899999999999991</v>
      </c>
      <c r="Q51" s="2"/>
      <c r="R51" s="6">
        <f t="shared" si="36"/>
        <v>4.5259353084741561E-5</v>
      </c>
      <c r="S51" s="2"/>
      <c r="T51" s="7">
        <v>-92.05</v>
      </c>
      <c r="U51" s="2"/>
      <c r="V51" s="6">
        <f t="shared" si="37"/>
        <v>-2.9718885654464669E-5</v>
      </c>
      <c r="W51" s="2"/>
      <c r="X51" s="7">
        <f t="shared" si="38"/>
        <v>100.84</v>
      </c>
      <c r="Y51" s="2"/>
      <c r="Z51" s="6">
        <f t="shared" si="39"/>
        <v>-1.0954915806626835</v>
      </c>
    </row>
    <row r="52" spans="1:26" s="25" customFormat="1" outlineLevel="1" collapsed="1" x14ac:dyDescent="0.25">
      <c r="A52" s="26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639.55999999999995</v>
      </c>
      <c r="E52" s="1"/>
      <c r="F52" s="5">
        <f t="shared" si="32"/>
        <v>8.8618527280237315E-3</v>
      </c>
      <c r="G52" s="1"/>
      <c r="H52" s="1">
        <f>SUM(OSRRefH22_4x_0)</f>
        <v>24884</v>
      </c>
      <c r="I52" s="1"/>
      <c r="J52" s="5">
        <f t="shared" si="33"/>
        <v>5.8278048541604954E-2</v>
      </c>
      <c r="K52" s="1"/>
      <c r="L52" s="1">
        <f t="shared" si="34"/>
        <v>-24244.44</v>
      </c>
      <c r="M52" s="1"/>
      <c r="N52" s="5">
        <f t="shared" si="35"/>
        <v>-0.97429834431763374</v>
      </c>
      <c r="O52" s="13"/>
      <c r="P52" s="1">
        <f>SUM(OSRRefP22_4x_0)</f>
        <v>3254.76</v>
      </c>
      <c r="Q52" s="1"/>
      <c r="R52" s="5">
        <f t="shared" si="36"/>
        <v>1.6758627081466835E-2</v>
      </c>
      <c r="S52" s="1"/>
      <c r="T52" s="1">
        <f>SUM(OSRRefT22_4x_0)</f>
        <v>103411.8</v>
      </c>
      <c r="U52" s="1"/>
      <c r="V52" s="5">
        <f t="shared" si="37"/>
        <v>3.3387109826424441E-2</v>
      </c>
      <c r="W52" s="1"/>
      <c r="X52" s="1">
        <f t="shared" si="38"/>
        <v>-100157.04000000001</v>
      </c>
      <c r="Y52" s="1"/>
      <c r="Z52" s="5">
        <f t="shared" si="39"/>
        <v>-0.96852622234599928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639.55999999999995</v>
      </c>
      <c r="E53" s="2"/>
      <c r="F53" s="6">
        <f t="shared" si="32"/>
        <v>8.8618527280237315E-3</v>
      </c>
      <c r="G53" s="2"/>
      <c r="H53" s="7">
        <v>24884</v>
      </c>
      <c r="I53" s="2"/>
      <c r="J53" s="6">
        <f t="shared" si="33"/>
        <v>5.8278048541604954E-2</v>
      </c>
      <c r="K53" s="2"/>
      <c r="L53" s="7">
        <f t="shared" si="34"/>
        <v>-24244.44</v>
      </c>
      <c r="M53" s="2"/>
      <c r="N53" s="6">
        <f t="shared" si="35"/>
        <v>-0.97429834431763374</v>
      </c>
      <c r="O53" s="11"/>
      <c r="P53" s="7">
        <v>3254.76</v>
      </c>
      <c r="Q53" s="2"/>
      <c r="R53" s="6">
        <f t="shared" si="36"/>
        <v>1.6758627081466835E-2</v>
      </c>
      <c r="S53" s="2"/>
      <c r="T53" s="7">
        <v>103411.8</v>
      </c>
      <c r="U53" s="2"/>
      <c r="V53" s="6">
        <f t="shared" si="37"/>
        <v>3.3387109826424441E-2</v>
      </c>
      <c r="W53" s="2"/>
      <c r="X53" s="7">
        <f t="shared" si="38"/>
        <v>-100157.04000000001</v>
      </c>
      <c r="Y53" s="2"/>
      <c r="Z53" s="6">
        <f t="shared" si="39"/>
        <v>-0.96852622234599928</v>
      </c>
    </row>
    <row r="54" spans="1:26" s="25" customFormat="1" outlineLevel="1" collapsed="1" x14ac:dyDescent="0.25">
      <c r="A54" s="26"/>
      <c r="B54" s="13" t="str">
        <f>CONCATENATE("     ","Depreciation                                      ")</f>
        <v xml:space="preserve">     Depreciation                                      </v>
      </c>
      <c r="C54" s="13"/>
      <c r="D54" s="1">
        <f>SUM(OSRRefD22_5x_0)</f>
        <v>36720.759999999995</v>
      </c>
      <c r="E54" s="1"/>
      <c r="F54" s="5">
        <f t="shared" si="32"/>
        <v>0.50880912999734929</v>
      </c>
      <c r="G54" s="1"/>
      <c r="H54" s="1">
        <f>SUM(OSRRefH22_5x_0)</f>
        <v>40745.619999999995</v>
      </c>
      <c r="I54" s="1"/>
      <c r="J54" s="5">
        <f t="shared" si="33"/>
        <v>9.5425784448552861E-2</v>
      </c>
      <c r="K54" s="1"/>
      <c r="L54" s="1">
        <f t="shared" si="34"/>
        <v>-4024.8600000000006</v>
      </c>
      <c r="M54" s="1"/>
      <c r="N54" s="5">
        <f t="shared" si="35"/>
        <v>-9.8780187907313743E-2</v>
      </c>
      <c r="O54" s="13"/>
      <c r="P54" s="1">
        <f>SUM(OSRRefP22_5x_0)</f>
        <v>223148.08000000002</v>
      </c>
      <c r="Q54" s="1"/>
      <c r="R54" s="5">
        <f t="shared" si="36"/>
        <v>1.1489804030605413</v>
      </c>
      <c r="S54" s="1"/>
      <c r="T54" s="1">
        <f>SUM(OSRRefT22_5x_0)</f>
        <v>238600.87</v>
      </c>
      <c r="U54" s="1"/>
      <c r="V54" s="5">
        <f t="shared" si="37"/>
        <v>7.7033698778770116E-2</v>
      </c>
      <c r="W54" s="1"/>
      <c r="X54" s="1">
        <f t="shared" si="38"/>
        <v>-15452.789999999979</v>
      </c>
      <c r="Y54" s="1"/>
      <c r="Z54" s="5">
        <f t="shared" si="39"/>
        <v>-6.4764181287352299E-2</v>
      </c>
    </row>
    <row r="55" spans="1:26" s="24" customFormat="1" hidden="1" outlineLevel="2" x14ac:dyDescent="0.25">
      <c r="A55" s="27"/>
      <c r="B55" s="11" t="str">
        <f>CONCATENATE("          ", "6321", " - ", "BUILDING DEPRECIATION")</f>
        <v xml:space="preserve">          6321 - BUILDING DEPRECIATION</v>
      </c>
      <c r="C55" s="11"/>
      <c r="D55" s="7">
        <v>23583.489999999998</v>
      </c>
      <c r="E55" s="2"/>
      <c r="F55" s="6">
        <f t="shared" si="32"/>
        <v>0.32677687033713865</v>
      </c>
      <c r="G55" s="2"/>
      <c r="H55" s="7">
        <v>24042.959999999999</v>
      </c>
      <c r="I55" s="2"/>
      <c r="J55" s="6">
        <f t="shared" si="33"/>
        <v>5.6308342306858473E-2</v>
      </c>
      <c r="K55" s="2"/>
      <c r="L55" s="7">
        <f t="shared" si="34"/>
        <v>-459.47000000000116</v>
      </c>
      <c r="M55" s="2"/>
      <c r="N55" s="6">
        <f t="shared" si="35"/>
        <v>-1.9110375760721689E-2</v>
      </c>
      <c r="O55" s="11"/>
      <c r="P55" s="7">
        <v>142285.13</v>
      </c>
      <c r="Q55" s="2"/>
      <c r="R55" s="6">
        <f t="shared" si="36"/>
        <v>0.73262035692586525</v>
      </c>
      <c r="S55" s="2"/>
      <c r="T55" s="7">
        <v>144257.76</v>
      </c>
      <c r="U55" s="2"/>
      <c r="V55" s="6">
        <f t="shared" si="37"/>
        <v>4.6574469029975092E-2</v>
      </c>
      <c r="W55" s="2"/>
      <c r="X55" s="7">
        <f t="shared" si="38"/>
        <v>-1972.6300000000047</v>
      </c>
      <c r="Y55" s="2"/>
      <c r="Z55" s="6">
        <f t="shared" si="39"/>
        <v>-1.3674342371599313E-2</v>
      </c>
    </row>
    <row r="56" spans="1:26" s="24" customFormat="1" hidden="1" outlineLevel="2" x14ac:dyDescent="0.25">
      <c r="A56" s="27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13137.27</v>
      </c>
      <c r="E56" s="2"/>
      <c r="F56" s="6">
        <f t="shared" si="32"/>
        <v>0.18203225966021069</v>
      </c>
      <c r="G56" s="2"/>
      <c r="H56" s="7">
        <v>16278.409999999998</v>
      </c>
      <c r="I56" s="2"/>
      <c r="J56" s="6">
        <f t="shared" si="33"/>
        <v>3.812385340621071E-2</v>
      </c>
      <c r="K56" s="2"/>
      <c r="L56" s="7">
        <f t="shared" si="34"/>
        <v>-3141.1399999999976</v>
      </c>
      <c r="M56" s="2"/>
      <c r="N56" s="6">
        <f t="shared" si="35"/>
        <v>-0.19296356339470488</v>
      </c>
      <c r="O56" s="11"/>
      <c r="P56" s="7">
        <v>80862.95</v>
      </c>
      <c r="Q56" s="2"/>
      <c r="R56" s="6">
        <f t="shared" si="36"/>
        <v>0.41636004613467609</v>
      </c>
      <c r="S56" s="2"/>
      <c r="T56" s="7">
        <v>91797.61</v>
      </c>
      <c r="U56" s="2"/>
      <c r="V56" s="6">
        <f t="shared" si="37"/>
        <v>2.9637400053700625E-2</v>
      </c>
      <c r="W56" s="2"/>
      <c r="X56" s="7">
        <f t="shared" si="38"/>
        <v>-10934.660000000003</v>
      </c>
      <c r="Y56" s="2"/>
      <c r="Z56" s="6">
        <f t="shared" si="39"/>
        <v>-0.11911704455050631</v>
      </c>
    </row>
    <row r="57" spans="1:26" s="24" customFormat="1" hidden="1" outlineLevel="2" x14ac:dyDescent="0.25">
      <c r="A57" s="27"/>
      <c r="B57" s="11" t="str">
        <f>CONCATENATE("          ", "6326", " - ", "VEHICLES DEPRECIATION EXPENSE")</f>
        <v xml:space="preserve">          6326 - VEHICLES DEPRECIATION EXPENSE</v>
      </c>
      <c r="C57" s="11"/>
      <c r="D57" s="7"/>
      <c r="E57" s="2"/>
      <c r="F57" s="6">
        <f t="shared" si="32"/>
        <v>0</v>
      </c>
      <c r="G57" s="2"/>
      <c r="H57" s="7">
        <v>424.25</v>
      </c>
      <c r="I57" s="2"/>
      <c r="J57" s="6">
        <f t="shared" si="33"/>
        <v>9.9358873548368036E-4</v>
      </c>
      <c r="K57" s="2"/>
      <c r="L57" s="7">
        <f t="shared" si="34"/>
        <v>-424.25</v>
      </c>
      <c r="M57" s="2"/>
      <c r="N57" s="6">
        <f t="shared" si="35"/>
        <v>-1</v>
      </c>
      <c r="O57" s="11"/>
      <c r="P57" s="7"/>
      <c r="Q57" s="2"/>
      <c r="R57" s="6">
        <f t="shared" si="36"/>
        <v>0</v>
      </c>
      <c r="S57" s="2"/>
      <c r="T57" s="7">
        <v>2545.5</v>
      </c>
      <c r="U57" s="2"/>
      <c r="V57" s="6">
        <f t="shared" si="37"/>
        <v>8.218296950944032E-4</v>
      </c>
      <c r="W57" s="2"/>
      <c r="X57" s="7">
        <f t="shared" si="38"/>
        <v>-2545.5</v>
      </c>
      <c r="Y57" s="2"/>
      <c r="Z57" s="6">
        <f t="shared" si="39"/>
        <v>-1</v>
      </c>
    </row>
    <row r="58" spans="1:26" s="25" customFormat="1" outlineLevel="1" collapsed="1" x14ac:dyDescent="0.25">
      <c r="A58" s="26"/>
      <c r="B58" s="13" t="str">
        <f>CONCATENATE("     ","Donations                                         ")</f>
        <v xml:space="preserve">     Donations                                         </v>
      </c>
      <c r="C58" s="13"/>
      <c r="D58" s="1">
        <f>SUM(OSRRefD22_6x_0)</f>
        <v>0</v>
      </c>
      <c r="E58" s="1"/>
      <c r="F58" s="5">
        <f t="shared" ref="F58:F68" si="40">IF(D$12=0,0,D58/D$12)</f>
        <v>0</v>
      </c>
      <c r="G58" s="1"/>
      <c r="H58" s="1">
        <f>SUM(OSRRefH22_6x_0)</f>
        <v>73</v>
      </c>
      <c r="I58" s="1"/>
      <c r="J58" s="5">
        <f t="shared" ref="J58:J68" si="41">IF(H$12=0,0,H58/H$12)</f>
        <v>1.7096518017751012E-4</v>
      </c>
      <c r="K58" s="1"/>
      <c r="L58" s="1">
        <f t="shared" ref="L58:L68" si="42">+D58-H58</f>
        <v>-73</v>
      </c>
      <c r="M58" s="1"/>
      <c r="N58" s="5">
        <f t="shared" ref="N58:N68" si="43">IF(H58=0,0,L58/H58)</f>
        <v>-1</v>
      </c>
      <c r="O58" s="13"/>
      <c r="P58" s="1">
        <f>SUM(OSRRefP22_6x_0)</f>
        <v>0</v>
      </c>
      <c r="Q58" s="1"/>
      <c r="R58" s="5">
        <f t="shared" ref="R58:R68" si="44">IF(P$12=0,0,P58/P$12)</f>
        <v>0</v>
      </c>
      <c r="S58" s="1"/>
      <c r="T58" s="1">
        <f>SUM(OSRRefT22_6x_0)</f>
        <v>236.68</v>
      </c>
      <c r="U58" s="1"/>
      <c r="V58" s="5">
        <f t="shared" ref="V58:V68" si="45">IF(T$12=0,0,T58/T$12)</f>
        <v>7.6413534564896229E-5</v>
      </c>
      <c r="W58" s="1"/>
      <c r="X58" s="1">
        <f t="shared" ref="X58:X68" si="46">+P58-T58</f>
        <v>-236.68</v>
      </c>
      <c r="Y58" s="1"/>
      <c r="Z58" s="5">
        <f t="shared" ref="Z58:Z68" si="47">IF(T58=0,0,X58/T58)</f>
        <v>-1</v>
      </c>
    </row>
    <row r="59" spans="1:26" s="24" customFormat="1" hidden="1" outlineLevel="2" x14ac:dyDescent="0.25">
      <c r="A59" s="27"/>
      <c r="B59" s="11" t="str">
        <f>CONCATENATE("          ", "6399", " - ", "DONATION-ON CAMPUS")</f>
        <v xml:space="preserve">          6399 - DONATION-ON CAMPUS</v>
      </c>
      <c r="C59" s="11"/>
      <c r="D59" s="7"/>
      <c r="E59" s="2"/>
      <c r="F59" s="6">
        <f t="shared" si="40"/>
        <v>0</v>
      </c>
      <c r="G59" s="2"/>
      <c r="H59" s="7">
        <v>73</v>
      </c>
      <c r="I59" s="2"/>
      <c r="J59" s="6">
        <f t="shared" si="41"/>
        <v>1.7096518017751012E-4</v>
      </c>
      <c r="K59" s="2"/>
      <c r="L59" s="7">
        <f t="shared" si="42"/>
        <v>-73</v>
      </c>
      <c r="M59" s="2"/>
      <c r="N59" s="6">
        <f t="shared" si="43"/>
        <v>-1</v>
      </c>
      <c r="O59" s="11"/>
      <c r="P59" s="7"/>
      <c r="Q59" s="2"/>
      <c r="R59" s="6">
        <f t="shared" si="44"/>
        <v>0</v>
      </c>
      <c r="S59" s="2"/>
      <c r="T59" s="7">
        <v>236.68</v>
      </c>
      <c r="U59" s="2"/>
      <c r="V59" s="6">
        <f t="shared" si="45"/>
        <v>7.6413534564896229E-5</v>
      </c>
      <c r="W59" s="2"/>
      <c r="X59" s="7">
        <f t="shared" si="46"/>
        <v>-236.68</v>
      </c>
      <c r="Y59" s="2"/>
      <c r="Z59" s="6">
        <f t="shared" si="47"/>
        <v>-1</v>
      </c>
    </row>
    <row r="60" spans="1:26" s="25" customFormat="1" outlineLevel="1" collapsed="1" x14ac:dyDescent="0.25">
      <c r="A60" s="26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SUM(OSRRefD22_7x_0)</f>
        <v>10</v>
      </c>
      <c r="E60" s="1"/>
      <c r="F60" s="5">
        <f t="shared" si="40"/>
        <v>1.385617100510309E-4</v>
      </c>
      <c r="G60" s="1"/>
      <c r="H60" s="1">
        <f>SUM(OSRRefH22_7x_0)</f>
        <v>257.14999999999998</v>
      </c>
      <c r="I60" s="1"/>
      <c r="J60" s="5">
        <f t="shared" si="41"/>
        <v>6.0224241209105096E-4</v>
      </c>
      <c r="K60" s="1"/>
      <c r="L60" s="1">
        <f t="shared" si="42"/>
        <v>-247.14999999999998</v>
      </c>
      <c r="M60" s="1"/>
      <c r="N60" s="5">
        <f t="shared" si="43"/>
        <v>-0.96111219132801862</v>
      </c>
      <c r="O60" s="13"/>
      <c r="P60" s="1">
        <f>SUM(OSRRefP22_7x_0)</f>
        <v>10</v>
      </c>
      <c r="Q60" s="1"/>
      <c r="R60" s="5">
        <f t="shared" si="44"/>
        <v>5.1489593953062075E-5</v>
      </c>
      <c r="S60" s="1"/>
      <c r="T60" s="1">
        <f>SUM(OSRRefT22_7x_0)</f>
        <v>1209.8599999999999</v>
      </c>
      <c r="U60" s="1"/>
      <c r="V60" s="5">
        <f t="shared" si="45"/>
        <v>3.9061043995557436E-4</v>
      </c>
      <c r="W60" s="1"/>
      <c r="X60" s="1">
        <f t="shared" si="46"/>
        <v>-1199.8599999999999</v>
      </c>
      <c r="Y60" s="1"/>
      <c r="Z60" s="5">
        <f t="shared" si="47"/>
        <v>-0.9917345808605954</v>
      </c>
    </row>
    <row r="61" spans="1:26" s="24" customFormat="1" hidden="1" outlineLevel="2" x14ac:dyDescent="0.25">
      <c r="A61" s="27"/>
      <c r="B61" s="11" t="str">
        <f>CONCATENATE("          ", "6277", " - ", "EMPLOYEE APPRECIATION")</f>
        <v xml:space="preserve">          6277 - EMPLOYEE APPRECIATION</v>
      </c>
      <c r="C61" s="11"/>
      <c r="D61" s="7">
        <v>10</v>
      </c>
      <c r="E61" s="2"/>
      <c r="F61" s="6">
        <f t="shared" si="40"/>
        <v>1.385617100510309E-4</v>
      </c>
      <c r="G61" s="2"/>
      <c r="H61" s="7">
        <v>257.14999999999998</v>
      </c>
      <c r="I61" s="2"/>
      <c r="J61" s="6">
        <f t="shared" si="41"/>
        <v>6.0224241209105096E-4</v>
      </c>
      <c r="K61" s="2"/>
      <c r="L61" s="7">
        <f t="shared" si="42"/>
        <v>-247.14999999999998</v>
      </c>
      <c r="M61" s="2"/>
      <c r="N61" s="6">
        <f t="shared" si="43"/>
        <v>-0.96111219132801862</v>
      </c>
      <c r="O61" s="11"/>
      <c r="P61" s="7">
        <v>10</v>
      </c>
      <c r="Q61" s="2"/>
      <c r="R61" s="6">
        <f t="shared" si="44"/>
        <v>5.1489593953062075E-5</v>
      </c>
      <c r="S61" s="2"/>
      <c r="T61" s="7">
        <v>1209.8599999999999</v>
      </c>
      <c r="U61" s="2"/>
      <c r="V61" s="6">
        <f t="shared" si="45"/>
        <v>3.9061043995557436E-4</v>
      </c>
      <c r="W61" s="2"/>
      <c r="X61" s="7">
        <f t="shared" si="46"/>
        <v>-1199.8599999999999</v>
      </c>
      <c r="Y61" s="2"/>
      <c r="Z61" s="6">
        <f t="shared" si="47"/>
        <v>-0.9917345808605954</v>
      </c>
    </row>
    <row r="62" spans="1:26" s="25" customFormat="1" outlineLevel="1" collapsed="1" x14ac:dyDescent="0.25">
      <c r="A62" s="26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SUM(OSRRefD22_8x_0)</f>
        <v>297.93</v>
      </c>
      <c r="E62" s="1"/>
      <c r="F62" s="5">
        <f t="shared" si="40"/>
        <v>4.128169027550364E-3</v>
      </c>
      <c r="G62" s="1"/>
      <c r="H62" s="1">
        <f>SUM(OSRRefH22_8x_0)</f>
        <v>2709.51</v>
      </c>
      <c r="I62" s="1"/>
      <c r="J62" s="5">
        <f t="shared" si="41"/>
        <v>6.3456419909967872E-3</v>
      </c>
      <c r="K62" s="1"/>
      <c r="L62" s="1">
        <f t="shared" si="42"/>
        <v>-2411.5800000000004</v>
      </c>
      <c r="M62" s="1"/>
      <c r="N62" s="5">
        <f t="shared" si="43"/>
        <v>-0.89004284907603226</v>
      </c>
      <c r="O62" s="13"/>
      <c r="P62" s="1">
        <f>SUM(OSRRefP22_8x_0)</f>
        <v>4373.62</v>
      </c>
      <c r="Q62" s="1"/>
      <c r="R62" s="5">
        <f t="shared" si="44"/>
        <v>2.2519591790499137E-2</v>
      </c>
      <c r="S62" s="1"/>
      <c r="T62" s="1">
        <f>SUM(OSRRefT22_8x_0)</f>
        <v>14883.009999999998</v>
      </c>
      <c r="U62" s="1"/>
      <c r="V62" s="5">
        <f t="shared" si="45"/>
        <v>4.8050675978734839E-3</v>
      </c>
      <c r="W62" s="1"/>
      <c r="X62" s="1">
        <f t="shared" si="46"/>
        <v>-10509.39</v>
      </c>
      <c r="Y62" s="1"/>
      <c r="Z62" s="5">
        <f t="shared" si="47"/>
        <v>-0.70613336952672878</v>
      </c>
    </row>
    <row r="63" spans="1:26" s="24" customFormat="1" hidden="1" outlineLevel="2" x14ac:dyDescent="0.25">
      <c r="A63" s="27"/>
      <c r="B63" s="11" t="str">
        <f>CONCATENATE("          ", "6351", " - ", "EQUIPMENT RENTAL")</f>
        <v xml:space="preserve">          6351 - EQUIPMENT RENTAL</v>
      </c>
      <c r="C63" s="11"/>
      <c r="D63" s="7">
        <v>297.93</v>
      </c>
      <c r="E63" s="2"/>
      <c r="F63" s="6">
        <f t="shared" si="40"/>
        <v>4.128169027550364E-3</v>
      </c>
      <c r="G63" s="2"/>
      <c r="H63" s="7">
        <v>2709.51</v>
      </c>
      <c r="I63" s="2"/>
      <c r="J63" s="6">
        <f t="shared" si="41"/>
        <v>6.3456419909967872E-3</v>
      </c>
      <c r="K63" s="2"/>
      <c r="L63" s="7">
        <f t="shared" si="42"/>
        <v>-2411.5800000000004</v>
      </c>
      <c r="M63" s="2"/>
      <c r="N63" s="6">
        <f t="shared" si="43"/>
        <v>-0.89004284907603226</v>
      </c>
      <c r="O63" s="11"/>
      <c r="P63" s="7">
        <v>4373.62</v>
      </c>
      <c r="Q63" s="2"/>
      <c r="R63" s="6">
        <f t="shared" si="44"/>
        <v>2.2519591790499137E-2</v>
      </c>
      <c r="S63" s="2"/>
      <c r="T63" s="7">
        <v>14883.009999999998</v>
      </c>
      <c r="U63" s="2"/>
      <c r="V63" s="6">
        <f t="shared" si="45"/>
        <v>4.8050675978734839E-3</v>
      </c>
      <c r="W63" s="2"/>
      <c r="X63" s="7">
        <f t="shared" si="46"/>
        <v>-10509.39</v>
      </c>
      <c r="Y63" s="2"/>
      <c r="Z63" s="6">
        <f t="shared" si="47"/>
        <v>-0.70613336952672878</v>
      </c>
    </row>
    <row r="64" spans="1:26" s="25" customFormat="1" outlineLevel="1" collapsed="1" x14ac:dyDescent="0.25">
      <c r="A64" s="26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SUM(OSRRefD22_9x_0)</f>
        <v>0</v>
      </c>
      <c r="E64" s="1"/>
      <c r="F64" s="5">
        <f t="shared" si="40"/>
        <v>0</v>
      </c>
      <c r="G64" s="1"/>
      <c r="H64" s="1">
        <f>SUM(OSRRefH22_9x_0)</f>
        <v>0</v>
      </c>
      <c r="I64" s="1"/>
      <c r="J64" s="5">
        <f t="shared" si="41"/>
        <v>0</v>
      </c>
      <c r="K64" s="1"/>
      <c r="L64" s="1">
        <f t="shared" si="42"/>
        <v>0</v>
      </c>
      <c r="M64" s="1"/>
      <c r="N64" s="5">
        <f t="shared" si="43"/>
        <v>0</v>
      </c>
      <c r="O64" s="13"/>
      <c r="P64" s="1">
        <f>SUM(OSRRefP22_9x_0)</f>
        <v>-5.41</v>
      </c>
      <c r="Q64" s="1"/>
      <c r="R64" s="5">
        <f t="shared" si="44"/>
        <v>-2.7855870328606584E-5</v>
      </c>
      <c r="S64" s="1"/>
      <c r="T64" s="1">
        <f>SUM(OSRRefT22_9x_0)</f>
        <v>0</v>
      </c>
      <c r="U64" s="1"/>
      <c r="V64" s="5">
        <f t="shared" si="45"/>
        <v>0</v>
      </c>
      <c r="W64" s="1"/>
      <c r="X64" s="1">
        <f t="shared" si="46"/>
        <v>-5.41</v>
      </c>
      <c r="Y64" s="1"/>
      <c r="Z64" s="5">
        <f t="shared" si="47"/>
        <v>0</v>
      </c>
    </row>
    <row r="65" spans="1:26" s="24" customFormat="1" hidden="1" outlineLevel="2" x14ac:dyDescent="0.25">
      <c r="A65" s="27"/>
      <c r="B65" s="11" t="str">
        <f>CONCATENATE("          ", "6307", " - ", "POSTAGE")</f>
        <v xml:space="preserve">          6307 - POSTAGE</v>
      </c>
      <c r="C65" s="11"/>
      <c r="D65" s="7"/>
      <c r="E65" s="2"/>
      <c r="F65" s="6">
        <f t="shared" si="40"/>
        <v>0</v>
      </c>
      <c r="G65" s="2"/>
      <c r="H65" s="7"/>
      <c r="I65" s="2"/>
      <c r="J65" s="6">
        <f t="shared" si="41"/>
        <v>0</v>
      </c>
      <c r="K65" s="2"/>
      <c r="L65" s="7">
        <f t="shared" si="42"/>
        <v>0</v>
      </c>
      <c r="M65" s="2"/>
      <c r="N65" s="6">
        <f t="shared" si="43"/>
        <v>0</v>
      </c>
      <c r="O65" s="11"/>
      <c r="P65" s="7">
        <v>-5.41</v>
      </c>
      <c r="Q65" s="2"/>
      <c r="R65" s="6">
        <f t="shared" si="44"/>
        <v>-2.7855870328606584E-5</v>
      </c>
      <c r="S65" s="2"/>
      <c r="T65" s="7"/>
      <c r="U65" s="2"/>
      <c r="V65" s="6">
        <f t="shared" si="45"/>
        <v>0</v>
      </c>
      <c r="W65" s="2"/>
      <c r="X65" s="7">
        <f t="shared" si="46"/>
        <v>-5.41</v>
      </c>
      <c r="Y65" s="2"/>
      <c r="Z65" s="6">
        <f t="shared" si="47"/>
        <v>0</v>
      </c>
    </row>
    <row r="66" spans="1:26" s="25" customFormat="1" outlineLevel="1" collapsed="1" x14ac:dyDescent="0.25">
      <c r="A66" s="26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SUM(OSRRefD22_10x_0)</f>
        <v>459</v>
      </c>
      <c r="E66" s="1"/>
      <c r="F66" s="5">
        <f t="shared" si="40"/>
        <v>6.3599824913423185E-3</v>
      </c>
      <c r="G66" s="1"/>
      <c r="H66" s="1">
        <f>SUM(OSRRefH22_10x_0)</f>
        <v>4498.32</v>
      </c>
      <c r="I66" s="1"/>
      <c r="J66" s="5">
        <f t="shared" si="41"/>
        <v>1.0535014921864346E-2</v>
      </c>
      <c r="K66" s="1"/>
      <c r="L66" s="1">
        <f t="shared" si="42"/>
        <v>-4039.3199999999997</v>
      </c>
      <c r="M66" s="1"/>
      <c r="N66" s="5">
        <f t="shared" si="43"/>
        <v>-0.89796190577815715</v>
      </c>
      <c r="O66" s="13"/>
      <c r="P66" s="1">
        <f>SUM(OSRRefP22_10x_0)</f>
        <v>4680.45</v>
      </c>
      <c r="Q66" s="1"/>
      <c r="R66" s="5">
        <f t="shared" si="44"/>
        <v>2.4099447001760938E-2</v>
      </c>
      <c r="S66" s="1"/>
      <c r="T66" s="1">
        <f>SUM(OSRRefT22_10x_0)</f>
        <v>65575.510000000009</v>
      </c>
      <c r="U66" s="1"/>
      <c r="V66" s="5">
        <f t="shared" si="45"/>
        <v>2.1171440341371046E-2</v>
      </c>
      <c r="W66" s="1"/>
      <c r="X66" s="1">
        <f t="shared" si="46"/>
        <v>-60895.060000000012</v>
      </c>
      <c r="Y66" s="1"/>
      <c r="Z66" s="5">
        <f t="shared" si="47"/>
        <v>-0.92862503089949289</v>
      </c>
    </row>
    <row r="67" spans="1:26" s="24" customFormat="1" hidden="1" outlineLevel="2" x14ac:dyDescent="0.25">
      <c r="A67" s="27"/>
      <c r="B67" s="11" t="str">
        <f>CONCATENATE("          ", "6269", " - ", "ENTERTAINMENT")</f>
        <v xml:space="preserve">          6269 - ENTERTAINMENT</v>
      </c>
      <c r="C67" s="11"/>
      <c r="D67" s="7"/>
      <c r="E67" s="2"/>
      <c r="F67" s="6">
        <f t="shared" si="40"/>
        <v>0</v>
      </c>
      <c r="G67" s="2"/>
      <c r="H67" s="7">
        <v>1250</v>
      </c>
      <c r="I67" s="2"/>
      <c r="J67" s="6">
        <f t="shared" si="41"/>
        <v>2.9274859619436663E-3</v>
      </c>
      <c r="K67" s="2"/>
      <c r="L67" s="7">
        <f t="shared" si="42"/>
        <v>-1250</v>
      </c>
      <c r="M67" s="2"/>
      <c r="N67" s="6">
        <f t="shared" si="43"/>
        <v>-1</v>
      </c>
      <c r="O67" s="11"/>
      <c r="P67" s="7"/>
      <c r="Q67" s="2"/>
      <c r="R67" s="6">
        <f t="shared" si="44"/>
        <v>0</v>
      </c>
      <c r="S67" s="2"/>
      <c r="T67" s="7">
        <v>7350</v>
      </c>
      <c r="U67" s="2"/>
      <c r="V67" s="6">
        <f t="shared" si="45"/>
        <v>2.3729908697481296E-3</v>
      </c>
      <c r="W67" s="2"/>
      <c r="X67" s="7">
        <f t="shared" si="46"/>
        <v>-7350</v>
      </c>
      <c r="Y67" s="2"/>
      <c r="Z67" s="6">
        <f t="shared" si="47"/>
        <v>-1</v>
      </c>
    </row>
    <row r="68" spans="1:26" s="24" customFormat="1" hidden="1" outlineLevel="2" x14ac:dyDescent="0.25">
      <c r="A68" s="27"/>
      <c r="B68" s="11" t="str">
        <f>CONCATENATE("          ", "6279", " - ", "GENERAL EXPENSE")</f>
        <v xml:space="preserve">          6279 - GENERAL EXPENSE</v>
      </c>
      <c r="C68" s="11"/>
      <c r="D68" s="7">
        <v>459</v>
      </c>
      <c r="E68" s="2"/>
      <c r="F68" s="6">
        <f t="shared" si="40"/>
        <v>6.3599824913423185E-3</v>
      </c>
      <c r="G68" s="2"/>
      <c r="H68" s="7">
        <v>3248.32</v>
      </c>
      <c r="I68" s="2"/>
      <c r="J68" s="6">
        <f t="shared" si="41"/>
        <v>7.6075289599206808E-3</v>
      </c>
      <c r="K68" s="2"/>
      <c r="L68" s="7">
        <f t="shared" si="42"/>
        <v>-2789.32</v>
      </c>
      <c r="M68" s="2"/>
      <c r="N68" s="6">
        <f t="shared" si="43"/>
        <v>-0.85869618756772736</v>
      </c>
      <c r="O68" s="11"/>
      <c r="P68" s="7">
        <v>4680.45</v>
      </c>
      <c r="Q68" s="2"/>
      <c r="R68" s="6">
        <f t="shared" si="44"/>
        <v>2.4099447001760938E-2</v>
      </c>
      <c r="S68" s="2"/>
      <c r="T68" s="7">
        <v>58225.51</v>
      </c>
      <c r="U68" s="2"/>
      <c r="V68" s="6">
        <f t="shared" si="45"/>
        <v>1.8798449471622913E-2</v>
      </c>
      <c r="W68" s="2"/>
      <c r="X68" s="7">
        <f t="shared" si="46"/>
        <v>-53545.060000000005</v>
      </c>
      <c r="Y68" s="2"/>
      <c r="Z68" s="6">
        <f t="shared" si="47"/>
        <v>-0.91961513089365821</v>
      </c>
    </row>
    <row r="69" spans="1:26" s="25" customFormat="1" outlineLevel="1" collapsed="1" x14ac:dyDescent="0.25">
      <c r="A69" s="26"/>
      <c r="B69" s="13" t="str">
        <f>CONCATENATE("     ","Insurance                                         ")</f>
        <v xml:space="preserve">     Insurance                                         </v>
      </c>
      <c r="C69" s="13"/>
      <c r="D69" s="1">
        <f>SUM(OSRRefD22_11x_0)</f>
        <v>4240.13</v>
      </c>
      <c r="E69" s="1"/>
      <c r="F69" s="5">
        <f t="shared" ref="F69:F80" si="48">IF(D$12=0,0,D69/D$12)</f>
        <v>5.8751966363867765E-2</v>
      </c>
      <c r="G69" s="1"/>
      <c r="H69" s="1">
        <f>SUM(OSRRefH22_11x_0)</f>
        <v>4240.13</v>
      </c>
      <c r="I69" s="1"/>
      <c r="J69" s="5">
        <f t="shared" ref="J69:J80" si="49">IF(H$12=0,0,H69/H$12)</f>
        <v>9.9303368414529591E-3</v>
      </c>
      <c r="K69" s="1"/>
      <c r="L69" s="1">
        <f t="shared" ref="L69:L80" si="50">+D69-H69</f>
        <v>0</v>
      </c>
      <c r="M69" s="1"/>
      <c r="N69" s="5">
        <f t="shared" ref="N69:N80" si="51">IF(H69=0,0,L69/H69)</f>
        <v>0</v>
      </c>
      <c r="O69" s="13"/>
      <c r="P69" s="1">
        <f>SUM(OSRRefP22_11x_0)</f>
        <v>31552.780000000002</v>
      </c>
      <c r="Q69" s="1"/>
      <c r="R69" s="5">
        <f t="shared" ref="R69:R80" si="52">IF(P$12=0,0,P69/P$12)</f>
        <v>0.16246398302902981</v>
      </c>
      <c r="S69" s="1"/>
      <c r="T69" s="1">
        <f>SUM(OSRRefT22_11x_0)</f>
        <v>25440.78</v>
      </c>
      <c r="U69" s="1"/>
      <c r="V69" s="5">
        <f t="shared" ref="V69:V80" si="53">IF(T$12=0,0,T69/T$12)</f>
        <v>8.2137059400368452E-3</v>
      </c>
      <c r="W69" s="1"/>
      <c r="X69" s="1">
        <f t="shared" ref="X69:X80" si="54">+P69-T69</f>
        <v>6112.0000000000036</v>
      </c>
      <c r="Y69" s="1"/>
      <c r="Z69" s="5">
        <f t="shared" ref="Z69:Z80" si="55">IF(T69=0,0,X69/T69)</f>
        <v>0.24024420634901933</v>
      </c>
    </row>
    <row r="70" spans="1:26" s="24" customFormat="1" hidden="1" outlineLevel="2" x14ac:dyDescent="0.25">
      <c r="A70" s="27"/>
      <c r="B70" s="11" t="str">
        <f>CONCATENATE("          ", "6314", " - ", "LIABILITY INSURANCE")</f>
        <v xml:space="preserve">          6314 - LIABILITY INSURANCE</v>
      </c>
      <c r="C70" s="11"/>
      <c r="D70" s="7">
        <v>4240.13</v>
      </c>
      <c r="E70" s="2"/>
      <c r="F70" s="6">
        <f t="shared" si="48"/>
        <v>5.8751966363867765E-2</v>
      </c>
      <c r="G70" s="2"/>
      <c r="H70" s="7">
        <v>4240.13</v>
      </c>
      <c r="I70" s="2"/>
      <c r="J70" s="6">
        <f t="shared" si="49"/>
        <v>9.9303368414529591E-3</v>
      </c>
      <c r="K70" s="2"/>
      <c r="L70" s="7">
        <f t="shared" si="50"/>
        <v>0</v>
      </c>
      <c r="M70" s="2"/>
      <c r="N70" s="6">
        <f t="shared" si="51"/>
        <v>0</v>
      </c>
      <c r="O70" s="11"/>
      <c r="P70" s="7">
        <v>31552.780000000002</v>
      </c>
      <c r="Q70" s="2"/>
      <c r="R70" s="6">
        <f t="shared" si="52"/>
        <v>0.16246398302902981</v>
      </c>
      <c r="S70" s="2"/>
      <c r="T70" s="7">
        <v>25440.78</v>
      </c>
      <c r="U70" s="2"/>
      <c r="V70" s="6">
        <f t="shared" si="53"/>
        <v>8.2137059400368452E-3</v>
      </c>
      <c r="W70" s="2"/>
      <c r="X70" s="7">
        <f t="shared" si="54"/>
        <v>6112.0000000000036</v>
      </c>
      <c r="Y70" s="2"/>
      <c r="Z70" s="6">
        <f t="shared" si="55"/>
        <v>0.24024420634901933</v>
      </c>
    </row>
    <row r="71" spans="1:26" s="25" customFormat="1" outlineLevel="1" collapsed="1" x14ac:dyDescent="0.25">
      <c r="A71" s="26"/>
      <c r="B71" s="13" t="str">
        <f>CONCATENATE("     ","Interest                                          ")</f>
        <v xml:space="preserve">     Interest                                          </v>
      </c>
      <c r="C71" s="13"/>
      <c r="D71" s="1">
        <f>SUM(OSRRefD22_12x_0)</f>
        <v>7510</v>
      </c>
      <c r="E71" s="1"/>
      <c r="F71" s="5">
        <f t="shared" si="48"/>
        <v>0.10405984424832421</v>
      </c>
      <c r="G71" s="1"/>
      <c r="H71" s="1">
        <f>SUM(OSRRefH22_12x_0)</f>
        <v>7754</v>
      </c>
      <c r="I71" s="1"/>
      <c r="J71" s="5">
        <f t="shared" si="49"/>
        <v>1.815978091912895E-2</v>
      </c>
      <c r="K71" s="1"/>
      <c r="L71" s="1">
        <f t="shared" si="50"/>
        <v>-244</v>
      </c>
      <c r="M71" s="1"/>
      <c r="N71" s="5">
        <f t="shared" si="51"/>
        <v>-3.1467629610523601E-2</v>
      </c>
      <c r="O71" s="13"/>
      <c r="P71" s="1">
        <f>SUM(OSRRefP22_12x_0)</f>
        <v>44573.15</v>
      </c>
      <c r="Q71" s="1"/>
      <c r="R71" s="5">
        <f t="shared" si="52"/>
        <v>0.22950533947089291</v>
      </c>
      <c r="S71" s="1"/>
      <c r="T71" s="1">
        <f>SUM(OSRRefT22_12x_0)</f>
        <v>46131.049999999996</v>
      </c>
      <c r="U71" s="1"/>
      <c r="V71" s="5">
        <f t="shared" si="53"/>
        <v>1.4893681695495842E-2</v>
      </c>
      <c r="W71" s="1"/>
      <c r="X71" s="1">
        <f t="shared" si="54"/>
        <v>-1557.8999999999942</v>
      </c>
      <c r="Y71" s="1"/>
      <c r="Z71" s="5">
        <f t="shared" si="55"/>
        <v>-3.3771180148728333E-2</v>
      </c>
    </row>
    <row r="72" spans="1:26" s="24" customFormat="1" hidden="1" outlineLevel="2" x14ac:dyDescent="0.25">
      <c r="A72" s="27"/>
      <c r="B72" s="11" t="str">
        <f>CONCATENATE("          ", "6401", " - ", "INTEREST EXPENSE")</f>
        <v xml:space="preserve">          6401 - INTEREST EXPENSE</v>
      </c>
      <c r="C72" s="11"/>
      <c r="D72" s="7">
        <v>7510</v>
      </c>
      <c r="E72" s="2"/>
      <c r="F72" s="6">
        <f t="shared" si="48"/>
        <v>0.10405984424832421</v>
      </c>
      <c r="G72" s="2"/>
      <c r="H72" s="7">
        <v>7754</v>
      </c>
      <c r="I72" s="2"/>
      <c r="J72" s="6">
        <f t="shared" si="49"/>
        <v>1.815978091912895E-2</v>
      </c>
      <c r="K72" s="2"/>
      <c r="L72" s="7">
        <f t="shared" si="50"/>
        <v>-244</v>
      </c>
      <c r="M72" s="2"/>
      <c r="N72" s="6">
        <f t="shared" si="51"/>
        <v>-3.1467629610523601E-2</v>
      </c>
      <c r="O72" s="11"/>
      <c r="P72" s="7">
        <v>44573.15</v>
      </c>
      <c r="Q72" s="2"/>
      <c r="R72" s="6">
        <f t="shared" si="52"/>
        <v>0.22950533947089291</v>
      </c>
      <c r="S72" s="2"/>
      <c r="T72" s="7">
        <v>46131.049999999996</v>
      </c>
      <c r="U72" s="2"/>
      <c r="V72" s="6">
        <f t="shared" si="53"/>
        <v>1.4893681695495842E-2</v>
      </c>
      <c r="W72" s="2"/>
      <c r="X72" s="7">
        <f t="shared" si="54"/>
        <v>-1557.8999999999942</v>
      </c>
      <c r="Y72" s="2"/>
      <c r="Z72" s="6">
        <f t="shared" si="55"/>
        <v>-3.3771180148728333E-2</v>
      </c>
    </row>
    <row r="73" spans="1:26" s="25" customFormat="1" outlineLevel="1" collapsed="1" x14ac:dyDescent="0.25">
      <c r="A73" s="26"/>
      <c r="B73" s="13" t="str">
        <f>CONCATENATE("     ","Professional Services                             ")</f>
        <v xml:space="preserve">     Professional Services                             </v>
      </c>
      <c r="C73" s="13"/>
      <c r="D73" s="1">
        <f>SUM(OSRRefD22_13x_0)</f>
        <v>0</v>
      </c>
      <c r="E73" s="1"/>
      <c r="F73" s="5">
        <f t="shared" si="48"/>
        <v>0</v>
      </c>
      <c r="G73" s="1"/>
      <c r="H73" s="1">
        <f>SUM(OSRRefH22_13x_0)</f>
        <v>0</v>
      </c>
      <c r="I73" s="1"/>
      <c r="J73" s="5">
        <f t="shared" si="49"/>
        <v>0</v>
      </c>
      <c r="K73" s="1"/>
      <c r="L73" s="1">
        <f t="shared" si="50"/>
        <v>0</v>
      </c>
      <c r="M73" s="1"/>
      <c r="N73" s="5">
        <f t="shared" si="51"/>
        <v>0</v>
      </c>
      <c r="O73" s="13"/>
      <c r="P73" s="1">
        <f>SUM(OSRRefP22_13x_0)</f>
        <v>0</v>
      </c>
      <c r="Q73" s="1"/>
      <c r="R73" s="5">
        <f t="shared" si="52"/>
        <v>0</v>
      </c>
      <c r="S73" s="1"/>
      <c r="T73" s="1">
        <f>SUM(OSRRefT22_13x_0)</f>
        <v>125</v>
      </c>
      <c r="U73" s="1"/>
      <c r="V73" s="5">
        <f t="shared" si="53"/>
        <v>4.0356987580750499E-5</v>
      </c>
      <c r="W73" s="1"/>
      <c r="X73" s="1">
        <f t="shared" si="54"/>
        <v>-125</v>
      </c>
      <c r="Y73" s="1"/>
      <c r="Z73" s="5">
        <f t="shared" si="55"/>
        <v>-1</v>
      </c>
    </row>
    <row r="74" spans="1:26" s="24" customFormat="1" hidden="1" outlineLevel="2" x14ac:dyDescent="0.25">
      <c r="A74" s="27"/>
      <c r="B74" s="11" t="str">
        <f>CONCATENATE("          ", "6336", " - ", "PROFESSIONAL SERVICES")</f>
        <v xml:space="preserve">          6336 - PROFESSIONAL SERVICES</v>
      </c>
      <c r="C74" s="11"/>
      <c r="D74" s="7"/>
      <c r="E74" s="2"/>
      <c r="F74" s="6">
        <f t="shared" si="48"/>
        <v>0</v>
      </c>
      <c r="G74" s="2"/>
      <c r="H74" s="7"/>
      <c r="I74" s="2"/>
      <c r="J74" s="6">
        <f t="shared" si="49"/>
        <v>0</v>
      </c>
      <c r="K74" s="2"/>
      <c r="L74" s="7">
        <f t="shared" si="50"/>
        <v>0</v>
      </c>
      <c r="M74" s="2"/>
      <c r="N74" s="6">
        <f t="shared" si="51"/>
        <v>0</v>
      </c>
      <c r="O74" s="11"/>
      <c r="P74" s="7"/>
      <c r="Q74" s="2"/>
      <c r="R74" s="6">
        <f t="shared" si="52"/>
        <v>0</v>
      </c>
      <c r="S74" s="2"/>
      <c r="T74" s="7">
        <v>125</v>
      </c>
      <c r="U74" s="2"/>
      <c r="V74" s="6">
        <f t="shared" si="53"/>
        <v>4.0356987580750499E-5</v>
      </c>
      <c r="W74" s="2"/>
      <c r="X74" s="7">
        <f t="shared" si="54"/>
        <v>-125</v>
      </c>
      <c r="Y74" s="2"/>
      <c r="Z74" s="6">
        <f t="shared" si="55"/>
        <v>-1</v>
      </c>
    </row>
    <row r="75" spans="1:26" s="25" customFormat="1" outlineLevel="1" collapsed="1" x14ac:dyDescent="0.25">
      <c r="A75" s="26"/>
      <c r="B75" s="13" t="str">
        <f>CONCATENATE("     ","Rent                                              ")</f>
        <v xml:space="preserve">     Rent                                              </v>
      </c>
      <c r="C75" s="13"/>
      <c r="D75" s="1">
        <f>SUM(OSRRefD22_14x_0)</f>
        <v>5550</v>
      </c>
      <c r="E75" s="1"/>
      <c r="F75" s="5">
        <f t="shared" si="48"/>
        <v>7.6901749078322146E-2</v>
      </c>
      <c r="G75" s="1"/>
      <c r="H75" s="1">
        <f>SUM(OSRRefH22_14x_0)</f>
        <v>1850</v>
      </c>
      <c r="I75" s="1"/>
      <c r="J75" s="5">
        <f t="shared" si="49"/>
        <v>4.3326792236766266E-3</v>
      </c>
      <c r="K75" s="1"/>
      <c r="L75" s="1">
        <f t="shared" si="50"/>
        <v>3700</v>
      </c>
      <c r="M75" s="1"/>
      <c r="N75" s="5">
        <f t="shared" si="51"/>
        <v>2</v>
      </c>
      <c r="O75" s="13"/>
      <c r="P75" s="1">
        <f>SUM(OSRRefP22_14x_0)</f>
        <v>11100</v>
      </c>
      <c r="Q75" s="1"/>
      <c r="R75" s="5">
        <f t="shared" si="52"/>
        <v>5.7153449287898908E-2</v>
      </c>
      <c r="S75" s="1"/>
      <c r="T75" s="1">
        <f>SUM(OSRRefT22_14x_0)</f>
        <v>11100</v>
      </c>
      <c r="U75" s="1"/>
      <c r="V75" s="5">
        <f t="shared" si="53"/>
        <v>3.5837004971706445E-3</v>
      </c>
      <c r="W75" s="1"/>
      <c r="X75" s="1">
        <f t="shared" si="54"/>
        <v>0</v>
      </c>
      <c r="Y75" s="1"/>
      <c r="Z75" s="5">
        <f t="shared" si="55"/>
        <v>0</v>
      </c>
    </row>
    <row r="76" spans="1:26" s="24" customFormat="1" hidden="1" outlineLevel="2" x14ac:dyDescent="0.25">
      <c r="A76" s="27"/>
      <c r="B76" s="11" t="str">
        <f>CONCATENATE("          ", "6273", " - ", "RENT")</f>
        <v xml:space="preserve">          6273 - RENT</v>
      </c>
      <c r="C76" s="11"/>
      <c r="D76" s="7">
        <v>5550</v>
      </c>
      <c r="E76" s="2"/>
      <c r="F76" s="6">
        <f t="shared" si="48"/>
        <v>7.6901749078322146E-2</v>
      </c>
      <c r="G76" s="2"/>
      <c r="H76" s="7">
        <v>1850</v>
      </c>
      <c r="I76" s="2"/>
      <c r="J76" s="6">
        <f t="shared" si="49"/>
        <v>4.3326792236766266E-3</v>
      </c>
      <c r="K76" s="2"/>
      <c r="L76" s="7">
        <f t="shared" si="50"/>
        <v>3700</v>
      </c>
      <c r="M76" s="2"/>
      <c r="N76" s="6">
        <f t="shared" si="51"/>
        <v>2</v>
      </c>
      <c r="O76" s="11"/>
      <c r="P76" s="7">
        <v>11100</v>
      </c>
      <c r="Q76" s="2"/>
      <c r="R76" s="6">
        <f t="shared" si="52"/>
        <v>5.7153449287898908E-2</v>
      </c>
      <c r="S76" s="2"/>
      <c r="T76" s="7">
        <v>11100</v>
      </c>
      <c r="U76" s="2"/>
      <c r="V76" s="6">
        <f t="shared" si="53"/>
        <v>3.5837004971706445E-3</v>
      </c>
      <c r="W76" s="2"/>
      <c r="X76" s="7">
        <f t="shared" si="54"/>
        <v>0</v>
      </c>
      <c r="Y76" s="2"/>
      <c r="Z76" s="6">
        <f t="shared" si="55"/>
        <v>0</v>
      </c>
    </row>
    <row r="77" spans="1:26" s="25" customFormat="1" outlineLevel="1" collapsed="1" x14ac:dyDescent="0.25">
      <c r="A77" s="26"/>
      <c r="B77" s="13" t="str">
        <f>CONCATENATE("     ","Repair and Maintenance                            ")</f>
        <v xml:space="preserve">     Repair and Maintenance                            </v>
      </c>
      <c r="C77" s="13"/>
      <c r="D77" s="1">
        <f>SUM(OSRRefD22_15x_0)</f>
        <v>1686.72</v>
      </c>
      <c r="E77" s="1"/>
      <c r="F77" s="5">
        <f t="shared" si="48"/>
        <v>2.3371480757727485E-2</v>
      </c>
      <c r="G77" s="1"/>
      <c r="H77" s="1">
        <f>SUM(OSRRefH22_15x_0)</f>
        <v>25734.67</v>
      </c>
      <c r="I77" s="1"/>
      <c r="J77" s="5">
        <f t="shared" si="49"/>
        <v>6.0270308128202242E-2</v>
      </c>
      <c r="K77" s="1"/>
      <c r="L77" s="1">
        <f t="shared" si="50"/>
        <v>-24047.949999999997</v>
      </c>
      <c r="M77" s="1"/>
      <c r="N77" s="5">
        <f t="shared" si="51"/>
        <v>-0.93445729049566206</v>
      </c>
      <c r="O77" s="13"/>
      <c r="P77" s="1">
        <f>SUM(OSRRefP22_15x_0)</f>
        <v>19858.980000000003</v>
      </c>
      <c r="Q77" s="1"/>
      <c r="R77" s="5">
        <f t="shared" si="52"/>
        <v>0.1022530816521981</v>
      </c>
      <c r="S77" s="1"/>
      <c r="T77" s="1">
        <f>SUM(OSRRefT22_15x_0)</f>
        <v>144450.72</v>
      </c>
      <c r="U77" s="1"/>
      <c r="V77" s="5">
        <f t="shared" si="53"/>
        <v>4.6636767304563745E-2</v>
      </c>
      <c r="W77" s="1"/>
      <c r="X77" s="1">
        <f t="shared" si="54"/>
        <v>-124591.73999999999</v>
      </c>
      <c r="Y77" s="1"/>
      <c r="Z77" s="5">
        <f t="shared" si="55"/>
        <v>-0.86252072679180825</v>
      </c>
    </row>
    <row r="78" spans="1:26" s="24" customFormat="1" hidden="1" outlineLevel="2" x14ac:dyDescent="0.25">
      <c r="A78" s="27"/>
      <c r="B78" s="11" t="str">
        <f>CONCATENATE("          ", "6371", " - ", "COMPUTER SOFTWARE MAINTENANCE")</f>
        <v xml:space="preserve">          6371 - COMPUTER SOFTWARE MAINTENANCE</v>
      </c>
      <c r="C78" s="11"/>
      <c r="D78" s="7"/>
      <c r="E78" s="2"/>
      <c r="F78" s="6">
        <f t="shared" si="48"/>
        <v>0</v>
      </c>
      <c r="G78" s="2"/>
      <c r="H78" s="7"/>
      <c r="I78" s="2"/>
      <c r="J78" s="6">
        <f t="shared" si="49"/>
        <v>0</v>
      </c>
      <c r="K78" s="2"/>
      <c r="L78" s="7">
        <f t="shared" si="50"/>
        <v>0</v>
      </c>
      <c r="M78" s="2"/>
      <c r="N78" s="6">
        <f t="shared" si="51"/>
        <v>0</v>
      </c>
      <c r="O78" s="11"/>
      <c r="P78" s="7"/>
      <c r="Q78" s="2"/>
      <c r="R78" s="6">
        <f t="shared" si="52"/>
        <v>0</v>
      </c>
      <c r="S78" s="2"/>
      <c r="T78" s="7">
        <v>10932.69</v>
      </c>
      <c r="U78" s="2"/>
      <c r="V78" s="6">
        <f t="shared" si="53"/>
        <v>3.5296834764335615E-3</v>
      </c>
      <c r="W78" s="2"/>
      <c r="X78" s="7">
        <f t="shared" si="54"/>
        <v>-10932.69</v>
      </c>
      <c r="Y78" s="2"/>
      <c r="Z78" s="6">
        <f t="shared" si="55"/>
        <v>-1</v>
      </c>
    </row>
    <row r="79" spans="1:26" s="24" customFormat="1" hidden="1" outlineLevel="2" x14ac:dyDescent="0.25">
      <c r="A79" s="27"/>
      <c r="B79" s="11" t="str">
        <f>CONCATENATE("          ", "6373", " - ", "MAINTENANCE CONTRACTS")</f>
        <v xml:space="preserve">          6373 - MAINTENANCE CONTRACTS</v>
      </c>
      <c r="C79" s="11"/>
      <c r="D79" s="7">
        <v>1244.25</v>
      </c>
      <c r="E79" s="2"/>
      <c r="F79" s="6">
        <f t="shared" si="48"/>
        <v>1.7240540773099521E-2</v>
      </c>
      <c r="G79" s="2"/>
      <c r="H79" s="7">
        <v>17255.09</v>
      </c>
      <c r="I79" s="2"/>
      <c r="J79" s="6">
        <f t="shared" si="49"/>
        <v>4.041122699765963E-2</v>
      </c>
      <c r="K79" s="2"/>
      <c r="L79" s="7">
        <f t="shared" si="50"/>
        <v>-16010.84</v>
      </c>
      <c r="M79" s="2"/>
      <c r="N79" s="6">
        <f t="shared" si="51"/>
        <v>-0.92789084264411259</v>
      </c>
      <c r="O79" s="11"/>
      <c r="P79" s="7">
        <v>11021.44</v>
      </c>
      <c r="Q79" s="2"/>
      <c r="R79" s="6">
        <f t="shared" si="52"/>
        <v>5.6748947037803657E-2</v>
      </c>
      <c r="S79" s="2"/>
      <c r="T79" s="7">
        <v>58321.619999999995</v>
      </c>
      <c r="U79" s="2"/>
      <c r="V79" s="6">
        <f t="shared" si="53"/>
        <v>1.8829479152233999E-2</v>
      </c>
      <c r="W79" s="2"/>
      <c r="X79" s="7">
        <f t="shared" si="54"/>
        <v>-47300.179999999993</v>
      </c>
      <c r="Y79" s="2"/>
      <c r="Z79" s="6">
        <f t="shared" si="55"/>
        <v>-0.81102308200629536</v>
      </c>
    </row>
    <row r="80" spans="1:26" s="24" customFormat="1" hidden="1" outlineLevel="2" x14ac:dyDescent="0.25">
      <c r="A80" s="27"/>
      <c r="B80" s="11" t="str">
        <f>CONCATENATE("          ", "6375", " - ", "OUTSIDE REPAIRS &amp; MAINTENANCE")</f>
        <v xml:space="preserve">          6375 - OUTSIDE REPAIRS &amp; MAINTENANCE</v>
      </c>
      <c r="C80" s="11"/>
      <c r="D80" s="7">
        <v>442.47</v>
      </c>
      <c r="E80" s="2"/>
      <c r="F80" s="6">
        <f t="shared" si="48"/>
        <v>6.1309399846279644E-3</v>
      </c>
      <c r="G80" s="2"/>
      <c r="H80" s="7">
        <v>8479.58</v>
      </c>
      <c r="I80" s="2"/>
      <c r="J80" s="6">
        <f t="shared" si="49"/>
        <v>1.9859081130542619E-2</v>
      </c>
      <c r="K80" s="2"/>
      <c r="L80" s="7">
        <f t="shared" si="50"/>
        <v>-8037.11</v>
      </c>
      <c r="M80" s="2"/>
      <c r="N80" s="6">
        <f t="shared" si="51"/>
        <v>-0.94781934954325564</v>
      </c>
      <c r="O80" s="11"/>
      <c r="P80" s="7">
        <v>8837.5400000000009</v>
      </c>
      <c r="Q80" s="2"/>
      <c r="R80" s="6">
        <f t="shared" si="52"/>
        <v>4.5504134614394426E-2</v>
      </c>
      <c r="S80" s="2"/>
      <c r="T80" s="7">
        <v>75196.41</v>
      </c>
      <c r="U80" s="2"/>
      <c r="V80" s="6">
        <f t="shared" si="53"/>
        <v>2.4277604675896184E-2</v>
      </c>
      <c r="W80" s="2"/>
      <c r="X80" s="7">
        <f t="shared" si="54"/>
        <v>-66358.87</v>
      </c>
      <c r="Y80" s="2"/>
      <c r="Z80" s="6">
        <f t="shared" si="55"/>
        <v>-0.88247391065610703</v>
      </c>
    </row>
    <row r="81" spans="1:26" s="25" customFormat="1" outlineLevel="1" collapsed="1" x14ac:dyDescent="0.25">
      <c r="A81" s="26"/>
      <c r="B81" s="13" t="str">
        <f>CONCATENATE("     ","Royalty &amp; Commissions                             ")</f>
        <v xml:space="preserve">     Royalty &amp; Commissions                             </v>
      </c>
      <c r="C81" s="13"/>
      <c r="D81" s="1">
        <f>SUM(OSRRefD22_16x_0)</f>
        <v>0</v>
      </c>
      <c r="E81" s="1"/>
      <c r="F81" s="5">
        <f t="shared" ref="F81:F83" si="56">IF(D$12=0,0,D81/D$12)</f>
        <v>0</v>
      </c>
      <c r="G81" s="1"/>
      <c r="H81" s="1">
        <f>SUM(OSRRefH22_16x_0)</f>
        <v>18952.580000000002</v>
      </c>
      <c r="I81" s="1"/>
      <c r="J81" s="5">
        <f t="shared" ref="J81:J83" si="57">IF(H$12=0,0,H81/H$12)</f>
        <v>4.4386729514091436E-2</v>
      </c>
      <c r="K81" s="1"/>
      <c r="L81" s="1">
        <f t="shared" ref="L81:L83" si="58">+D81-H81</f>
        <v>-18952.580000000002</v>
      </c>
      <c r="M81" s="1"/>
      <c r="N81" s="5">
        <f t="shared" ref="N81:N83" si="59">IF(H81=0,0,L81/H81)</f>
        <v>-1</v>
      </c>
      <c r="O81" s="13"/>
      <c r="P81" s="1">
        <f>SUM(OSRRefP22_16x_0)</f>
        <v>0</v>
      </c>
      <c r="Q81" s="1"/>
      <c r="R81" s="5">
        <f t="shared" ref="R81:R83" si="60">IF(P$12=0,0,P81/P$12)</f>
        <v>0</v>
      </c>
      <c r="S81" s="1"/>
      <c r="T81" s="1">
        <f>SUM(OSRRefT22_16x_0)</f>
        <v>133672.18</v>
      </c>
      <c r="U81" s="1"/>
      <c r="V81" s="5">
        <f t="shared" ref="V81:V83" si="61">IF(T$12=0,0,T81/T$12)</f>
        <v>4.315685206521476E-2</v>
      </c>
      <c r="W81" s="1"/>
      <c r="X81" s="1">
        <f t="shared" ref="X81:X83" si="62">+P81-T81</f>
        <v>-133672.18</v>
      </c>
      <c r="Y81" s="1"/>
      <c r="Z81" s="5">
        <f t="shared" ref="Z81:Z83" si="63">IF(T81=0,0,X81/T81)</f>
        <v>-1</v>
      </c>
    </row>
    <row r="82" spans="1:26" s="24" customFormat="1" hidden="1" outlineLevel="2" x14ac:dyDescent="0.25">
      <c r="A82" s="27"/>
      <c r="B82" s="11" t="str">
        <f>CONCATENATE("          ", "6254", " - ", "ROYALTY &amp; COMMISSIONS")</f>
        <v xml:space="preserve">          6254 - ROYALTY &amp; COMMISSIONS</v>
      </c>
      <c r="C82" s="11"/>
      <c r="D82" s="7"/>
      <c r="E82" s="2"/>
      <c r="F82" s="6">
        <f t="shared" si="56"/>
        <v>0</v>
      </c>
      <c r="G82" s="2"/>
      <c r="H82" s="7">
        <v>8040.34</v>
      </c>
      <c r="I82" s="2"/>
      <c r="J82" s="6">
        <f t="shared" si="57"/>
        <v>1.8830385983403312E-2</v>
      </c>
      <c r="K82" s="2"/>
      <c r="L82" s="7">
        <f t="shared" si="58"/>
        <v>-8040.34</v>
      </c>
      <c r="M82" s="2"/>
      <c r="N82" s="6">
        <f t="shared" si="59"/>
        <v>-1</v>
      </c>
      <c r="O82" s="11"/>
      <c r="P82" s="7"/>
      <c r="Q82" s="2"/>
      <c r="R82" s="6">
        <f t="shared" si="60"/>
        <v>0</v>
      </c>
      <c r="S82" s="2"/>
      <c r="T82" s="7">
        <v>61027.06</v>
      </c>
      <c r="U82" s="2"/>
      <c r="V82" s="6">
        <f t="shared" si="61"/>
        <v>1.9702946420077725E-2</v>
      </c>
      <c r="W82" s="2"/>
      <c r="X82" s="7">
        <f t="shared" si="62"/>
        <v>-61027.06</v>
      </c>
      <c r="Y82" s="2"/>
      <c r="Z82" s="6">
        <f t="shared" si="63"/>
        <v>-1</v>
      </c>
    </row>
    <row r="83" spans="1:26" s="24" customFormat="1" hidden="1" outlineLevel="2" x14ac:dyDescent="0.25">
      <c r="A83" s="27"/>
      <c r="B83" s="11" t="str">
        <f>CONCATENATE("          ", "6259", " - ", "ROYALTY &amp; COMMISSIONS")</f>
        <v xml:space="preserve">          6259 - ROYALTY &amp; COMMISSIONS</v>
      </c>
      <c r="C83" s="11"/>
      <c r="D83" s="7"/>
      <c r="E83" s="2"/>
      <c r="F83" s="6">
        <f t="shared" si="56"/>
        <v>0</v>
      </c>
      <c r="G83" s="2"/>
      <c r="H83" s="7">
        <v>10912.24</v>
      </c>
      <c r="I83" s="2"/>
      <c r="J83" s="6">
        <f t="shared" si="57"/>
        <v>2.5556343530688121E-2</v>
      </c>
      <c r="K83" s="2"/>
      <c r="L83" s="7">
        <f t="shared" si="58"/>
        <v>-10912.24</v>
      </c>
      <c r="M83" s="2"/>
      <c r="N83" s="6">
        <f t="shared" si="59"/>
        <v>-1</v>
      </c>
      <c r="O83" s="11"/>
      <c r="P83" s="7"/>
      <c r="Q83" s="2"/>
      <c r="R83" s="6">
        <f t="shared" si="60"/>
        <v>0</v>
      </c>
      <c r="S83" s="2"/>
      <c r="T83" s="7">
        <v>72645.119999999995</v>
      </c>
      <c r="U83" s="2"/>
      <c r="V83" s="6">
        <f t="shared" si="61"/>
        <v>2.3453905645137038E-2</v>
      </c>
      <c r="W83" s="2"/>
      <c r="X83" s="7">
        <f t="shared" si="62"/>
        <v>-72645.119999999995</v>
      </c>
      <c r="Y83" s="2"/>
      <c r="Z83" s="6">
        <f t="shared" si="63"/>
        <v>-1</v>
      </c>
    </row>
    <row r="84" spans="1:26" s="25" customFormat="1" outlineLevel="1" collapsed="1" x14ac:dyDescent="0.25">
      <c r="A84" s="26"/>
      <c r="B84" s="13" t="str">
        <f>CONCATENATE("     ","Services                                          ")</f>
        <v xml:space="preserve">     Services                                          </v>
      </c>
      <c r="C84" s="13"/>
      <c r="D84" s="1">
        <f>SUM(OSRRefD22_17x_0)</f>
        <v>11160.029999999999</v>
      </c>
      <c r="E84" s="1"/>
      <c r="F84" s="5">
        <f t="shared" ref="F84:F89" si="64">IF(D$12=0,0,D84/D$12)</f>
        <v>0.15463528410208063</v>
      </c>
      <c r="G84" s="1"/>
      <c r="H84" s="1">
        <f>SUM(OSRRefH22_17x_0)</f>
        <v>28362.85</v>
      </c>
      <c r="I84" s="1"/>
      <c r="J84" s="5">
        <f t="shared" ref="J84:J89" si="65">IF(H$12=0,0,H84/H$12)</f>
        <v>6.6425476172571135E-2</v>
      </c>
      <c r="K84" s="1"/>
      <c r="L84" s="1">
        <f t="shared" ref="L84:L89" si="66">+D84-H84</f>
        <v>-17202.82</v>
      </c>
      <c r="M84" s="1"/>
      <c r="N84" s="5">
        <f t="shared" ref="N84:N89" si="67">IF(H84=0,0,L84/H84)</f>
        <v>-0.60652649504545564</v>
      </c>
      <c r="O84" s="13"/>
      <c r="P84" s="1">
        <f>SUM(OSRRefP22_17x_0)</f>
        <v>36689.26</v>
      </c>
      <c r="Q84" s="1"/>
      <c r="R84" s="5">
        <f t="shared" ref="R84:R89" si="68">IF(P$12=0,0,P84/P$12)</f>
        <v>0.18891150998383224</v>
      </c>
      <c r="S84" s="1"/>
      <c r="T84" s="1">
        <f>SUM(OSRRefT22_17x_0)</f>
        <v>131827.91</v>
      </c>
      <c r="U84" s="1"/>
      <c r="V84" s="5">
        <f t="shared" ref="V84:V89" si="69">IF(T$12=0,0,T84/T$12)</f>
        <v>4.2561418613330362E-2</v>
      </c>
      <c r="W84" s="1"/>
      <c r="X84" s="1">
        <f t="shared" ref="X84:X89" si="70">+P84-T84</f>
        <v>-95138.65</v>
      </c>
      <c r="Y84" s="1"/>
      <c r="Z84" s="5">
        <f t="shared" ref="Z84:Z89" si="71">IF(T84=0,0,X84/T84)</f>
        <v>-0.72168822216782469</v>
      </c>
    </row>
    <row r="85" spans="1:26" s="24" customFormat="1" hidden="1" outlineLevel="2" x14ac:dyDescent="0.25">
      <c r="A85" s="27"/>
      <c r="B85" s="11" t="str">
        <f>CONCATENATE("          ", "6282", " - ", "JANITORIAL/EXTERMINATOR EXPENS")</f>
        <v xml:space="preserve">          6282 - JANITORIAL/EXTERMINATOR EXPENS</v>
      </c>
      <c r="C85" s="11"/>
      <c r="D85" s="7">
        <v>2505.04</v>
      </c>
      <c r="E85" s="2"/>
      <c r="F85" s="6">
        <f t="shared" si="64"/>
        <v>3.4710262614623448E-2</v>
      </c>
      <c r="G85" s="2"/>
      <c r="H85" s="7">
        <v>2555.14</v>
      </c>
      <c r="I85" s="2"/>
      <c r="J85" s="6">
        <f t="shared" si="65"/>
        <v>5.9841091846405915E-3</v>
      </c>
      <c r="K85" s="2"/>
      <c r="L85" s="7">
        <f t="shared" si="66"/>
        <v>-50.099999999999909</v>
      </c>
      <c r="M85" s="2"/>
      <c r="N85" s="6">
        <f t="shared" si="67"/>
        <v>-1.9607536181970427E-2</v>
      </c>
      <c r="O85" s="11"/>
      <c r="P85" s="7">
        <v>4257.6899999999996</v>
      </c>
      <c r="Q85" s="2"/>
      <c r="R85" s="6">
        <f t="shared" si="68"/>
        <v>2.1922672927801284E-2</v>
      </c>
      <c r="S85" s="2"/>
      <c r="T85" s="7">
        <v>8942.99</v>
      </c>
      <c r="U85" s="2"/>
      <c r="V85" s="6">
        <f t="shared" si="69"/>
        <v>2.8872970909182075E-3</v>
      </c>
      <c r="W85" s="2"/>
      <c r="X85" s="7">
        <f t="shared" si="70"/>
        <v>-4685.3</v>
      </c>
      <c r="Y85" s="2"/>
      <c r="Z85" s="6">
        <f t="shared" si="71"/>
        <v>-0.52390755217214824</v>
      </c>
    </row>
    <row r="86" spans="1:26" s="24" customFormat="1" hidden="1" outlineLevel="2" x14ac:dyDescent="0.25">
      <c r="A86" s="27"/>
      <c r="B86" s="11" t="str">
        <f>CONCATENATE("          ", "6283", " - ", "PLANT SERVICE")</f>
        <v xml:space="preserve">          6283 - PLANT SERVICE</v>
      </c>
      <c r="C86" s="11"/>
      <c r="D86" s="7"/>
      <c r="E86" s="2"/>
      <c r="F86" s="6">
        <f t="shared" si="64"/>
        <v>0</v>
      </c>
      <c r="G86" s="2"/>
      <c r="H86" s="7"/>
      <c r="I86" s="2"/>
      <c r="J86" s="6">
        <f t="shared" si="65"/>
        <v>0</v>
      </c>
      <c r="K86" s="2"/>
      <c r="L86" s="7">
        <f t="shared" si="66"/>
        <v>0</v>
      </c>
      <c r="M86" s="2"/>
      <c r="N86" s="6">
        <f t="shared" si="67"/>
        <v>0</v>
      </c>
      <c r="O86" s="11"/>
      <c r="P86" s="7"/>
      <c r="Q86" s="2"/>
      <c r="R86" s="6">
        <f t="shared" si="68"/>
        <v>0</v>
      </c>
      <c r="S86" s="2"/>
      <c r="T86" s="7">
        <v>799.12</v>
      </c>
      <c r="U86" s="2"/>
      <c r="V86" s="6">
        <f t="shared" si="69"/>
        <v>2.5800060732423472E-4</v>
      </c>
      <c r="W86" s="2"/>
      <c r="X86" s="7">
        <f t="shared" si="70"/>
        <v>-799.12</v>
      </c>
      <c r="Y86" s="2"/>
      <c r="Z86" s="6">
        <f t="shared" si="71"/>
        <v>-1</v>
      </c>
    </row>
    <row r="87" spans="1:26" s="24" customFormat="1" hidden="1" outlineLevel="2" x14ac:dyDescent="0.25">
      <c r="A87" s="27"/>
      <c r="B87" s="11" t="str">
        <f>CONCATENATE("          ", "6284", " - ", "TRASH REMOVAL EXPENSE")</f>
        <v xml:space="preserve">          6284 - TRASH REMOVAL EXPENSE</v>
      </c>
      <c r="C87" s="11"/>
      <c r="D87" s="7">
        <v>5369</v>
      </c>
      <c r="E87" s="2"/>
      <c r="F87" s="6">
        <f t="shared" si="64"/>
        <v>7.4393782126398494E-2</v>
      </c>
      <c r="G87" s="2"/>
      <c r="H87" s="7">
        <v>9673</v>
      </c>
      <c r="I87" s="2"/>
      <c r="J87" s="6">
        <f t="shared" si="65"/>
        <v>2.2654057367904868E-2</v>
      </c>
      <c r="K87" s="2"/>
      <c r="L87" s="7">
        <f t="shared" si="66"/>
        <v>-4304</v>
      </c>
      <c r="M87" s="2"/>
      <c r="N87" s="6">
        <f t="shared" si="67"/>
        <v>-0.44494986043626589</v>
      </c>
      <c r="O87" s="11"/>
      <c r="P87" s="7">
        <v>18868</v>
      </c>
      <c r="Q87" s="2"/>
      <c r="R87" s="6">
        <f t="shared" si="68"/>
        <v>9.7150565870637529E-2</v>
      </c>
      <c r="S87" s="2"/>
      <c r="T87" s="7">
        <v>22893</v>
      </c>
      <c r="U87" s="2"/>
      <c r="V87" s="6">
        <f t="shared" si="69"/>
        <v>7.3911401334889699E-3</v>
      </c>
      <c r="W87" s="2"/>
      <c r="X87" s="7">
        <f t="shared" si="70"/>
        <v>-4025</v>
      </c>
      <c r="Y87" s="2"/>
      <c r="Z87" s="6">
        <f t="shared" si="71"/>
        <v>-0.17581793561350631</v>
      </c>
    </row>
    <row r="88" spans="1:26" s="24" customFormat="1" hidden="1" outlineLevel="2" x14ac:dyDescent="0.25">
      <c r="A88" s="27"/>
      <c r="B88" s="11" t="str">
        <f>CONCATENATE("          ", "6285", " - ", "JANITORIAL SERVICES")</f>
        <v xml:space="preserve">          6285 - JANITORIAL SERVICES</v>
      </c>
      <c r="C88" s="11"/>
      <c r="D88" s="7">
        <v>3179.44</v>
      </c>
      <c r="E88" s="2"/>
      <c r="F88" s="6">
        <f t="shared" si="64"/>
        <v>4.4054864340464968E-2</v>
      </c>
      <c r="G88" s="2"/>
      <c r="H88" s="7">
        <v>13319.46</v>
      </c>
      <c r="I88" s="2"/>
      <c r="J88" s="6">
        <f t="shared" si="65"/>
        <v>3.1194025736536148E-2</v>
      </c>
      <c r="K88" s="2"/>
      <c r="L88" s="7">
        <f t="shared" si="66"/>
        <v>-10140.019999999999</v>
      </c>
      <c r="M88" s="2"/>
      <c r="N88" s="6">
        <f t="shared" si="67"/>
        <v>-0.76129362601787154</v>
      </c>
      <c r="O88" s="11"/>
      <c r="P88" s="7">
        <v>12770.81</v>
      </c>
      <c r="Q88" s="2"/>
      <c r="R88" s="6">
        <f t="shared" si="68"/>
        <v>6.5756382135170474E-2</v>
      </c>
      <c r="S88" s="2"/>
      <c r="T88" s="7">
        <v>79646.759999999995</v>
      </c>
      <c r="U88" s="2"/>
      <c r="V88" s="6">
        <f t="shared" si="69"/>
        <v>2.5714426433336126E-2</v>
      </c>
      <c r="W88" s="2"/>
      <c r="X88" s="7">
        <f t="shared" si="70"/>
        <v>-66875.95</v>
      </c>
      <c r="Y88" s="2"/>
      <c r="Z88" s="6">
        <f t="shared" si="71"/>
        <v>-0.83965687995343441</v>
      </c>
    </row>
    <row r="89" spans="1:26" s="24" customFormat="1" hidden="1" outlineLevel="2" x14ac:dyDescent="0.25">
      <c r="A89" s="27"/>
      <c r="B89" s="11" t="str">
        <f>CONCATENATE("          ", "6286", " - ", "LAUNDRY EXPENSE")</f>
        <v xml:space="preserve">          6286 - LAUNDRY EXPENSE</v>
      </c>
      <c r="C89" s="11"/>
      <c r="D89" s="7">
        <v>106.55</v>
      </c>
      <c r="E89" s="2"/>
      <c r="F89" s="6">
        <f t="shared" si="64"/>
        <v>1.4763750205937342E-3</v>
      </c>
      <c r="G89" s="2"/>
      <c r="H89" s="7">
        <v>2815.25</v>
      </c>
      <c r="I89" s="2"/>
      <c r="J89" s="6">
        <f t="shared" si="65"/>
        <v>6.5932838834895256E-3</v>
      </c>
      <c r="K89" s="2"/>
      <c r="L89" s="7">
        <f t="shared" si="66"/>
        <v>-2708.7</v>
      </c>
      <c r="M89" s="2"/>
      <c r="N89" s="6">
        <f t="shared" si="67"/>
        <v>-0.96215256193943688</v>
      </c>
      <c r="O89" s="11"/>
      <c r="P89" s="7">
        <v>792.76</v>
      </c>
      <c r="Q89" s="2"/>
      <c r="R89" s="6">
        <f t="shared" si="68"/>
        <v>4.0818890502229491E-3</v>
      </c>
      <c r="S89" s="2"/>
      <c r="T89" s="7">
        <v>19546.04</v>
      </c>
      <c r="U89" s="2"/>
      <c r="V89" s="6">
        <f t="shared" si="69"/>
        <v>6.3105543482628208E-3</v>
      </c>
      <c r="W89" s="2"/>
      <c r="X89" s="7">
        <f t="shared" si="70"/>
        <v>-18753.280000000002</v>
      </c>
      <c r="Y89" s="2"/>
      <c r="Z89" s="6">
        <f t="shared" si="71"/>
        <v>-0.95944140091803776</v>
      </c>
    </row>
    <row r="90" spans="1:26" s="25" customFormat="1" outlineLevel="1" collapsed="1" x14ac:dyDescent="0.25">
      <c r="A90" s="26"/>
      <c r="B90" s="13" t="str">
        <f>CONCATENATE("     ","Subscriptions &amp; Dues                              ")</f>
        <v xml:space="preserve">     Subscriptions &amp; Dues                              </v>
      </c>
      <c r="C90" s="13"/>
      <c r="D90" s="1">
        <f>SUM(OSRRefD22_18x_0)</f>
        <v>262.83999999999997</v>
      </c>
      <c r="E90" s="1"/>
      <c r="F90" s="5">
        <f t="shared" ref="F90:F92" si="72">IF(D$12=0,0,D90/D$12)</f>
        <v>3.6419559869812958E-3</v>
      </c>
      <c r="G90" s="1"/>
      <c r="H90" s="1">
        <f>SUM(OSRRefH22_18x_0)</f>
        <v>4123.42</v>
      </c>
      <c r="I90" s="1"/>
      <c r="J90" s="5">
        <f t="shared" ref="J90:J92" si="73">IF(H$12=0,0,H90/H$12)</f>
        <v>9.6570033321582028E-3</v>
      </c>
      <c r="K90" s="1"/>
      <c r="L90" s="1">
        <f t="shared" ref="L90:L92" si="74">+D90-H90</f>
        <v>-3860.58</v>
      </c>
      <c r="M90" s="1"/>
      <c r="N90" s="5">
        <f t="shared" ref="N90:N92" si="75">IF(H90=0,0,L90/H90)</f>
        <v>-0.93625679654267568</v>
      </c>
      <c r="O90" s="13"/>
      <c r="P90" s="1">
        <f>SUM(OSRRefP22_18x_0)</f>
        <v>534.16999999999996</v>
      </c>
      <c r="Q90" s="1"/>
      <c r="R90" s="5">
        <f t="shared" ref="R90:R92" si="76">IF(P$12=0,0,P90/P$12)</f>
        <v>2.7504196401907169E-3</v>
      </c>
      <c r="S90" s="1"/>
      <c r="T90" s="1">
        <f>SUM(OSRRefT22_18x_0)</f>
        <v>6274.6</v>
      </c>
      <c r="U90" s="1"/>
      <c r="V90" s="5">
        <f t="shared" ref="V90:V92" si="77">IF(T$12=0,0,T90/T$12)</f>
        <v>2.0257916341934168E-3</v>
      </c>
      <c r="W90" s="1"/>
      <c r="X90" s="1">
        <f t="shared" ref="X90:X92" si="78">+P90-T90</f>
        <v>-5740.43</v>
      </c>
      <c r="Y90" s="1"/>
      <c r="Z90" s="5">
        <f t="shared" ref="Z90:Z92" si="79">IF(T90=0,0,X90/T90)</f>
        <v>-0.9148678800242247</v>
      </c>
    </row>
    <row r="91" spans="1:26" s="24" customFormat="1" hidden="1" outlineLevel="2" x14ac:dyDescent="0.25">
      <c r="A91" s="27"/>
      <c r="B91" s="11" t="str">
        <f>CONCATENATE("          ", "6258", " - ", "MEMBERSHIP DUES")</f>
        <v xml:space="preserve">          6258 - MEMBERSHIP DUES</v>
      </c>
      <c r="C91" s="11"/>
      <c r="D91" s="7"/>
      <c r="E91" s="2"/>
      <c r="F91" s="6">
        <f t="shared" si="72"/>
        <v>0</v>
      </c>
      <c r="G91" s="2"/>
      <c r="H91" s="7">
        <v>3730</v>
      </c>
      <c r="I91" s="2"/>
      <c r="J91" s="6">
        <f t="shared" si="73"/>
        <v>8.7356181104399008E-3</v>
      </c>
      <c r="K91" s="2"/>
      <c r="L91" s="7">
        <f t="shared" si="74"/>
        <v>-3730</v>
      </c>
      <c r="M91" s="2"/>
      <c r="N91" s="6">
        <f t="shared" si="75"/>
        <v>-1</v>
      </c>
      <c r="O91" s="11"/>
      <c r="P91" s="7"/>
      <c r="Q91" s="2"/>
      <c r="R91" s="6">
        <f t="shared" si="76"/>
        <v>0</v>
      </c>
      <c r="S91" s="2"/>
      <c r="T91" s="7">
        <v>3730</v>
      </c>
      <c r="U91" s="2"/>
      <c r="V91" s="6">
        <f t="shared" si="77"/>
        <v>1.2042525094095949E-3</v>
      </c>
      <c r="W91" s="2"/>
      <c r="X91" s="7">
        <f t="shared" si="78"/>
        <v>-3730</v>
      </c>
      <c r="Y91" s="2"/>
      <c r="Z91" s="6">
        <f t="shared" si="79"/>
        <v>-1</v>
      </c>
    </row>
    <row r="92" spans="1:26" s="24" customFormat="1" hidden="1" outlineLevel="2" x14ac:dyDescent="0.25">
      <c r="A92" s="27"/>
      <c r="B92" s="11" t="str">
        <f>CONCATENATE("          ", "6275", " - ", "SUBSCRIPTIONS")</f>
        <v xml:space="preserve">          6275 - SUBSCRIPTIONS</v>
      </c>
      <c r="C92" s="11"/>
      <c r="D92" s="7">
        <v>262.83999999999997</v>
      </c>
      <c r="E92" s="2"/>
      <c r="F92" s="6">
        <f t="shared" si="72"/>
        <v>3.6419559869812958E-3</v>
      </c>
      <c r="G92" s="2"/>
      <c r="H92" s="7">
        <v>393.42</v>
      </c>
      <c r="I92" s="2"/>
      <c r="J92" s="6">
        <f t="shared" si="73"/>
        <v>9.2138522171830186E-4</v>
      </c>
      <c r="K92" s="2"/>
      <c r="L92" s="7">
        <f t="shared" si="74"/>
        <v>-130.58000000000004</v>
      </c>
      <c r="M92" s="2"/>
      <c r="N92" s="6">
        <f t="shared" si="75"/>
        <v>-0.33190991815362725</v>
      </c>
      <c r="O92" s="11"/>
      <c r="P92" s="7">
        <v>534.16999999999996</v>
      </c>
      <c r="Q92" s="2"/>
      <c r="R92" s="6">
        <f t="shared" si="76"/>
        <v>2.7504196401907169E-3</v>
      </c>
      <c r="S92" s="2"/>
      <c r="T92" s="7">
        <v>2544.6</v>
      </c>
      <c r="U92" s="2"/>
      <c r="V92" s="6">
        <f t="shared" si="77"/>
        <v>8.2153912478382177E-4</v>
      </c>
      <c r="W92" s="2"/>
      <c r="X92" s="7">
        <f t="shared" si="78"/>
        <v>-2010.4299999999998</v>
      </c>
      <c r="Y92" s="2"/>
      <c r="Z92" s="6">
        <f t="shared" si="79"/>
        <v>-0.79007702585868111</v>
      </c>
    </row>
    <row r="93" spans="1:26" s="25" customFormat="1" outlineLevel="1" collapsed="1" x14ac:dyDescent="0.25">
      <c r="A93" s="26"/>
      <c r="B93" s="13" t="str">
        <f>CONCATENATE("     ","Supplies                                          ")</f>
        <v xml:space="preserve">     Supplies                                          </v>
      </c>
      <c r="C93" s="13"/>
      <c r="D93" s="1">
        <f>SUM(OSRRefD22_19x_0)</f>
        <v>24.36</v>
      </c>
      <c r="E93" s="1"/>
      <c r="F93" s="5">
        <f t="shared" ref="F93:F102" si="80">IF(D$12=0,0,D93/D$12)</f>
        <v>3.3753632568431127E-4</v>
      </c>
      <c r="G93" s="1"/>
      <c r="H93" s="1">
        <f>SUM(OSRRefH22_19x_0)</f>
        <v>12661.619999999999</v>
      </c>
      <c r="I93" s="1"/>
      <c r="J93" s="5">
        <f t="shared" ref="J93:J102" si="81">IF(H$12=0,0,H93/H$12)</f>
        <v>2.9653371844372129E-2</v>
      </c>
      <c r="K93" s="1"/>
      <c r="L93" s="1">
        <f t="shared" ref="L93:L102" si="82">+D93-H93</f>
        <v>-12637.259999999998</v>
      </c>
      <c r="M93" s="1"/>
      <c r="N93" s="5">
        <f t="shared" ref="N93:N102" si="83">IF(H93=0,0,L93/H93)</f>
        <v>-0.99807607557326783</v>
      </c>
      <c r="O93" s="13"/>
      <c r="P93" s="1">
        <f>SUM(OSRRefP22_19x_0)</f>
        <v>-21546.320000000003</v>
      </c>
      <c r="Q93" s="1"/>
      <c r="R93" s="5">
        <f t="shared" ref="R93:R102" si="84">IF(P$12=0,0,P93/P$12)</f>
        <v>-0.11094112679827407</v>
      </c>
      <c r="S93" s="1"/>
      <c r="T93" s="1">
        <f>SUM(OSRRefT22_19x_0)</f>
        <v>116405.90999999999</v>
      </c>
      <c r="U93" s="1"/>
      <c r="V93" s="5">
        <f t="shared" ref="V93:V102" si="85">IF(T$12=0,0,T93/T$12)</f>
        <v>3.7582334913567682E-2</v>
      </c>
      <c r="W93" s="1"/>
      <c r="X93" s="1">
        <f t="shared" ref="X93:X102" si="86">+P93-T93</f>
        <v>-137952.22999999998</v>
      </c>
      <c r="Y93" s="1"/>
      <c r="Z93" s="5">
        <f t="shared" ref="Z93:Z102" si="87">IF(T93=0,0,X93/T93)</f>
        <v>-1.185096443986392</v>
      </c>
    </row>
    <row r="94" spans="1:26" s="24" customFormat="1" hidden="1" outlineLevel="2" x14ac:dyDescent="0.25">
      <c r="A94" s="27"/>
      <c r="B94" s="11" t="str">
        <f>CONCATENATE("          ", "6234", " - ", "EXPENDABLE SUPPLIES &amp; EQUIPMEN")</f>
        <v xml:space="preserve">          6234 - EXPENDABLE SUPPLIES &amp; EQUIPMEN</v>
      </c>
      <c r="C94" s="11"/>
      <c r="D94" s="7"/>
      <c r="E94" s="2"/>
      <c r="F94" s="6">
        <f t="shared" si="80"/>
        <v>0</v>
      </c>
      <c r="G94" s="2"/>
      <c r="H94" s="7"/>
      <c r="I94" s="2"/>
      <c r="J94" s="6">
        <f t="shared" si="81"/>
        <v>0</v>
      </c>
      <c r="K94" s="2"/>
      <c r="L94" s="7">
        <f t="shared" si="82"/>
        <v>0</v>
      </c>
      <c r="M94" s="2"/>
      <c r="N94" s="6">
        <f t="shared" si="83"/>
        <v>0</v>
      </c>
      <c r="O94" s="11"/>
      <c r="P94" s="7">
        <v>310.91000000000003</v>
      </c>
      <c r="Q94" s="2"/>
      <c r="R94" s="6">
        <f t="shared" si="84"/>
        <v>1.6008629655946533E-3</v>
      </c>
      <c r="S94" s="2"/>
      <c r="T94" s="7">
        <v>12202.72</v>
      </c>
      <c r="U94" s="2"/>
      <c r="V94" s="6">
        <f t="shared" si="85"/>
        <v>3.9397201559310058E-3</v>
      </c>
      <c r="W94" s="2"/>
      <c r="X94" s="7">
        <f t="shared" si="86"/>
        <v>-11891.81</v>
      </c>
      <c r="Y94" s="2"/>
      <c r="Z94" s="6">
        <f t="shared" si="87"/>
        <v>-0.97452125427773484</v>
      </c>
    </row>
    <row r="95" spans="1:26" s="24" customFormat="1" hidden="1" outlineLevel="2" x14ac:dyDescent="0.25">
      <c r="A95" s="27"/>
      <c r="B95" s="11" t="str">
        <f>CONCATENATE("          ", "6235", " - ", "COVID-19 EXPENSES")</f>
        <v xml:space="preserve">          6235 - COVID-19 EXPENSES</v>
      </c>
      <c r="C95" s="11"/>
      <c r="D95" s="7"/>
      <c r="E95" s="2"/>
      <c r="F95" s="6">
        <f t="shared" si="80"/>
        <v>0</v>
      </c>
      <c r="G95" s="2"/>
      <c r="H95" s="7"/>
      <c r="I95" s="2"/>
      <c r="J95" s="6">
        <f t="shared" si="81"/>
        <v>0</v>
      </c>
      <c r="K95" s="2"/>
      <c r="L95" s="7">
        <f t="shared" si="82"/>
        <v>0</v>
      </c>
      <c r="M95" s="2"/>
      <c r="N95" s="6">
        <f t="shared" si="83"/>
        <v>0</v>
      </c>
      <c r="O95" s="11"/>
      <c r="P95" s="7">
        <v>6881.86</v>
      </c>
      <c r="Q95" s="2"/>
      <c r="R95" s="6">
        <f t="shared" si="84"/>
        <v>3.5434417704181979E-2</v>
      </c>
      <c r="S95" s="2"/>
      <c r="T95" s="7"/>
      <c r="U95" s="2"/>
      <c r="V95" s="6">
        <f t="shared" si="85"/>
        <v>0</v>
      </c>
      <c r="W95" s="2"/>
      <c r="X95" s="7">
        <f t="shared" si="86"/>
        <v>6881.86</v>
      </c>
      <c r="Y95" s="2"/>
      <c r="Z95" s="6">
        <f t="shared" si="87"/>
        <v>0</v>
      </c>
    </row>
    <row r="96" spans="1:26" s="24" customFormat="1" hidden="1" outlineLevel="2" x14ac:dyDescent="0.25">
      <c r="A96" s="27"/>
      <c r="B96" s="11" t="str">
        <f>CONCATENATE("          ", "6237", " - ", "JANITORIAL SUPPLIES")</f>
        <v xml:space="preserve">          6237 - JANITORIAL SUPPLIES</v>
      </c>
      <c r="C96" s="11"/>
      <c r="D96" s="7">
        <v>18.86</v>
      </c>
      <c r="E96" s="2"/>
      <c r="F96" s="6">
        <f t="shared" si="80"/>
        <v>2.613273851562443E-4</v>
      </c>
      <c r="G96" s="2"/>
      <c r="H96" s="7">
        <v>5608.72</v>
      </c>
      <c r="I96" s="2"/>
      <c r="J96" s="6">
        <f t="shared" si="81"/>
        <v>1.3135559251578145E-2</v>
      </c>
      <c r="K96" s="2"/>
      <c r="L96" s="7">
        <f t="shared" si="82"/>
        <v>-5589.8600000000006</v>
      </c>
      <c r="M96" s="2"/>
      <c r="N96" s="6">
        <f t="shared" si="83"/>
        <v>-0.99663737893851012</v>
      </c>
      <c r="O96" s="11"/>
      <c r="P96" s="7">
        <v>358.91</v>
      </c>
      <c r="Q96" s="2"/>
      <c r="R96" s="6">
        <f t="shared" si="84"/>
        <v>1.8480130165693513E-3</v>
      </c>
      <c r="S96" s="2"/>
      <c r="T96" s="7">
        <v>29993.48</v>
      </c>
      <c r="U96" s="2"/>
      <c r="V96" s="6">
        <f t="shared" si="85"/>
        <v>9.683571998907908E-3</v>
      </c>
      <c r="W96" s="2"/>
      <c r="X96" s="7">
        <f t="shared" si="86"/>
        <v>-29634.57</v>
      </c>
      <c r="Y96" s="2"/>
      <c r="Z96" s="6">
        <f t="shared" si="87"/>
        <v>-0.98803373266456573</v>
      </c>
    </row>
    <row r="97" spans="1:26" s="24" customFormat="1" hidden="1" outlineLevel="2" x14ac:dyDescent="0.25">
      <c r="A97" s="27"/>
      <c r="B97" s="11" t="str">
        <f>CONCATENATE("          ", "6239", " - ", "KITCHEN SUPPLIES")</f>
        <v xml:space="preserve">          6239 - KITCHEN SUPPLIES</v>
      </c>
      <c r="C97" s="11"/>
      <c r="D97" s="7"/>
      <c r="E97" s="2"/>
      <c r="F97" s="6">
        <f t="shared" si="80"/>
        <v>0</v>
      </c>
      <c r="G97" s="2"/>
      <c r="H97" s="7">
        <v>2898.44</v>
      </c>
      <c r="I97" s="2"/>
      <c r="J97" s="6">
        <f t="shared" si="81"/>
        <v>6.7881139292287999E-3</v>
      </c>
      <c r="K97" s="2"/>
      <c r="L97" s="7">
        <f t="shared" si="82"/>
        <v>-2898.44</v>
      </c>
      <c r="M97" s="2"/>
      <c r="N97" s="6">
        <f t="shared" si="83"/>
        <v>-1</v>
      </c>
      <c r="O97" s="11"/>
      <c r="P97" s="7">
        <v>19.829999999999998</v>
      </c>
      <c r="Q97" s="2"/>
      <c r="R97" s="6">
        <f t="shared" si="84"/>
        <v>1.0210386480892209E-4</v>
      </c>
      <c r="S97" s="2"/>
      <c r="T97" s="7">
        <v>33433.839999999997</v>
      </c>
      <c r="U97" s="2"/>
      <c r="V97" s="6">
        <f t="shared" si="85"/>
        <v>1.0794312525254394E-2</v>
      </c>
      <c r="W97" s="2"/>
      <c r="X97" s="7">
        <f t="shared" si="86"/>
        <v>-33414.009999999995</v>
      </c>
      <c r="Y97" s="2"/>
      <c r="Z97" s="6">
        <f t="shared" si="87"/>
        <v>-0.99940688835024627</v>
      </c>
    </row>
    <row r="98" spans="1:26" s="24" customFormat="1" hidden="1" outlineLevel="2" x14ac:dyDescent="0.25">
      <c r="A98" s="27"/>
      <c r="B98" s="11" t="str">
        <f>CONCATENATE("          ", "6241", " - ", "OFFICE EXPENSE")</f>
        <v xml:space="preserve">          6241 - OFFICE EXPENSE</v>
      </c>
      <c r="C98" s="11"/>
      <c r="D98" s="7">
        <v>5.5</v>
      </c>
      <c r="E98" s="2"/>
      <c r="F98" s="6">
        <f t="shared" si="80"/>
        <v>7.6208940528066995E-5</v>
      </c>
      <c r="G98" s="2"/>
      <c r="H98" s="7">
        <v>1380.76</v>
      </c>
      <c r="I98" s="2"/>
      <c r="J98" s="6">
        <f t="shared" si="81"/>
        <v>3.2337244134506694E-3</v>
      </c>
      <c r="K98" s="2"/>
      <c r="L98" s="7">
        <f t="shared" si="82"/>
        <v>-1375.26</v>
      </c>
      <c r="M98" s="2"/>
      <c r="N98" s="6">
        <f t="shared" si="83"/>
        <v>-0.99601668646252783</v>
      </c>
      <c r="O98" s="11"/>
      <c r="P98" s="7">
        <v>-29117.83</v>
      </c>
      <c r="Q98" s="2"/>
      <c r="R98" s="6">
        <f t="shared" si="84"/>
        <v>-0.14992652434942896</v>
      </c>
      <c r="S98" s="2"/>
      <c r="T98" s="7">
        <v>14532.4</v>
      </c>
      <c r="U98" s="2"/>
      <c r="V98" s="6">
        <f t="shared" si="85"/>
        <v>4.6918710905479886E-3</v>
      </c>
      <c r="W98" s="2"/>
      <c r="X98" s="7">
        <f t="shared" si="86"/>
        <v>-43650.23</v>
      </c>
      <c r="Y98" s="2"/>
      <c r="Z98" s="6">
        <f t="shared" si="87"/>
        <v>-3.0036490875560817</v>
      </c>
    </row>
    <row r="99" spans="1:26" s="24" customFormat="1" hidden="1" outlineLevel="2" x14ac:dyDescent="0.25">
      <c r="A99" s="27"/>
      <c r="B99" s="11" t="str">
        <f>CONCATENATE("          ", "6243", " - ", "PAPER SUPPLIES")</f>
        <v xml:space="preserve">          6243 - PAPER SUPPLIES</v>
      </c>
      <c r="C99" s="11"/>
      <c r="D99" s="7"/>
      <c r="E99" s="2"/>
      <c r="F99" s="6">
        <f t="shared" si="80"/>
        <v>0</v>
      </c>
      <c r="G99" s="2"/>
      <c r="H99" s="7">
        <v>2281.39</v>
      </c>
      <c r="I99" s="2"/>
      <c r="J99" s="6">
        <f t="shared" si="81"/>
        <v>5.3429897589749283E-3</v>
      </c>
      <c r="K99" s="2"/>
      <c r="L99" s="7">
        <f t="shared" si="82"/>
        <v>-2281.39</v>
      </c>
      <c r="M99" s="2"/>
      <c r="N99" s="6">
        <f t="shared" si="83"/>
        <v>-1</v>
      </c>
      <c r="O99" s="11"/>
      <c r="P99" s="7"/>
      <c r="Q99" s="2"/>
      <c r="R99" s="6">
        <f t="shared" si="84"/>
        <v>0</v>
      </c>
      <c r="S99" s="2"/>
      <c r="T99" s="7">
        <v>18846.25</v>
      </c>
      <c r="U99" s="2"/>
      <c r="V99" s="6">
        <f t="shared" si="85"/>
        <v>6.0846230175497533E-3</v>
      </c>
      <c r="W99" s="2"/>
      <c r="X99" s="7">
        <f t="shared" si="86"/>
        <v>-18846.25</v>
      </c>
      <c r="Y99" s="2"/>
      <c r="Z99" s="6">
        <f t="shared" si="87"/>
        <v>-1</v>
      </c>
    </row>
    <row r="100" spans="1:26" s="24" customFormat="1" hidden="1" outlineLevel="2" x14ac:dyDescent="0.25">
      <c r="A100" s="27"/>
      <c r="B100" s="11" t="str">
        <f>CONCATENATE("          ", "6245", " - ", "PRINTING")</f>
        <v xml:space="preserve">          6245 - PRINTING</v>
      </c>
      <c r="C100" s="11"/>
      <c r="D100" s="7"/>
      <c r="E100" s="2"/>
      <c r="F100" s="6">
        <f t="shared" si="80"/>
        <v>0</v>
      </c>
      <c r="G100" s="2"/>
      <c r="H100" s="7"/>
      <c r="I100" s="2"/>
      <c r="J100" s="6">
        <f t="shared" si="81"/>
        <v>0</v>
      </c>
      <c r="K100" s="2"/>
      <c r="L100" s="7">
        <f t="shared" si="82"/>
        <v>0</v>
      </c>
      <c r="M100" s="2"/>
      <c r="N100" s="6">
        <f t="shared" si="83"/>
        <v>0</v>
      </c>
      <c r="O100" s="11"/>
      <c r="P100" s="7"/>
      <c r="Q100" s="2"/>
      <c r="R100" s="6">
        <f t="shared" si="84"/>
        <v>0</v>
      </c>
      <c r="S100" s="2"/>
      <c r="T100" s="7">
        <v>270.89999999999998</v>
      </c>
      <c r="U100" s="2"/>
      <c r="V100" s="6">
        <f t="shared" si="85"/>
        <v>8.7461663485002475E-5</v>
      </c>
      <c r="W100" s="2"/>
      <c r="X100" s="7">
        <f t="shared" si="86"/>
        <v>-270.89999999999998</v>
      </c>
      <c r="Y100" s="2"/>
      <c r="Z100" s="6">
        <f t="shared" si="87"/>
        <v>-1</v>
      </c>
    </row>
    <row r="101" spans="1:26" s="24" customFormat="1" hidden="1" outlineLevel="2" x14ac:dyDescent="0.25">
      <c r="A101" s="27"/>
      <c r="B101" s="11" t="str">
        <f>CONCATENATE("          ", "6247", " - ", "STORE SUPPLIES")</f>
        <v xml:space="preserve">          6247 - STORE SUPPLIES</v>
      </c>
      <c r="C101" s="11"/>
      <c r="D101" s="7"/>
      <c r="E101" s="2"/>
      <c r="F101" s="6">
        <f t="shared" si="80"/>
        <v>0</v>
      </c>
      <c r="G101" s="2"/>
      <c r="H101" s="7">
        <v>492.31</v>
      </c>
      <c r="I101" s="2"/>
      <c r="J101" s="6">
        <f t="shared" si="81"/>
        <v>1.1529844911395892E-3</v>
      </c>
      <c r="K101" s="2"/>
      <c r="L101" s="7">
        <f t="shared" si="82"/>
        <v>-492.31</v>
      </c>
      <c r="M101" s="2"/>
      <c r="N101" s="6">
        <f t="shared" si="83"/>
        <v>-1</v>
      </c>
      <c r="O101" s="11"/>
      <c r="P101" s="7"/>
      <c r="Q101" s="2"/>
      <c r="R101" s="6">
        <f t="shared" si="84"/>
        <v>0</v>
      </c>
      <c r="S101" s="2"/>
      <c r="T101" s="7">
        <v>3392.57</v>
      </c>
      <c r="U101" s="2"/>
      <c r="V101" s="6">
        <f t="shared" si="85"/>
        <v>1.0953112428546139E-3</v>
      </c>
      <c r="W101" s="2"/>
      <c r="X101" s="7">
        <f t="shared" si="86"/>
        <v>-3392.57</v>
      </c>
      <c r="Y101" s="2"/>
      <c r="Z101" s="6">
        <f t="shared" si="87"/>
        <v>-1</v>
      </c>
    </row>
    <row r="102" spans="1:26" s="24" customFormat="1" hidden="1" outlineLevel="2" x14ac:dyDescent="0.25">
      <c r="A102" s="27"/>
      <c r="B102" s="11" t="str">
        <f>CONCATENATE("          ", "6248", " - ", "UNIFORMS")</f>
        <v xml:space="preserve">          6248 - UNIFORMS</v>
      </c>
      <c r="C102" s="11"/>
      <c r="D102" s="7"/>
      <c r="E102" s="2"/>
      <c r="F102" s="6">
        <f t="shared" si="80"/>
        <v>0</v>
      </c>
      <c r="G102" s="2"/>
      <c r="H102" s="7"/>
      <c r="I102" s="2"/>
      <c r="J102" s="6">
        <f t="shared" si="81"/>
        <v>0</v>
      </c>
      <c r="K102" s="2"/>
      <c r="L102" s="7">
        <f t="shared" si="82"/>
        <v>0</v>
      </c>
      <c r="M102" s="2"/>
      <c r="N102" s="6">
        <f t="shared" si="83"/>
        <v>0</v>
      </c>
      <c r="O102" s="11"/>
      <c r="P102" s="7"/>
      <c r="Q102" s="2"/>
      <c r="R102" s="6">
        <f t="shared" si="84"/>
        <v>0</v>
      </c>
      <c r="S102" s="2"/>
      <c r="T102" s="7">
        <v>3733.75</v>
      </c>
      <c r="U102" s="2"/>
      <c r="V102" s="6">
        <f t="shared" si="85"/>
        <v>1.2054632190370174E-3</v>
      </c>
      <c r="W102" s="2"/>
      <c r="X102" s="7">
        <f t="shared" si="86"/>
        <v>-3733.75</v>
      </c>
      <c r="Y102" s="2"/>
      <c r="Z102" s="6">
        <f t="shared" si="87"/>
        <v>-1</v>
      </c>
    </row>
    <row r="103" spans="1:26" s="25" customFormat="1" outlineLevel="1" collapsed="1" x14ac:dyDescent="0.25">
      <c r="A103" s="26"/>
      <c r="B103" s="13" t="str">
        <f>CONCATENATE("     ","Telephone/Data Lines                              ")</f>
        <v xml:space="preserve">     Telephone/Data Lines                              </v>
      </c>
      <c r="C103" s="13"/>
      <c r="D103" s="1">
        <f>SUM(OSRRefD22_20x_0)</f>
        <v>593.1</v>
      </c>
      <c r="E103" s="1"/>
      <c r="F103" s="5">
        <f t="shared" ref="F103:F110" si="88">IF(D$12=0,0,D103/D$12)</f>
        <v>8.2180950231266429E-3</v>
      </c>
      <c r="G103" s="1"/>
      <c r="H103" s="1">
        <f>SUM(OSRRefH22_20x_0)</f>
        <v>1912.79</v>
      </c>
      <c r="I103" s="1"/>
      <c r="J103" s="5">
        <f t="shared" ref="J103:J110" si="89">IF(H$12=0,0,H103/H$12)</f>
        <v>4.4797326985169805E-3</v>
      </c>
      <c r="K103" s="1"/>
      <c r="L103" s="1">
        <f t="shared" ref="L103:L110" si="90">+D103-H103</f>
        <v>-1319.69</v>
      </c>
      <c r="M103" s="1"/>
      <c r="N103" s="5">
        <f t="shared" ref="N103:N110" si="91">IF(H103=0,0,L103/H103)</f>
        <v>-0.6899293701870044</v>
      </c>
      <c r="O103" s="13"/>
      <c r="P103" s="1">
        <f>SUM(OSRRefP22_20x_0)</f>
        <v>4651.2700000000004</v>
      </c>
      <c r="Q103" s="1"/>
      <c r="R103" s="5">
        <f t="shared" ref="R103:R110" si="92">IF(P$12=0,0,P103/P$12)</f>
        <v>2.3949200366605909E-2</v>
      </c>
      <c r="S103" s="1"/>
      <c r="T103" s="1">
        <f>SUM(OSRRefT22_20x_0)</f>
        <v>10498.52</v>
      </c>
      <c r="U103" s="1"/>
      <c r="V103" s="5">
        <f t="shared" ref="V103:V110" si="93">IF(T$12=0,0,T103/T$12)</f>
        <v>3.3895091300500859E-3</v>
      </c>
      <c r="W103" s="1"/>
      <c r="X103" s="1">
        <f t="shared" ref="X103:X110" si="94">+P103-T103</f>
        <v>-5847.25</v>
      </c>
      <c r="Y103" s="1"/>
      <c r="Z103" s="5">
        <f t="shared" ref="Z103:Z110" si="95">IF(T103=0,0,X103/T103)</f>
        <v>-0.55695945714253059</v>
      </c>
    </row>
    <row r="104" spans="1:26" s="24" customFormat="1" hidden="1" outlineLevel="2" x14ac:dyDescent="0.25">
      <c r="A104" s="27"/>
      <c r="B104" s="11" t="str">
        <f>CONCATENATE("          ", "6309", " - ", "TELEPHONE")</f>
        <v xml:space="preserve">          6309 - TELEPHONE</v>
      </c>
      <c r="C104" s="11"/>
      <c r="D104" s="7">
        <v>593.1</v>
      </c>
      <c r="E104" s="2"/>
      <c r="F104" s="6">
        <f t="shared" si="88"/>
        <v>8.2180950231266429E-3</v>
      </c>
      <c r="G104" s="2"/>
      <c r="H104" s="7">
        <v>1912.79</v>
      </c>
      <c r="I104" s="2"/>
      <c r="J104" s="6">
        <f t="shared" si="89"/>
        <v>4.4797326985169805E-3</v>
      </c>
      <c r="K104" s="2"/>
      <c r="L104" s="7">
        <f t="shared" si="90"/>
        <v>-1319.69</v>
      </c>
      <c r="M104" s="2"/>
      <c r="N104" s="6">
        <f t="shared" si="91"/>
        <v>-0.6899293701870044</v>
      </c>
      <c r="O104" s="11"/>
      <c r="P104" s="7">
        <v>4651.2700000000004</v>
      </c>
      <c r="Q104" s="2"/>
      <c r="R104" s="6">
        <f t="shared" si="92"/>
        <v>2.3949200366605909E-2</v>
      </c>
      <c r="S104" s="2"/>
      <c r="T104" s="7">
        <v>10498.52</v>
      </c>
      <c r="U104" s="2"/>
      <c r="V104" s="6">
        <f t="shared" si="93"/>
        <v>3.3895091300500859E-3</v>
      </c>
      <c r="W104" s="2"/>
      <c r="X104" s="7">
        <f t="shared" si="94"/>
        <v>-5847.25</v>
      </c>
      <c r="Y104" s="2"/>
      <c r="Z104" s="6">
        <f t="shared" si="95"/>
        <v>-0.55695945714253059</v>
      </c>
    </row>
    <row r="105" spans="1:26" s="25" customFormat="1" outlineLevel="1" collapsed="1" x14ac:dyDescent="0.25">
      <c r="A105" s="26"/>
      <c r="B105" s="13" t="str">
        <f>CONCATENATE("     ","Training                                          ")</f>
        <v xml:space="preserve">     Training                                          </v>
      </c>
      <c r="C105" s="13"/>
      <c r="D105" s="1">
        <f>SUM(OSRRefD22_21x_0)</f>
        <v>0</v>
      </c>
      <c r="E105" s="1"/>
      <c r="F105" s="5">
        <f t="shared" si="88"/>
        <v>0</v>
      </c>
      <c r="G105" s="1"/>
      <c r="H105" s="1">
        <f>SUM(OSRRefH22_21x_0)</f>
        <v>159</v>
      </c>
      <c r="I105" s="1"/>
      <c r="J105" s="5">
        <f t="shared" si="89"/>
        <v>3.7237621435923436E-4</v>
      </c>
      <c r="K105" s="1"/>
      <c r="L105" s="1">
        <f t="shared" si="90"/>
        <v>-159</v>
      </c>
      <c r="M105" s="1"/>
      <c r="N105" s="5">
        <f t="shared" si="91"/>
        <v>-1</v>
      </c>
      <c r="O105" s="13"/>
      <c r="P105" s="1">
        <f>SUM(OSRRefP22_21x_0)</f>
        <v>400</v>
      </c>
      <c r="Q105" s="1"/>
      <c r="R105" s="5">
        <f t="shared" si="92"/>
        <v>2.059583758122483E-3</v>
      </c>
      <c r="S105" s="1"/>
      <c r="T105" s="1">
        <f>SUM(OSRRefT22_21x_0)</f>
        <v>1811.5</v>
      </c>
      <c r="U105" s="1"/>
      <c r="V105" s="5">
        <f t="shared" si="93"/>
        <v>5.8485346402023628E-4</v>
      </c>
      <c r="W105" s="1"/>
      <c r="X105" s="1">
        <f t="shared" si="94"/>
        <v>-1411.5</v>
      </c>
      <c r="Y105" s="1"/>
      <c r="Z105" s="5">
        <f t="shared" si="95"/>
        <v>-0.77918851780292575</v>
      </c>
    </row>
    <row r="106" spans="1:26" s="24" customFormat="1" hidden="1" outlineLevel="2" x14ac:dyDescent="0.25">
      <c r="A106" s="27"/>
      <c r="B106" s="11" t="str">
        <f>CONCATENATE("          ", "6376", " - ", "TRAINING")</f>
        <v xml:space="preserve">          6376 - TRAINING</v>
      </c>
      <c r="C106" s="11"/>
      <c r="D106" s="7"/>
      <c r="E106" s="2"/>
      <c r="F106" s="6">
        <f t="shared" si="88"/>
        <v>0</v>
      </c>
      <c r="G106" s="2"/>
      <c r="H106" s="7">
        <v>159</v>
      </c>
      <c r="I106" s="2"/>
      <c r="J106" s="6">
        <f t="shared" si="89"/>
        <v>3.7237621435923436E-4</v>
      </c>
      <c r="K106" s="2"/>
      <c r="L106" s="7">
        <f t="shared" si="90"/>
        <v>-159</v>
      </c>
      <c r="M106" s="2"/>
      <c r="N106" s="6">
        <f t="shared" si="91"/>
        <v>-1</v>
      </c>
      <c r="O106" s="11"/>
      <c r="P106" s="7">
        <v>400</v>
      </c>
      <c r="Q106" s="2"/>
      <c r="R106" s="6">
        <f t="shared" si="92"/>
        <v>2.059583758122483E-3</v>
      </c>
      <c r="S106" s="2"/>
      <c r="T106" s="7">
        <v>1811.5</v>
      </c>
      <c r="U106" s="2"/>
      <c r="V106" s="6">
        <f t="shared" si="93"/>
        <v>5.8485346402023628E-4</v>
      </c>
      <c r="W106" s="2"/>
      <c r="X106" s="7">
        <f t="shared" si="94"/>
        <v>-1411.5</v>
      </c>
      <c r="Y106" s="2"/>
      <c r="Z106" s="6">
        <f t="shared" si="95"/>
        <v>-0.77918851780292575</v>
      </c>
    </row>
    <row r="107" spans="1:26" s="25" customFormat="1" outlineLevel="1" collapsed="1" x14ac:dyDescent="0.25">
      <c r="A107" s="26"/>
      <c r="B107" s="13" t="str">
        <f>CONCATENATE("     ","Travel                                            ")</f>
        <v xml:space="preserve">     Travel                                            </v>
      </c>
      <c r="C107" s="13"/>
      <c r="D107" s="1">
        <f>SUM(OSRRefD22_22x_0)</f>
        <v>0</v>
      </c>
      <c r="E107" s="1"/>
      <c r="F107" s="5">
        <f t="shared" si="88"/>
        <v>0</v>
      </c>
      <c r="G107" s="1"/>
      <c r="H107" s="1">
        <f>SUM(OSRRefH22_22x_0)</f>
        <v>1540.91</v>
      </c>
      <c r="I107" s="1"/>
      <c r="J107" s="5">
        <f t="shared" si="89"/>
        <v>3.6087939148948919E-3</v>
      </c>
      <c r="K107" s="1"/>
      <c r="L107" s="1">
        <f t="shared" si="90"/>
        <v>-1540.91</v>
      </c>
      <c r="M107" s="1"/>
      <c r="N107" s="5">
        <f t="shared" si="91"/>
        <v>-1</v>
      </c>
      <c r="O107" s="13"/>
      <c r="P107" s="1">
        <f>SUM(OSRRefP22_22x_0)</f>
        <v>332.21</v>
      </c>
      <c r="Q107" s="1"/>
      <c r="R107" s="5">
        <f t="shared" si="92"/>
        <v>1.7105358007146751E-3</v>
      </c>
      <c r="S107" s="1"/>
      <c r="T107" s="1">
        <f>SUM(OSRRefT22_22x_0)</f>
        <v>2943.8199999999997</v>
      </c>
      <c r="U107" s="1"/>
      <c r="V107" s="5">
        <f t="shared" si="93"/>
        <v>9.5042965743971945E-4</v>
      </c>
      <c r="W107" s="1"/>
      <c r="X107" s="1">
        <f t="shared" si="94"/>
        <v>-2611.6099999999997</v>
      </c>
      <c r="Y107" s="1"/>
      <c r="Z107" s="5">
        <f t="shared" si="95"/>
        <v>-0.88715002955343736</v>
      </c>
    </row>
    <row r="108" spans="1:26" s="24" customFormat="1" hidden="1" outlineLevel="2" x14ac:dyDescent="0.25">
      <c r="A108" s="27"/>
      <c r="B108" s="11" t="str">
        <f>CONCATENATE("          ", "6292", " - ", "TRAVEL/CONFERENCE")</f>
        <v xml:space="preserve">          6292 - TRAVEL/CONFERENCE</v>
      </c>
      <c r="C108" s="11"/>
      <c r="D108" s="7"/>
      <c r="E108" s="2"/>
      <c r="F108" s="6">
        <f t="shared" si="88"/>
        <v>0</v>
      </c>
      <c r="G108" s="2"/>
      <c r="H108" s="7">
        <v>1426.23</v>
      </c>
      <c r="I108" s="2"/>
      <c r="J108" s="6">
        <f t="shared" si="89"/>
        <v>3.3402146428023324E-3</v>
      </c>
      <c r="K108" s="2"/>
      <c r="L108" s="7">
        <f t="shared" si="90"/>
        <v>-1426.23</v>
      </c>
      <c r="M108" s="2"/>
      <c r="N108" s="6">
        <f t="shared" si="91"/>
        <v>-1</v>
      </c>
      <c r="O108" s="11"/>
      <c r="P108" s="7"/>
      <c r="Q108" s="2"/>
      <c r="R108" s="6">
        <f t="shared" si="92"/>
        <v>0</v>
      </c>
      <c r="S108" s="2"/>
      <c r="T108" s="7">
        <v>2125.6</v>
      </c>
      <c r="U108" s="2"/>
      <c r="V108" s="6">
        <f t="shared" si="93"/>
        <v>6.8626250241314612E-4</v>
      </c>
      <c r="W108" s="2"/>
      <c r="X108" s="7">
        <f t="shared" si="94"/>
        <v>-2125.6</v>
      </c>
      <c r="Y108" s="2"/>
      <c r="Z108" s="6">
        <f t="shared" si="95"/>
        <v>-1</v>
      </c>
    </row>
    <row r="109" spans="1:26" s="24" customFormat="1" hidden="1" outlineLevel="2" x14ac:dyDescent="0.25">
      <c r="A109" s="27"/>
      <c r="B109" s="11" t="str">
        <f>CONCATENATE("          ", "6294", " - ", "TRAVEL OPERATIONAL")</f>
        <v xml:space="preserve">          6294 - TRAVEL OPERATIONAL</v>
      </c>
      <c r="C109" s="11"/>
      <c r="D109" s="7"/>
      <c r="E109" s="2"/>
      <c r="F109" s="6">
        <f t="shared" si="88"/>
        <v>0</v>
      </c>
      <c r="G109" s="2"/>
      <c r="H109" s="7"/>
      <c r="I109" s="2"/>
      <c r="J109" s="6">
        <f t="shared" si="89"/>
        <v>0</v>
      </c>
      <c r="K109" s="2"/>
      <c r="L109" s="7">
        <f t="shared" si="90"/>
        <v>0</v>
      </c>
      <c r="M109" s="2"/>
      <c r="N109" s="6">
        <f t="shared" si="91"/>
        <v>0</v>
      </c>
      <c r="O109" s="11"/>
      <c r="P109" s="7"/>
      <c r="Q109" s="2"/>
      <c r="R109" s="6">
        <f t="shared" si="92"/>
        <v>0</v>
      </c>
      <c r="S109" s="2"/>
      <c r="T109" s="7">
        <v>45.49</v>
      </c>
      <c r="U109" s="2"/>
      <c r="V109" s="6">
        <f t="shared" si="93"/>
        <v>1.4686714920386723E-5</v>
      </c>
      <c r="W109" s="2"/>
      <c r="X109" s="7">
        <f t="shared" si="94"/>
        <v>-45.49</v>
      </c>
      <c r="Y109" s="2"/>
      <c r="Z109" s="6">
        <f t="shared" si="95"/>
        <v>-1</v>
      </c>
    </row>
    <row r="110" spans="1:26" s="24" customFormat="1" hidden="1" outlineLevel="2" x14ac:dyDescent="0.25">
      <c r="A110" s="27"/>
      <c r="B110" s="11" t="str">
        <f>CONCATENATE("          ", "6298", " - ", "VEHICLE MILEAGE")</f>
        <v xml:space="preserve">          6298 - VEHICLE MILEAGE</v>
      </c>
      <c r="C110" s="11"/>
      <c r="D110" s="7"/>
      <c r="E110" s="2"/>
      <c r="F110" s="6">
        <f t="shared" si="88"/>
        <v>0</v>
      </c>
      <c r="G110" s="2"/>
      <c r="H110" s="7">
        <v>114.68</v>
      </c>
      <c r="I110" s="2"/>
      <c r="J110" s="6">
        <f t="shared" si="89"/>
        <v>2.6857927209255976E-4</v>
      </c>
      <c r="K110" s="2"/>
      <c r="L110" s="7">
        <f t="shared" si="90"/>
        <v>-114.68</v>
      </c>
      <c r="M110" s="2"/>
      <c r="N110" s="6">
        <f t="shared" si="91"/>
        <v>-1</v>
      </c>
      <c r="O110" s="11"/>
      <c r="P110" s="7">
        <v>332.21</v>
      </c>
      <c r="Q110" s="2"/>
      <c r="R110" s="6">
        <f t="shared" si="92"/>
        <v>1.7105358007146751E-3</v>
      </c>
      <c r="S110" s="2"/>
      <c r="T110" s="7">
        <v>772.73</v>
      </c>
      <c r="U110" s="2"/>
      <c r="V110" s="6">
        <f t="shared" si="93"/>
        <v>2.4948044010618669E-4</v>
      </c>
      <c r="W110" s="2"/>
      <c r="X110" s="7">
        <f t="shared" si="94"/>
        <v>-440.52000000000004</v>
      </c>
      <c r="Y110" s="2"/>
      <c r="Z110" s="6">
        <f t="shared" si="95"/>
        <v>-0.57008269382578658</v>
      </c>
    </row>
    <row r="111" spans="1:26" s="25" customFormat="1" outlineLevel="1" collapsed="1" x14ac:dyDescent="0.25">
      <c r="A111" s="26"/>
      <c r="B111" s="13" t="str">
        <f>CONCATENATE("     ","Utilities                                         ")</f>
        <v xml:space="preserve">     Utilities                                         </v>
      </c>
      <c r="C111" s="13"/>
      <c r="D111" s="1">
        <f>SUM(OSRRefD22_23x_0)</f>
        <v>3660</v>
      </c>
      <c r="E111" s="1"/>
      <c r="F111" s="5">
        <f t="shared" ref="F111:F112" si="96">IF(D$12=0,0,D111/D$12)</f>
        <v>5.071358587867731E-2</v>
      </c>
      <c r="G111" s="1"/>
      <c r="H111" s="1">
        <f>SUM(OSRRefH22_23x_0)</f>
        <v>38547</v>
      </c>
      <c r="I111" s="1"/>
      <c r="J111" s="5">
        <f t="shared" ref="J111:J112" si="97">IF(H$12=0,0,H111/H$12)</f>
        <v>9.0276641100034E-2</v>
      </c>
      <c r="K111" s="1"/>
      <c r="L111" s="1">
        <f t="shared" ref="L111:L112" si="98">+D111-H111</f>
        <v>-34887</v>
      </c>
      <c r="M111" s="1"/>
      <c r="N111" s="5">
        <f t="shared" ref="N111:N112" si="99">IF(H111=0,0,L111/H111)</f>
        <v>-0.90505097672970658</v>
      </c>
      <c r="O111" s="13"/>
      <c r="P111" s="1">
        <f>SUM(OSRRefP22_23x_0)</f>
        <v>992</v>
      </c>
      <c r="Q111" s="1"/>
      <c r="R111" s="5">
        <f t="shared" ref="R111:R112" si="100">IF(P$12=0,0,P111/P$12)</f>
        <v>5.107767720143758E-3</v>
      </c>
      <c r="S111" s="1"/>
      <c r="T111" s="1">
        <f>SUM(OSRRefT22_23x_0)</f>
        <v>96887</v>
      </c>
      <c r="U111" s="1"/>
      <c r="V111" s="5">
        <f t="shared" ref="V111:V112" si="101">IF(T$12=0,0,T111/T$12)</f>
        <v>3.1280539645889387E-2</v>
      </c>
      <c r="W111" s="1"/>
      <c r="X111" s="1">
        <f t="shared" ref="X111:X112" si="102">+P111-T111</f>
        <v>-95895</v>
      </c>
      <c r="Y111" s="1"/>
      <c r="Z111" s="5">
        <f t="shared" ref="Z111:Z112" si="103">IF(T111=0,0,X111/T111)</f>
        <v>-0.98976126828160638</v>
      </c>
    </row>
    <row r="112" spans="1:26" s="24" customFormat="1" hidden="1" outlineLevel="2" x14ac:dyDescent="0.25">
      <c r="A112" s="27"/>
      <c r="B112" s="11" t="str">
        <f>CONCATENATE("          ", "6274", " - ", "UTILITIES")</f>
        <v xml:space="preserve">          6274 - UTILITIES</v>
      </c>
      <c r="C112" s="11"/>
      <c r="D112" s="7">
        <v>3660</v>
      </c>
      <c r="E112" s="2"/>
      <c r="F112" s="6">
        <f t="shared" si="96"/>
        <v>5.071358587867731E-2</v>
      </c>
      <c r="G112" s="2"/>
      <c r="H112" s="7">
        <v>38547</v>
      </c>
      <c r="I112" s="2"/>
      <c r="J112" s="6">
        <f t="shared" si="97"/>
        <v>9.0276641100034E-2</v>
      </c>
      <c r="K112" s="2"/>
      <c r="L112" s="7">
        <f t="shared" si="98"/>
        <v>-34887</v>
      </c>
      <c r="M112" s="2"/>
      <c r="N112" s="6">
        <f t="shared" si="99"/>
        <v>-0.90505097672970658</v>
      </c>
      <c r="O112" s="11"/>
      <c r="P112" s="7">
        <v>992</v>
      </c>
      <c r="Q112" s="2"/>
      <c r="R112" s="6">
        <f t="shared" si="100"/>
        <v>5.107767720143758E-3</v>
      </c>
      <c r="S112" s="2"/>
      <c r="T112" s="7">
        <v>96887</v>
      </c>
      <c r="U112" s="2"/>
      <c r="V112" s="6">
        <f t="shared" si="101"/>
        <v>3.1280539645889387E-2</v>
      </c>
      <c r="W112" s="2"/>
      <c r="X112" s="7">
        <f t="shared" si="102"/>
        <v>-95895</v>
      </c>
      <c r="Y112" s="2"/>
      <c r="Z112" s="6">
        <f t="shared" si="103"/>
        <v>-0.98976126828160638</v>
      </c>
    </row>
    <row r="113" spans="1:26" s="55" customFormat="1" x14ac:dyDescent="0.25">
      <c r="A113" s="37"/>
      <c r="B113" s="37"/>
      <c r="C113" s="37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7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collapsed="1" x14ac:dyDescent="0.25">
      <c r="A114" s="10"/>
      <c r="B114" s="29" t="s">
        <v>0</v>
      </c>
      <c r="C114" s="10"/>
      <c r="D114" s="4">
        <f>SUM(OSRRefD25x_0)</f>
        <v>11120.800000000001</v>
      </c>
      <c r="E114" s="4"/>
      <c r="F114" s="12">
        <f t="shared" ref="F114:F117" si="104">IF(D$12=0,0,D114/D$12)</f>
        <v>0.15409170651355045</v>
      </c>
      <c r="G114" s="4"/>
      <c r="H114" s="4">
        <f>SUM(OSRRefH25x_0)</f>
        <v>21370.27</v>
      </c>
      <c r="I114" s="4"/>
      <c r="J114" s="12">
        <f t="shared" ref="J114:J117" si="105">IF(H$12=0,0,H114/H$12)</f>
        <v>5.0048932342356703E-2</v>
      </c>
      <c r="K114" s="4"/>
      <c r="L114" s="4">
        <f t="shared" ref="L114:L117" si="106">+D114-H114</f>
        <v>-10249.469999999999</v>
      </c>
      <c r="M114" s="4"/>
      <c r="N114" s="12">
        <f t="shared" ref="N114:N117" si="107">IF(H114=0,0,L114/H114)</f>
        <v>-0.47961350043775763</v>
      </c>
      <c r="O114" s="10"/>
      <c r="P114" s="4">
        <f>SUM(OSRRefP25x_0)</f>
        <v>15371.47</v>
      </c>
      <c r="Q114" s="4"/>
      <c r="R114" s="12">
        <f t="shared" ref="R114:R117" si="108">IF(P$12=0,0,P114/P$12)</f>
        <v>7.9147074876167511E-2</v>
      </c>
      <c r="S114" s="4"/>
      <c r="T114" s="4">
        <f>SUM(OSRRefT25x_0)</f>
        <v>514437.52999999997</v>
      </c>
      <c r="U114" s="4"/>
      <c r="V114" s="12">
        <f t="shared" ref="V114:V117" si="109">IF(T$12=0,0,T114/T$12)</f>
        <v>0.16608919207425568</v>
      </c>
      <c r="W114" s="4"/>
      <c r="X114" s="4">
        <f t="shared" ref="X114:X117" si="110">+P114-T114</f>
        <v>-499066.06</v>
      </c>
      <c r="Y114" s="4"/>
      <c r="Z114" s="12">
        <f t="shared" ref="Z114:Z117" si="111">IF(T114=0,0,X114/T114)</f>
        <v>-0.97011985109251264</v>
      </c>
    </row>
    <row r="115" spans="1:26" s="24" customFormat="1" hidden="1" outlineLevel="1" x14ac:dyDescent="0.25">
      <c r="A115" s="44"/>
      <c r="B115" s="11" t="str">
        <f>CONCATENATE("          ", "9150", " - ", "MISC. INCOME")</f>
        <v xml:space="preserve">          9150 - MISC. INCOME</v>
      </c>
      <c r="C115" s="11"/>
      <c r="D115" s="2">
        <f>--804.28</f>
        <v>804.28</v>
      </c>
      <c r="E115" s="2"/>
      <c r="F115" s="19">
        <f t="shared" si="104"/>
        <v>1.1144241215984313E-2</v>
      </c>
      <c r="G115" s="2"/>
      <c r="H115" s="2">
        <f>--17328.33</f>
        <v>17328.330000000002</v>
      </c>
      <c r="I115" s="2"/>
      <c r="J115" s="19">
        <f t="shared" si="105"/>
        <v>4.0582754255141837E-2</v>
      </c>
      <c r="K115" s="2"/>
      <c r="L115" s="2">
        <f t="shared" si="106"/>
        <v>-16524.050000000003</v>
      </c>
      <c r="M115" s="2"/>
      <c r="N115" s="19">
        <f t="shared" si="107"/>
        <v>-0.95358583314145107</v>
      </c>
      <c r="O115" s="11"/>
      <c r="P115" s="2">
        <f>--1728.05</f>
        <v>1728.05</v>
      </c>
      <c r="Q115" s="2"/>
      <c r="R115" s="19">
        <f t="shared" si="108"/>
        <v>8.8976592830588928E-3</v>
      </c>
      <c r="S115" s="2"/>
      <c r="T115" s="2">
        <f>--182971.27</f>
        <v>182971.27</v>
      </c>
      <c r="U115" s="2"/>
      <c r="V115" s="19">
        <f t="shared" si="109"/>
        <v>5.9073354168193169E-2</v>
      </c>
      <c r="W115" s="2"/>
      <c r="X115" s="2">
        <f t="shared" si="110"/>
        <v>-181243.22</v>
      </c>
      <c r="Y115" s="2"/>
      <c r="Z115" s="19">
        <f t="shared" si="111"/>
        <v>-0.99055562110925943</v>
      </c>
    </row>
    <row r="116" spans="1:26" s="24" customFormat="1" hidden="1" outlineLevel="1" x14ac:dyDescent="0.25">
      <c r="A116" s="44"/>
      <c r="B116" s="11" t="str">
        <f>CONCATENATE("          ", "9160", " - ", "MISC. INCOME")</f>
        <v xml:space="preserve">          9160 - MISC. INCOME</v>
      </c>
      <c r="C116" s="11"/>
      <c r="D116" s="2">
        <f>--10000</f>
        <v>10000</v>
      </c>
      <c r="E116" s="2"/>
      <c r="F116" s="19">
        <f t="shared" si="104"/>
        <v>0.13856171005103091</v>
      </c>
      <c r="G116" s="2"/>
      <c r="H116" s="2">
        <f>0</f>
        <v>0</v>
      </c>
      <c r="I116" s="2"/>
      <c r="J116" s="19">
        <f t="shared" si="105"/>
        <v>0</v>
      </c>
      <c r="K116" s="2"/>
      <c r="L116" s="2">
        <f t="shared" si="106"/>
        <v>10000</v>
      </c>
      <c r="M116" s="2"/>
      <c r="N116" s="19">
        <f t="shared" si="107"/>
        <v>0</v>
      </c>
      <c r="O116" s="11"/>
      <c r="P116" s="2">
        <f>--12328.25</f>
        <v>12328.25</v>
      </c>
      <c r="Q116" s="2"/>
      <c r="R116" s="19">
        <f t="shared" si="108"/>
        <v>6.3477658665183762E-2</v>
      </c>
      <c r="S116" s="2"/>
      <c r="T116" s="2">
        <f>--104050.2</f>
        <v>104050.2</v>
      </c>
      <c r="U116" s="2"/>
      <c r="V116" s="19">
        <f t="shared" si="109"/>
        <v>3.3593221033396847E-2</v>
      </c>
      <c r="W116" s="2"/>
      <c r="X116" s="2">
        <f t="shared" si="110"/>
        <v>-91721.95</v>
      </c>
      <c r="Y116" s="2"/>
      <c r="Z116" s="19">
        <f t="shared" si="111"/>
        <v>-0.8815163257735209</v>
      </c>
    </row>
    <row r="117" spans="1:26" s="24" customFormat="1" hidden="1" outlineLevel="1" x14ac:dyDescent="0.25">
      <c r="A117" s="44"/>
      <c r="B117" s="11" t="str">
        <f>CONCATENATE("          ", "9165", " - ", "OTHER INCOME")</f>
        <v xml:space="preserve">          9165 - OTHER INCOME</v>
      </c>
      <c r="C117" s="11"/>
      <c r="D117" s="2">
        <f>--316.52</f>
        <v>316.52</v>
      </c>
      <c r="E117" s="2"/>
      <c r="F117" s="19">
        <f t="shared" si="104"/>
        <v>4.3857552465352296E-3</v>
      </c>
      <c r="G117" s="2"/>
      <c r="H117" s="2">
        <f>--4041.94</f>
        <v>4041.94</v>
      </c>
      <c r="I117" s="2"/>
      <c r="J117" s="19">
        <f t="shared" si="105"/>
        <v>9.466178087214866E-3</v>
      </c>
      <c r="K117" s="2"/>
      <c r="L117" s="2">
        <f t="shared" si="106"/>
        <v>-3725.42</v>
      </c>
      <c r="M117" s="2"/>
      <c r="N117" s="19">
        <f t="shared" si="107"/>
        <v>-0.92169106914006638</v>
      </c>
      <c r="O117" s="11"/>
      <c r="P117" s="2">
        <f>--1315.17</f>
        <v>1315.17</v>
      </c>
      <c r="Q117" s="2"/>
      <c r="R117" s="19">
        <f t="shared" si="108"/>
        <v>6.7717569279248657E-3</v>
      </c>
      <c r="S117" s="2"/>
      <c r="T117" s="2">
        <f>--227416.06</f>
        <v>227416.06</v>
      </c>
      <c r="U117" s="2"/>
      <c r="V117" s="19">
        <f t="shared" si="109"/>
        <v>7.3422616872665686E-2</v>
      </c>
      <c r="W117" s="2"/>
      <c r="X117" s="2">
        <f t="shared" si="110"/>
        <v>-226100.88999999998</v>
      </c>
      <c r="Y117" s="2"/>
      <c r="Z117" s="19">
        <f t="shared" si="111"/>
        <v>-0.99421689919348699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10"/>
      <c r="B119" s="28" t="s">
        <v>3</v>
      </c>
      <c r="C119" s="28"/>
      <c r="D119" s="20">
        <f>+D27-D29+D114</f>
        <v>-36515.710000000006</v>
      </c>
      <c r="E119" s="14"/>
      <c r="F119" s="21">
        <f>IF(D$12=0,0,D119/D$12)</f>
        <v>-0.5059679221327531</v>
      </c>
      <c r="G119" s="14"/>
      <c r="H119" s="20">
        <f>+H27-H29+H114</f>
        <v>-169979.66000000006</v>
      </c>
      <c r="I119" s="14"/>
      <c r="J119" s="21">
        <f>IF(H$12=0,0,H119/H$12)</f>
        <v>-0.398090454772766</v>
      </c>
      <c r="K119" s="15"/>
      <c r="L119" s="20">
        <f>+D119-H119</f>
        <v>133463.95000000007</v>
      </c>
      <c r="M119" s="15"/>
      <c r="N119" s="21">
        <f>IF(H119=0,0,L119/H119)</f>
        <v>-0.7851760028229261</v>
      </c>
      <c r="O119" s="29"/>
      <c r="P119" s="20">
        <f>+P27-P29+P114</f>
        <v>-484110.4800000001</v>
      </c>
      <c r="Q119" s="14"/>
      <c r="R119" s="21">
        <f>IF(P$12=0,0,P119/P$12)</f>
        <v>-2.4926652043621984</v>
      </c>
      <c r="S119" s="14"/>
      <c r="T119" s="20">
        <f>+T27-T29+T114</f>
        <v>-274371.45</v>
      </c>
      <c r="U119" s="14"/>
      <c r="V119" s="21">
        <f>IF(T$12=0,0,T119/T$12)</f>
        <v>-8.8582441601300063E-2</v>
      </c>
      <c r="W119" s="15"/>
      <c r="X119" s="20">
        <f>+P119-T119</f>
        <v>-209739.03000000009</v>
      </c>
      <c r="Y119" s="15"/>
      <c r="Z119" s="21">
        <f>IF(T119=0,0,X119/T119)</f>
        <v>0.76443460134062813</v>
      </c>
    </row>
    <row r="120" spans="1:26" x14ac:dyDescent="0.2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51"/>
      <c r="B121" s="10" t="s">
        <v>13</v>
      </c>
      <c r="C121" s="10"/>
      <c r="D121" s="4">
        <v>16540.91</v>
      </c>
      <c r="E121" s="4"/>
      <c r="F121" s="12">
        <f>IF(D$12=0,0,D121/D$12)</f>
        <v>0.22919367754001976</v>
      </c>
      <c r="G121" s="4"/>
      <c r="H121" s="4">
        <v>51764.33</v>
      </c>
      <c r="I121" s="4"/>
      <c r="J121" s="12">
        <f>IF(H$12=0,0,H121/H$12)</f>
        <v>0.12123147952353551</v>
      </c>
      <c r="K121" s="4"/>
      <c r="L121" s="4">
        <f>+D121-H121</f>
        <v>-35223.42</v>
      </c>
      <c r="M121" s="4"/>
      <c r="N121" s="12">
        <f>IF(H121=0,0,L121/H121)</f>
        <v>-0.68045737286660524</v>
      </c>
      <c r="O121" s="10"/>
      <c r="P121" s="4">
        <v>35933.699999999997</v>
      </c>
      <c r="Q121" s="4"/>
      <c r="R121" s="12">
        <f>IF(P$12=0,0,P121/P$12)</f>
        <v>0.18502116222311465</v>
      </c>
      <c r="S121" s="4"/>
      <c r="T121" s="4">
        <v>334538.41000000003</v>
      </c>
      <c r="U121" s="4"/>
      <c r="V121" s="12">
        <f>IF(T$12=0,0,T121/T$12)</f>
        <v>0.10800769966123216</v>
      </c>
      <c r="W121" s="4"/>
      <c r="X121" s="4">
        <f>+P121-T121</f>
        <v>-298604.71000000002</v>
      </c>
      <c r="Y121" s="4"/>
      <c r="Z121" s="12">
        <f>IF(T121=0,0,X121/T121)</f>
        <v>-0.8925872218977785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8" t="s">
        <v>4</v>
      </c>
      <c r="C123" s="28"/>
      <c r="D123" s="33">
        <f>+D119-D121</f>
        <v>-53056.62000000001</v>
      </c>
      <c r="E123" s="14"/>
      <c r="F123" s="34">
        <f>IF(D$12=0,0,D123/D$12)</f>
        <v>-0.73516159967277284</v>
      </c>
      <c r="G123" s="14"/>
      <c r="H123" s="33">
        <f>+H119-H121</f>
        <v>-221743.99000000005</v>
      </c>
      <c r="I123" s="14"/>
      <c r="J123" s="34">
        <f>IF(H$12=0,0,H123/H$12)</f>
        <v>-0.51932193429630147</v>
      </c>
      <c r="K123" s="15"/>
      <c r="L123" s="33">
        <f>D123-H123</f>
        <v>168687.37000000005</v>
      </c>
      <c r="M123" s="15"/>
      <c r="N123" s="34">
        <f>IF(H123=0,0,L123/H123)</f>
        <v>-0.76073029081870502</v>
      </c>
      <c r="O123" s="29"/>
      <c r="P123" s="33">
        <f>+P119-P121</f>
        <v>-520044.18000000011</v>
      </c>
      <c r="Q123" s="14"/>
      <c r="R123" s="34">
        <f>IF(P$12=0,0,P123/P$12)</f>
        <v>-2.6776863665853132</v>
      </c>
      <c r="S123" s="14"/>
      <c r="T123" s="33">
        <f>+T119-T121</f>
        <v>-608909.8600000001</v>
      </c>
      <c r="U123" s="14"/>
      <c r="V123" s="34">
        <f>IF(T$12=0,0,T123/T$12)</f>
        <v>-0.19659014126253224</v>
      </c>
      <c r="W123" s="15"/>
      <c r="X123" s="33">
        <f>P123-T123</f>
        <v>88865.68</v>
      </c>
      <c r="Y123" s="15"/>
      <c r="Z123" s="34">
        <f>IF(T123=0,0,X123/T123)</f>
        <v>-0.14594225818580106</v>
      </c>
    </row>
    <row r="124" spans="1:26" ht="15.75" thickTop="1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8" t="s">
        <v>5</v>
      </c>
      <c r="C126" s="28"/>
      <c r="D126" s="30">
        <f>SUM(D123:D125)</f>
        <v>-53056.62000000001</v>
      </c>
      <c r="E126" s="14"/>
      <c r="F126" s="32">
        <f>IF(D$12=0,0,D126/D$12)</f>
        <v>-0.73516159967277284</v>
      </c>
      <c r="G126" s="14"/>
      <c r="H126" s="30">
        <f>SUM(H123:H125)</f>
        <v>-221743.99000000005</v>
      </c>
      <c r="I126" s="14"/>
      <c r="J126" s="32">
        <f>IF(H$12=0,0,H126/H$12)</f>
        <v>-0.51932193429630147</v>
      </c>
      <c r="K126" s="15"/>
      <c r="L126" s="30">
        <f>+D126-H126</f>
        <v>168687.37000000005</v>
      </c>
      <c r="M126" s="15"/>
      <c r="N126" s="32">
        <f>IF(H126=0,0,L126/H126)</f>
        <v>-0.76073029081870502</v>
      </c>
      <c r="O126" s="29"/>
      <c r="P126" s="30">
        <f>SUM(P123:P125)</f>
        <v>-520044.18000000011</v>
      </c>
      <c r="Q126" s="14"/>
      <c r="R126" s="32">
        <f>IF(P$12=0,0,P126/P$12)</f>
        <v>-2.6776863665853132</v>
      </c>
      <c r="S126" s="14"/>
      <c r="T126" s="30">
        <f>SUM(T123:T125)</f>
        <v>-608909.8600000001</v>
      </c>
      <c r="U126" s="14"/>
      <c r="V126" s="32">
        <f>IF(T$12=0,0,T126/T$12)</f>
        <v>-0.19659014126253224</v>
      </c>
      <c r="W126" s="15"/>
      <c r="X126" s="30">
        <f>+P126-T126</f>
        <v>88865.68</v>
      </c>
      <c r="Y126" s="15"/>
      <c r="Z126" s="32">
        <f>IF(T126=0,0,X126/T126)</f>
        <v>-0.14594225818580106</v>
      </c>
    </row>
    <row r="127" spans="1:26" ht="15.75" thickTop="1" x14ac:dyDescent="0.25">
      <c r="A127" s="9"/>
      <c r="C127" s="9"/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  <row r="128" spans="1:26" x14ac:dyDescent="0.25">
      <c r="A128" s="9"/>
      <c r="B128" s="58">
        <v>44209.52148935185</v>
      </c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  <row r="129" spans="1:24" x14ac:dyDescent="0.25">
      <c r="A129" s="9"/>
      <c r="B129" s="61" t="s">
        <v>313</v>
      </c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  <row r="130" spans="1:24" x14ac:dyDescent="0.25">
      <c r="A130" s="9"/>
      <c r="B130" s="57"/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4" x14ac:dyDescent="0.25"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","405", " - ", "Library Starbucks")</f>
        <v>Department 405 - Library Starbucks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81578.179999999993</v>
      </c>
      <c r="I12" s="4"/>
      <c r="J12" s="12"/>
      <c r="K12" s="4"/>
      <c r="L12" s="4">
        <f t="shared" ref="L12:L14" si="0">+D12-H12</f>
        <v>-81578.179999999993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506433.89</v>
      </c>
      <c r="U12" s="4"/>
      <c r="V12" s="12"/>
      <c r="W12" s="4"/>
      <c r="X12" s="4">
        <f t="shared" ref="X12:X14" si="2">+P12-T12</f>
        <v>-506433.89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--15664.79</f>
        <v>15664.79</v>
      </c>
      <c r="I13" s="2"/>
      <c r="J13" s="19"/>
      <c r="K13" s="2"/>
      <c r="L13" s="2">
        <f t="shared" si="0"/>
        <v>-15664.79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--110351.72</f>
        <v>110351.72</v>
      </c>
      <c r="U13" s="2"/>
      <c r="V13" s="19"/>
      <c r="W13" s="2"/>
      <c r="X13" s="2">
        <f t="shared" si="2"/>
        <v>-110351.72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--65913.39</f>
        <v>65913.39</v>
      </c>
      <c r="I14" s="2"/>
      <c r="J14" s="19"/>
      <c r="K14" s="2"/>
      <c r="L14" s="2">
        <f t="shared" si="0"/>
        <v>-65913.39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--396082.17</f>
        <v>396082.17</v>
      </c>
      <c r="U14" s="2"/>
      <c r="V14" s="19"/>
      <c r="W14" s="2"/>
      <c r="X14" s="2">
        <f t="shared" si="2"/>
        <v>-396082.17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30685.63</v>
      </c>
      <c r="I16" s="4"/>
      <c r="J16" s="12">
        <f t="shared" ref="J16:J18" si="7">IF(H$12=0,0,H16/H$12)</f>
        <v>0.37614997049456123</v>
      </c>
      <c r="K16" s="4"/>
      <c r="L16" s="4">
        <f t="shared" ref="L16:L18" si="8">+D16-H16</f>
        <v>-30685.63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194139.05</v>
      </c>
      <c r="U16" s="4"/>
      <c r="V16" s="12">
        <f t="shared" ref="V16:V18" si="11">IF(T$12=0,0,T16/T$12)</f>
        <v>0.38334529705348114</v>
      </c>
      <c r="W16" s="4"/>
      <c r="X16" s="4">
        <f t="shared" ref="X16:X18" si="12">+P16-T16</f>
        <v>-194139.05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31975.63</v>
      </c>
      <c r="I17" s="2"/>
      <c r="J17" s="19">
        <f t="shared" si="7"/>
        <v>0.39196302246507586</v>
      </c>
      <c r="K17" s="2"/>
      <c r="L17" s="2">
        <f t="shared" si="8"/>
        <v>-31975.63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202741.05</v>
      </c>
      <c r="U17" s="2"/>
      <c r="V17" s="19">
        <f t="shared" si="11"/>
        <v>0.40033073221067411</v>
      </c>
      <c r="W17" s="2"/>
      <c r="X17" s="2">
        <f t="shared" si="12"/>
        <v>-202741.05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-1290</v>
      </c>
      <c r="I18" s="2"/>
      <c r="J18" s="19">
        <f t="shared" si="7"/>
        <v>-1.5813051970514667E-2</v>
      </c>
      <c r="K18" s="2"/>
      <c r="L18" s="2">
        <f t="shared" si="8"/>
        <v>1290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-8602</v>
      </c>
      <c r="U18" s="2"/>
      <c r="V18" s="19">
        <f t="shared" si="11"/>
        <v>-1.6985435157192974E-2</v>
      </c>
      <c r="W18" s="2"/>
      <c r="X18" s="2">
        <f t="shared" si="12"/>
        <v>8602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50892.549999999988</v>
      </c>
      <c r="I20" s="14"/>
      <c r="J20" s="21">
        <f>IF(H$12=0,0,H20/H$12)</f>
        <v>0.62385002950543877</v>
      </c>
      <c r="K20" s="15"/>
      <c r="L20" s="20">
        <f>+D20-H20</f>
        <v>-50892.549999999988</v>
      </c>
      <c r="M20" s="15"/>
      <c r="N20" s="21">
        <f>IF(H20=0,0,L20/H20)</f>
        <v>-1</v>
      </c>
      <c r="O20" s="29"/>
      <c r="P20" s="20">
        <f>P12-P16</f>
        <v>0</v>
      </c>
      <c r="Q20" s="14"/>
      <c r="R20" s="21">
        <f>IF(P$12=0,0,P20/P$12)</f>
        <v>0</v>
      </c>
      <c r="S20" s="14"/>
      <c r="T20" s="20">
        <f>T12-T16</f>
        <v>312294.84000000003</v>
      </c>
      <c r="U20" s="14"/>
      <c r="V20" s="21">
        <f>IF(T$12=0,0,T20/T$12)</f>
        <v>0.61665470294651892</v>
      </c>
      <c r="W20" s="15"/>
      <c r="X20" s="20">
        <f>+P20-T20</f>
        <v>-312294.84000000003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11318.36</v>
      </c>
      <c r="E22" s="22"/>
      <c r="F22" s="36">
        <f t="shared" ref="F22:F31" si="14">IF(D$12=0,0,D22/D$12)</f>
        <v>0</v>
      </c>
      <c r="G22" s="22"/>
      <c r="H22" s="22">
        <f>SUM(OSRRefH22x_0)</f>
        <v>55764.12</v>
      </c>
      <c r="I22" s="22"/>
      <c r="J22" s="36">
        <f t="shared" ref="J22:J31" si="15">IF(H$12=0,0,H22/H$12)</f>
        <v>0.683566610581408</v>
      </c>
      <c r="K22" s="4"/>
      <c r="L22" s="22">
        <f t="shared" ref="L22:L31" si="16">+D22-H22</f>
        <v>-44445.760000000002</v>
      </c>
      <c r="M22" s="4"/>
      <c r="N22" s="36">
        <f t="shared" ref="N22:N31" si="17">IF(H22=0,0,L22/H22)</f>
        <v>-0.79703149623808289</v>
      </c>
      <c r="O22" s="10"/>
      <c r="P22" s="22">
        <f>SUM(OSRRefP22x_0)</f>
        <v>45190.04</v>
      </c>
      <c r="Q22" s="22"/>
      <c r="R22" s="36">
        <f t="shared" ref="R22:R31" si="18">IF(P$12=0,0,P22/P$12)</f>
        <v>0</v>
      </c>
      <c r="S22" s="22"/>
      <c r="T22" s="22">
        <f>SUM(OSRRefT22x_0)</f>
        <v>338285.95999999996</v>
      </c>
      <c r="U22" s="22"/>
      <c r="V22" s="36">
        <f t="shared" ref="V22:V31" si="19">IF(T$12=0,0,T22/T$12)</f>
        <v>0.6679765447766538</v>
      </c>
      <c r="W22" s="4"/>
      <c r="X22" s="22">
        <f t="shared" ref="X22:X31" si="20">+P22-T22</f>
        <v>-293095.92</v>
      </c>
      <c r="Y22" s="4"/>
      <c r="Z22" s="36">
        <f t="shared" ref="Z22:Z31" si="21">IF(T22=0,0,X22/T22)</f>
        <v>-0.86641467473258427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5560.14</v>
      </c>
      <c r="I23" s="1"/>
      <c r="J23" s="5">
        <f t="shared" si="15"/>
        <v>6.8157195956075514E-2</v>
      </c>
      <c r="K23" s="1"/>
      <c r="L23" s="1">
        <f t="shared" si="16"/>
        <v>-5560.14</v>
      </c>
      <c r="M23" s="1"/>
      <c r="N23" s="5">
        <f t="shared" si="17"/>
        <v>-1</v>
      </c>
      <c r="O23" s="13"/>
      <c r="P23" s="1">
        <f>SUM(OSRRefP22_0x_0)</f>
        <v>0.83</v>
      </c>
      <c r="Q23" s="1"/>
      <c r="R23" s="5">
        <f t="shared" si="18"/>
        <v>0</v>
      </c>
      <c r="S23" s="1"/>
      <c r="T23" s="1">
        <f>SUM(OSRRefT22_0x_0)</f>
        <v>31394.36</v>
      </c>
      <c r="U23" s="1"/>
      <c r="V23" s="5">
        <f t="shared" si="19"/>
        <v>6.1991033025060781E-2</v>
      </c>
      <c r="W23" s="1"/>
      <c r="X23" s="1">
        <f t="shared" si="20"/>
        <v>-31393.53</v>
      </c>
      <c r="Y23" s="1"/>
      <c r="Z23" s="5">
        <f t="shared" si="21"/>
        <v>-0.99997356213026789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763.34</v>
      </c>
      <c r="I24" s="2"/>
      <c r="J24" s="6">
        <f t="shared" si="15"/>
        <v>9.3571589854051663E-3</v>
      </c>
      <c r="K24" s="2"/>
      <c r="L24" s="7">
        <f t="shared" si="16"/>
        <v>-763.34</v>
      </c>
      <c r="M24" s="2"/>
      <c r="N24" s="6">
        <f t="shared" si="17"/>
        <v>-1</v>
      </c>
      <c r="O24" s="11"/>
      <c r="P24" s="7">
        <v>0.83</v>
      </c>
      <c r="Q24" s="2"/>
      <c r="R24" s="6">
        <f t="shared" si="18"/>
        <v>0</v>
      </c>
      <c r="S24" s="2"/>
      <c r="T24" s="7">
        <v>6437.62</v>
      </c>
      <c r="U24" s="2"/>
      <c r="V24" s="6">
        <f t="shared" si="19"/>
        <v>1.2711669039368594E-2</v>
      </c>
      <c r="W24" s="2"/>
      <c r="X24" s="7">
        <f t="shared" si="20"/>
        <v>-6436.79</v>
      </c>
      <c r="Y24" s="2"/>
      <c r="Z24" s="6">
        <f t="shared" si="21"/>
        <v>-0.99987107036451361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1436</v>
      </c>
      <c r="I25" s="2"/>
      <c r="J25" s="6">
        <f t="shared" si="15"/>
        <v>1.7602746224541908E-2</v>
      </c>
      <c r="K25" s="2"/>
      <c r="L25" s="7">
        <f t="shared" si="16"/>
        <v>-1436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5067.8900000000003</v>
      </c>
      <c r="U25" s="2"/>
      <c r="V25" s="6">
        <f t="shared" si="19"/>
        <v>1.0007011971493457E-2</v>
      </c>
      <c r="W25" s="2"/>
      <c r="X25" s="7">
        <f t="shared" si="20"/>
        <v>-5067.8900000000003</v>
      </c>
      <c r="Y25" s="2"/>
      <c r="Z25" s="6">
        <f t="shared" si="21"/>
        <v>-1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1376.23</v>
      </c>
      <c r="I26" s="2"/>
      <c r="J26" s="6">
        <f t="shared" si="15"/>
        <v>1.6870074816574727E-2</v>
      </c>
      <c r="K26" s="2"/>
      <c r="L26" s="7">
        <f t="shared" si="16"/>
        <v>-1376.23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8257.3799999999992</v>
      </c>
      <c r="U26" s="2"/>
      <c r="V26" s="6">
        <f t="shared" si="19"/>
        <v>1.6304951471553374E-2</v>
      </c>
      <c r="W26" s="2"/>
      <c r="X26" s="7">
        <f t="shared" si="20"/>
        <v>-8257.3799999999992</v>
      </c>
      <c r="Y26" s="2"/>
      <c r="Z26" s="6">
        <f t="shared" si="21"/>
        <v>-1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96.23</v>
      </c>
      <c r="I27" s="2"/>
      <c r="J27" s="6">
        <f t="shared" si="15"/>
        <v>1.1796046442811058E-3</v>
      </c>
      <c r="K27" s="2"/>
      <c r="L27" s="7">
        <f t="shared" si="16"/>
        <v>-96.23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443.72</v>
      </c>
      <c r="U27" s="2"/>
      <c r="V27" s="6">
        <f t="shared" si="19"/>
        <v>8.7616569262376979E-4</v>
      </c>
      <c r="W27" s="2"/>
      <c r="X27" s="7">
        <f t="shared" si="20"/>
        <v>-443.72</v>
      </c>
      <c r="Y27" s="2"/>
      <c r="Z27" s="6">
        <f t="shared" si="21"/>
        <v>-1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696.67</v>
      </c>
      <c r="I28" s="2"/>
      <c r="J28" s="6">
        <f t="shared" si="15"/>
        <v>8.539906136665467E-3</v>
      </c>
      <c r="K28" s="2"/>
      <c r="L28" s="7">
        <f t="shared" si="16"/>
        <v>-696.67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4180.0200000000004</v>
      </c>
      <c r="U28" s="2"/>
      <c r="V28" s="6">
        <f t="shared" si="19"/>
        <v>8.2538315119471961E-3</v>
      </c>
      <c r="W28" s="2"/>
      <c r="X28" s="7">
        <f t="shared" si="20"/>
        <v>-4180.0200000000004</v>
      </c>
      <c r="Y28" s="2"/>
      <c r="Z28" s="6">
        <f t="shared" si="21"/>
        <v>-1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384</v>
      </c>
      <c r="I29" s="2"/>
      <c r="J29" s="6">
        <f t="shared" si="15"/>
        <v>4.7071410516880867E-3</v>
      </c>
      <c r="K29" s="2"/>
      <c r="L29" s="7">
        <f t="shared" si="16"/>
        <v>-384</v>
      </c>
      <c r="M29" s="2"/>
      <c r="N29" s="6">
        <f t="shared" si="17"/>
        <v>-1</v>
      </c>
      <c r="O29" s="11"/>
      <c r="P29" s="7"/>
      <c r="Q29" s="2"/>
      <c r="R29" s="6">
        <f t="shared" si="18"/>
        <v>0</v>
      </c>
      <c r="S29" s="2"/>
      <c r="T29" s="7">
        <v>2496</v>
      </c>
      <c r="U29" s="2"/>
      <c r="V29" s="6">
        <f t="shared" si="19"/>
        <v>4.9285801153631324E-3</v>
      </c>
      <c r="W29" s="2"/>
      <c r="X29" s="7">
        <f t="shared" si="20"/>
        <v>-2496</v>
      </c>
      <c r="Y29" s="2"/>
      <c r="Z29" s="6">
        <f t="shared" si="21"/>
        <v>-1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460.04</v>
      </c>
      <c r="I30" s="2"/>
      <c r="J30" s="6">
        <f t="shared" si="15"/>
        <v>5.6392530453609046E-3</v>
      </c>
      <c r="K30" s="2"/>
      <c r="L30" s="7">
        <f t="shared" si="16"/>
        <v>-460.04</v>
      </c>
      <c r="M30" s="2"/>
      <c r="N30" s="6">
        <f t="shared" si="17"/>
        <v>-1</v>
      </c>
      <c r="O30" s="11"/>
      <c r="P30" s="7"/>
      <c r="Q30" s="2"/>
      <c r="R30" s="6">
        <f t="shared" si="18"/>
        <v>0</v>
      </c>
      <c r="S30" s="2"/>
      <c r="T30" s="7">
        <v>2990.26</v>
      </c>
      <c r="U30" s="2"/>
      <c r="V30" s="6">
        <f t="shared" si="19"/>
        <v>5.9045416569574365E-3</v>
      </c>
      <c r="W30" s="2"/>
      <c r="X30" s="7">
        <f t="shared" si="20"/>
        <v>-2990.26</v>
      </c>
      <c r="Y30" s="2"/>
      <c r="Z30" s="6">
        <f t="shared" si="21"/>
        <v>-1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347.63</v>
      </c>
      <c r="I31" s="2"/>
      <c r="J31" s="6">
        <f t="shared" si="15"/>
        <v>4.2613110515581495E-3</v>
      </c>
      <c r="K31" s="2"/>
      <c r="L31" s="7">
        <f t="shared" si="16"/>
        <v>-347.63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1521.47</v>
      </c>
      <c r="U31" s="2"/>
      <c r="V31" s="6">
        <f t="shared" si="19"/>
        <v>3.0042815657538241E-3</v>
      </c>
      <c r="W31" s="2"/>
      <c r="X31" s="7">
        <f t="shared" si="20"/>
        <v>-1521.47</v>
      </c>
      <c r="Y31" s="2"/>
      <c r="Z31" s="6">
        <f t="shared" si="21"/>
        <v>-1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23591.66</v>
      </c>
      <c r="I32" s="1"/>
      <c r="J32" s="5">
        <f t="shared" ref="J32:J36" si="23">IF(H$12=0,0,H32/H$12)</f>
        <v>0.28919081058194729</v>
      </c>
      <c r="K32" s="1"/>
      <c r="L32" s="1">
        <f t="shared" ref="L32:L36" si="24">+D32-H32</f>
        <v>-23591.66</v>
      </c>
      <c r="M32" s="1"/>
      <c r="N32" s="5">
        <f t="shared" ref="N32:N36" si="25">IF(H32=0,0,L32/H32)</f>
        <v>-1</v>
      </c>
      <c r="O32" s="13"/>
      <c r="P32" s="1">
        <f>SUM(OSRRefP22_1x_0)</f>
        <v>0</v>
      </c>
      <c r="Q32" s="1"/>
      <c r="R32" s="5">
        <f t="shared" ref="R32:R36" si="26">IF(P$12=0,0,P32/P$12)</f>
        <v>0</v>
      </c>
      <c r="S32" s="1"/>
      <c r="T32" s="1">
        <f>SUM(OSRRefT22_1x_0)</f>
        <v>157380.87</v>
      </c>
      <c r="U32" s="1"/>
      <c r="V32" s="5">
        <f t="shared" ref="V32:V36" si="27">IF(T$12=0,0,T32/T$12)</f>
        <v>0.31076291122618194</v>
      </c>
      <c r="W32" s="1"/>
      <c r="X32" s="1">
        <f t="shared" ref="X32:X36" si="28">+P32-T32</f>
        <v>-157380.87</v>
      </c>
      <c r="Y32" s="1"/>
      <c r="Z32" s="5">
        <f t="shared" ref="Z32:Z36" si="29">IF(T32=0,0,X32/T32)</f>
        <v>-1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9682.65</v>
      </c>
      <c r="I33" s="2"/>
      <c r="J33" s="6">
        <f t="shared" si="23"/>
        <v>0.11869166485449908</v>
      </c>
      <c r="K33" s="2"/>
      <c r="L33" s="7">
        <f t="shared" si="24"/>
        <v>-9682.65</v>
      </c>
      <c r="M33" s="2"/>
      <c r="N33" s="6">
        <f t="shared" si="25"/>
        <v>-1</v>
      </c>
      <c r="O33" s="11"/>
      <c r="P33" s="7"/>
      <c r="Q33" s="2"/>
      <c r="R33" s="6">
        <f t="shared" si="26"/>
        <v>0</v>
      </c>
      <c r="S33" s="2"/>
      <c r="T33" s="7">
        <v>62751.5</v>
      </c>
      <c r="U33" s="2"/>
      <c r="V33" s="6">
        <f t="shared" si="27"/>
        <v>0.12390857175849744</v>
      </c>
      <c r="W33" s="2"/>
      <c r="X33" s="7">
        <f t="shared" si="28"/>
        <v>-62751.5</v>
      </c>
      <c r="Y33" s="2"/>
      <c r="Z33" s="6">
        <f t="shared" si="29"/>
        <v>-1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/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45.5</v>
      </c>
      <c r="U34" s="2"/>
      <c r="V34" s="6">
        <f t="shared" si="27"/>
        <v>8.9843908352973771E-5</v>
      </c>
      <c r="W34" s="2"/>
      <c r="X34" s="7">
        <f t="shared" si="28"/>
        <v>-45.5</v>
      </c>
      <c r="Y34" s="2"/>
      <c r="Z34" s="6">
        <f t="shared" si="29"/>
        <v>-1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22"/>
        <v>0</v>
      </c>
      <c r="G35" s="2"/>
      <c r="H35" s="7">
        <v>12742.01</v>
      </c>
      <c r="I35" s="2"/>
      <c r="J35" s="6">
        <f t="shared" si="23"/>
        <v>0.15619384987505239</v>
      </c>
      <c r="K35" s="2"/>
      <c r="L35" s="7">
        <f t="shared" si="24"/>
        <v>-12742.01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90119.87</v>
      </c>
      <c r="U35" s="2"/>
      <c r="V35" s="6">
        <f t="shared" si="27"/>
        <v>0.17794991958377823</v>
      </c>
      <c r="W35" s="2"/>
      <c r="X35" s="7">
        <f t="shared" si="28"/>
        <v>-90119.87</v>
      </c>
      <c r="Y35" s="2"/>
      <c r="Z35" s="6">
        <f t="shared" si="29"/>
        <v>-1</v>
      </c>
    </row>
    <row r="36" spans="1:26" s="24" customFormat="1" hidden="1" outlineLevel="2" x14ac:dyDescent="0.2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22"/>
        <v>0</v>
      </c>
      <c r="G36" s="2"/>
      <c r="H36" s="7">
        <v>1167</v>
      </c>
      <c r="I36" s="2"/>
      <c r="J36" s="6">
        <f t="shared" si="23"/>
        <v>1.4305295852395825E-2</v>
      </c>
      <c r="K36" s="2"/>
      <c r="L36" s="7">
        <f t="shared" si="24"/>
        <v>-1167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4464</v>
      </c>
      <c r="U36" s="2"/>
      <c r="V36" s="6">
        <f t="shared" si="27"/>
        <v>8.8145759755532942E-3</v>
      </c>
      <c r="W36" s="2"/>
      <c r="X36" s="7">
        <f t="shared" si="28"/>
        <v>-4464</v>
      </c>
      <c r="Y36" s="2"/>
      <c r="Z36" s="6">
        <f t="shared" si="29"/>
        <v>-1</v>
      </c>
    </row>
    <row r="37" spans="1:26" s="25" customFormat="1" outlineLevel="1" collapsed="1" x14ac:dyDescent="0.25">
      <c r="A37" s="26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5" si="30">IF(D$12=0,0,D37/D$12)</f>
        <v>0</v>
      </c>
      <c r="G37" s="1"/>
      <c r="H37" s="1">
        <f>SUM(OSRRefH22_2x_0)</f>
        <v>656.8</v>
      </c>
      <c r="I37" s="1"/>
      <c r="J37" s="5">
        <f t="shared" ref="J37:J45" si="31">IF(H$12=0,0,H37/H$12)</f>
        <v>8.051172507158165E-3</v>
      </c>
      <c r="K37" s="1"/>
      <c r="L37" s="1">
        <f t="shared" ref="L37:L45" si="32">+D37-H37</f>
        <v>-656.8</v>
      </c>
      <c r="M37" s="1"/>
      <c r="N37" s="5">
        <f t="shared" ref="N37:N45" si="33">IF(H37=0,0,L37/H37)</f>
        <v>-1</v>
      </c>
      <c r="O37" s="13"/>
      <c r="P37" s="1">
        <f>SUM(OSRRefP22_2x_0)</f>
        <v>0</v>
      </c>
      <c r="Q37" s="1"/>
      <c r="R37" s="5">
        <f t="shared" ref="R37:R45" si="34">IF(P$12=0,0,P37/P$12)</f>
        <v>0</v>
      </c>
      <c r="S37" s="1"/>
      <c r="T37" s="1">
        <f>SUM(OSRRefT22_2x_0)</f>
        <v>1121.74</v>
      </c>
      <c r="U37" s="1"/>
      <c r="V37" s="5">
        <f t="shared" ref="V37:V45" si="35">IF(T$12=0,0,T37/T$12)</f>
        <v>2.214978148480545E-3</v>
      </c>
      <c r="W37" s="1"/>
      <c r="X37" s="1">
        <f t="shared" ref="X37:X45" si="36">+P37-T37</f>
        <v>-1121.74</v>
      </c>
      <c r="Y37" s="1"/>
      <c r="Z37" s="5">
        <f t="shared" ref="Z37:Z45" si="37">IF(T37=0,0,X37/T37)</f>
        <v>-1</v>
      </c>
    </row>
    <row r="38" spans="1:26" s="24" customFormat="1" hidden="1" outlineLevel="2" x14ac:dyDescent="0.25">
      <c r="A38" s="27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30"/>
        <v>0</v>
      </c>
      <c r="G38" s="2"/>
      <c r="H38" s="7">
        <v>656.8</v>
      </c>
      <c r="I38" s="2"/>
      <c r="J38" s="6">
        <f t="shared" si="31"/>
        <v>8.051172507158165E-3</v>
      </c>
      <c r="K38" s="2"/>
      <c r="L38" s="7">
        <f t="shared" si="32"/>
        <v>-656.8</v>
      </c>
      <c r="M38" s="2"/>
      <c r="N38" s="6">
        <f t="shared" si="33"/>
        <v>-1</v>
      </c>
      <c r="O38" s="11"/>
      <c r="P38" s="7"/>
      <c r="Q38" s="2"/>
      <c r="R38" s="6">
        <f t="shared" si="34"/>
        <v>0</v>
      </c>
      <c r="S38" s="2"/>
      <c r="T38" s="7">
        <v>1121.74</v>
      </c>
      <c r="U38" s="2"/>
      <c r="V38" s="6">
        <f t="shared" si="35"/>
        <v>2.214978148480545E-3</v>
      </c>
      <c r="W38" s="2"/>
      <c r="X38" s="7">
        <f t="shared" si="36"/>
        <v>-1121.74</v>
      </c>
      <c r="Y38" s="2"/>
      <c r="Z38" s="6">
        <f t="shared" si="37"/>
        <v>-1</v>
      </c>
    </row>
    <row r="39" spans="1:26" s="25" customFormat="1" outlineLevel="1" collapsed="1" x14ac:dyDescent="0.25">
      <c r="A39" s="26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-14.33</v>
      </c>
      <c r="I39" s="1"/>
      <c r="J39" s="5">
        <f t="shared" si="31"/>
        <v>-1.7565971685075594E-4</v>
      </c>
      <c r="K39" s="1"/>
      <c r="L39" s="1">
        <f t="shared" si="32"/>
        <v>14.33</v>
      </c>
      <c r="M39" s="1"/>
      <c r="N39" s="5">
        <f t="shared" si="33"/>
        <v>-1</v>
      </c>
      <c r="O39" s="13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-3.01</v>
      </c>
      <c r="U39" s="1"/>
      <c r="V39" s="5">
        <f t="shared" si="35"/>
        <v>-5.9435200910428794E-6</v>
      </c>
      <c r="W39" s="1"/>
      <c r="X39" s="1">
        <f t="shared" si="36"/>
        <v>3.01</v>
      </c>
      <c r="Y39" s="1"/>
      <c r="Z39" s="5">
        <f t="shared" si="37"/>
        <v>-1</v>
      </c>
    </row>
    <row r="40" spans="1:26" s="24" customFormat="1" hidden="1" outlineLevel="2" x14ac:dyDescent="0.25">
      <c r="A40" s="27"/>
      <c r="B40" s="11" t="str">
        <f>CONCATENATE("          ", "6272", " - ", "CASH (OVER/SHORT)")</f>
        <v xml:space="preserve">          6272 - CASH (OVER/SHORT)</v>
      </c>
      <c r="C40" s="11"/>
      <c r="D40" s="7"/>
      <c r="E40" s="2"/>
      <c r="F40" s="6">
        <f t="shared" si="30"/>
        <v>0</v>
      </c>
      <c r="G40" s="2"/>
      <c r="H40" s="7">
        <v>-14.33</v>
      </c>
      <c r="I40" s="2"/>
      <c r="J40" s="6">
        <f t="shared" si="31"/>
        <v>-1.7565971685075594E-4</v>
      </c>
      <c r="K40" s="2"/>
      <c r="L40" s="7">
        <f t="shared" si="32"/>
        <v>14.33</v>
      </c>
      <c r="M40" s="2"/>
      <c r="N40" s="6">
        <f t="shared" si="33"/>
        <v>-1</v>
      </c>
      <c r="O40" s="11"/>
      <c r="P40" s="7"/>
      <c r="Q40" s="2"/>
      <c r="R40" s="6">
        <f t="shared" si="34"/>
        <v>0</v>
      </c>
      <c r="S40" s="2"/>
      <c r="T40" s="7">
        <v>-3.01</v>
      </c>
      <c r="U40" s="2"/>
      <c r="V40" s="6">
        <f t="shared" si="35"/>
        <v>-5.9435200910428794E-6</v>
      </c>
      <c r="W40" s="2"/>
      <c r="X40" s="7">
        <f t="shared" si="36"/>
        <v>3.01</v>
      </c>
      <c r="Y40" s="2"/>
      <c r="Z40" s="6">
        <f t="shared" si="37"/>
        <v>-1</v>
      </c>
    </row>
    <row r="41" spans="1:26" s="25" customFormat="1" outlineLevel="1" collapsed="1" x14ac:dyDescent="0.25">
      <c r="A41" s="26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5557.64</v>
      </c>
      <c r="I41" s="1"/>
      <c r="J41" s="5">
        <f t="shared" si="31"/>
        <v>6.8126550506520264E-2</v>
      </c>
      <c r="K41" s="1"/>
      <c r="L41" s="1">
        <f t="shared" si="32"/>
        <v>-5557.64</v>
      </c>
      <c r="M41" s="1"/>
      <c r="N41" s="5">
        <f t="shared" si="33"/>
        <v>-1</v>
      </c>
      <c r="O41" s="13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17679.28</v>
      </c>
      <c r="U41" s="1"/>
      <c r="V41" s="5">
        <f t="shared" si="35"/>
        <v>3.4909354111353014E-2</v>
      </c>
      <c r="W41" s="1"/>
      <c r="X41" s="1">
        <f t="shared" si="36"/>
        <v>-17679.28</v>
      </c>
      <c r="Y41" s="1"/>
      <c r="Z41" s="5">
        <f t="shared" si="37"/>
        <v>-1</v>
      </c>
    </row>
    <row r="42" spans="1:26" s="24" customFormat="1" hidden="1" outlineLevel="2" x14ac:dyDescent="0.25">
      <c r="A42" s="27"/>
      <c r="B42" s="11" t="str">
        <f>CONCATENATE("          ", "6381", " - ", "BANK/CREDIT CARD FEES")</f>
        <v xml:space="preserve">          6381 - BANK/CREDIT CARD FEES</v>
      </c>
      <c r="C42" s="11"/>
      <c r="D42" s="7"/>
      <c r="E42" s="2"/>
      <c r="F42" s="6">
        <f t="shared" si="30"/>
        <v>0</v>
      </c>
      <c r="G42" s="2"/>
      <c r="H42" s="7">
        <v>5557.64</v>
      </c>
      <c r="I42" s="2"/>
      <c r="J42" s="6">
        <f t="shared" si="31"/>
        <v>6.8126550506520264E-2</v>
      </c>
      <c r="K42" s="2"/>
      <c r="L42" s="7">
        <f t="shared" si="32"/>
        <v>-5557.64</v>
      </c>
      <c r="M42" s="2"/>
      <c r="N42" s="6">
        <f t="shared" si="33"/>
        <v>-1</v>
      </c>
      <c r="O42" s="11"/>
      <c r="P42" s="7"/>
      <c r="Q42" s="2"/>
      <c r="R42" s="6">
        <f t="shared" si="34"/>
        <v>0</v>
      </c>
      <c r="S42" s="2"/>
      <c r="T42" s="7">
        <v>17679.28</v>
      </c>
      <c r="U42" s="2"/>
      <c r="V42" s="6">
        <f t="shared" si="35"/>
        <v>3.4909354111353014E-2</v>
      </c>
      <c r="W42" s="2"/>
      <c r="X42" s="7">
        <f t="shared" si="36"/>
        <v>-17679.28</v>
      </c>
      <c r="Y42" s="2"/>
      <c r="Z42" s="6">
        <f t="shared" si="37"/>
        <v>-1</v>
      </c>
    </row>
    <row r="43" spans="1:26" s="25" customFormat="1" outlineLevel="1" collapsed="1" x14ac:dyDescent="0.25">
      <c r="A43" s="26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5233.01</v>
      </c>
      <c r="E43" s="1"/>
      <c r="F43" s="5">
        <f t="shared" si="30"/>
        <v>0</v>
      </c>
      <c r="G43" s="1"/>
      <c r="H43" s="1">
        <f>SUM(OSRRefH22_5x_0)</f>
        <v>5612.57</v>
      </c>
      <c r="I43" s="1"/>
      <c r="J43" s="5">
        <f t="shared" si="31"/>
        <v>6.8799892324148446E-2</v>
      </c>
      <c r="K43" s="1"/>
      <c r="L43" s="1">
        <f t="shared" si="32"/>
        <v>-379.55999999999949</v>
      </c>
      <c r="M43" s="1"/>
      <c r="N43" s="5">
        <f t="shared" si="33"/>
        <v>-6.7626773474540103E-2</v>
      </c>
      <c r="O43" s="13"/>
      <c r="P43" s="1">
        <f>SUM(OSRRefP22_5x_0)</f>
        <v>31689.18</v>
      </c>
      <c r="Q43" s="1"/>
      <c r="R43" s="5">
        <f t="shared" si="34"/>
        <v>0</v>
      </c>
      <c r="S43" s="1"/>
      <c r="T43" s="1">
        <f>SUM(OSRRefT22_5x_0)</f>
        <v>33675.42</v>
      </c>
      <c r="U43" s="1"/>
      <c r="V43" s="5">
        <f t="shared" si="35"/>
        <v>6.6495194466547253E-2</v>
      </c>
      <c r="W43" s="1"/>
      <c r="X43" s="1">
        <f t="shared" si="36"/>
        <v>-1986.239999999998</v>
      </c>
      <c r="Y43" s="1"/>
      <c r="Z43" s="5">
        <f t="shared" si="37"/>
        <v>-5.8981892430740229E-2</v>
      </c>
    </row>
    <row r="44" spans="1:26" s="24" customFormat="1" hidden="1" outlineLevel="2" x14ac:dyDescent="0.25">
      <c r="A44" s="27"/>
      <c r="B44" s="11" t="str">
        <f>CONCATENATE("          ", "6321", " - ", "BUILDING DEPRECIATION")</f>
        <v xml:space="preserve">          6321 - BUILDING DEPRECIATION</v>
      </c>
      <c r="C44" s="11"/>
      <c r="D44" s="7">
        <v>4626.5</v>
      </c>
      <c r="E44" s="2"/>
      <c r="F44" s="6">
        <f t="shared" si="30"/>
        <v>0</v>
      </c>
      <c r="G44" s="2"/>
      <c r="H44" s="7">
        <v>4626.5</v>
      </c>
      <c r="I44" s="2"/>
      <c r="J44" s="6">
        <f t="shared" si="31"/>
        <v>5.6712468946965973E-2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>
        <v>27759</v>
      </c>
      <c r="Q44" s="2"/>
      <c r="R44" s="6">
        <f t="shared" si="34"/>
        <v>0</v>
      </c>
      <c r="S44" s="2"/>
      <c r="T44" s="7">
        <v>27759</v>
      </c>
      <c r="U44" s="2"/>
      <c r="V44" s="6">
        <f t="shared" si="35"/>
        <v>5.4812682460883493E-2</v>
      </c>
      <c r="W44" s="2"/>
      <c r="X44" s="7">
        <f t="shared" si="36"/>
        <v>0</v>
      </c>
      <c r="Y44" s="2"/>
      <c r="Z44" s="6">
        <f t="shared" si="37"/>
        <v>0</v>
      </c>
    </row>
    <row r="45" spans="1:26" s="24" customFormat="1" hidden="1" outlineLevel="2" x14ac:dyDescent="0.25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606.51</v>
      </c>
      <c r="E45" s="2"/>
      <c r="F45" s="6">
        <f t="shared" si="30"/>
        <v>0</v>
      </c>
      <c r="G45" s="2"/>
      <c r="H45" s="7">
        <v>986.07</v>
      </c>
      <c r="I45" s="2"/>
      <c r="J45" s="6">
        <f t="shared" si="31"/>
        <v>1.2087423377182478E-2</v>
      </c>
      <c r="K45" s="2"/>
      <c r="L45" s="7">
        <f t="shared" si="32"/>
        <v>-379.56000000000006</v>
      </c>
      <c r="M45" s="2"/>
      <c r="N45" s="6">
        <f t="shared" si="33"/>
        <v>-0.38492196294380726</v>
      </c>
      <c r="O45" s="11"/>
      <c r="P45" s="7">
        <v>3930.18</v>
      </c>
      <c r="Q45" s="2"/>
      <c r="R45" s="6">
        <f t="shared" si="34"/>
        <v>0</v>
      </c>
      <c r="S45" s="2"/>
      <c r="T45" s="7">
        <v>5916.42</v>
      </c>
      <c r="U45" s="2"/>
      <c r="V45" s="6">
        <f t="shared" si="35"/>
        <v>1.168251200566376E-2</v>
      </c>
      <c r="W45" s="2"/>
      <c r="X45" s="7">
        <f t="shared" si="36"/>
        <v>-1986.2400000000002</v>
      </c>
      <c r="Y45" s="2"/>
      <c r="Z45" s="6">
        <f t="shared" si="37"/>
        <v>-0.33571653128074075</v>
      </c>
    </row>
    <row r="46" spans="1:26" s="25" customFormat="1" outlineLevel="1" collapsed="1" x14ac:dyDescent="0.25">
      <c r="A46" s="26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ref="F46:F56" si="38">IF(D$12=0,0,D46/D$12)</f>
        <v>0</v>
      </c>
      <c r="G46" s="1"/>
      <c r="H46" s="1">
        <f>SUM(OSRRefH22_6x_0)</f>
        <v>0</v>
      </c>
      <c r="I46" s="1"/>
      <c r="J46" s="5">
        <f t="shared" ref="J46:J56" si="39">IF(H$12=0,0,H46/H$12)</f>
        <v>0</v>
      </c>
      <c r="K46" s="1"/>
      <c r="L46" s="1">
        <f t="shared" ref="L46:L56" si="40">+D46-H46</f>
        <v>0</v>
      </c>
      <c r="M46" s="1"/>
      <c r="N46" s="5">
        <f t="shared" ref="N46:N56" si="41">IF(H46=0,0,L46/H46)</f>
        <v>0</v>
      </c>
      <c r="O46" s="13"/>
      <c r="P46" s="1">
        <f>SUM(OSRRefP22_6x_0)</f>
        <v>0</v>
      </c>
      <c r="Q46" s="1"/>
      <c r="R46" s="5">
        <f t="shared" ref="R46:R56" si="42">IF(P$12=0,0,P46/P$12)</f>
        <v>0</v>
      </c>
      <c r="S46" s="1"/>
      <c r="T46" s="1">
        <f>SUM(OSRRefT22_6x_0)</f>
        <v>186.48</v>
      </c>
      <c r="U46" s="1"/>
      <c r="V46" s="5">
        <f t="shared" ref="V46:V56" si="43">IF(T$12=0,0,T46/T$12)</f>
        <v>3.6822180284972633E-4</v>
      </c>
      <c r="W46" s="1"/>
      <c r="X46" s="1">
        <f t="shared" ref="X46:X56" si="44">+P46-T46</f>
        <v>-186.48</v>
      </c>
      <c r="Y46" s="1"/>
      <c r="Z46" s="5">
        <f t="shared" ref="Z46:Z56" si="45">IF(T46=0,0,X46/T46)</f>
        <v>-1</v>
      </c>
    </row>
    <row r="47" spans="1:26" s="24" customFormat="1" hidden="1" outlineLevel="2" x14ac:dyDescent="0.25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38"/>
        <v>0</v>
      </c>
      <c r="G47" s="2"/>
      <c r="H47" s="7"/>
      <c r="I47" s="2"/>
      <c r="J47" s="6">
        <f t="shared" si="39"/>
        <v>0</v>
      </c>
      <c r="K47" s="2"/>
      <c r="L47" s="7">
        <f t="shared" si="40"/>
        <v>0</v>
      </c>
      <c r="M47" s="2"/>
      <c r="N47" s="6">
        <f t="shared" si="41"/>
        <v>0</v>
      </c>
      <c r="O47" s="11"/>
      <c r="P47" s="7"/>
      <c r="Q47" s="2"/>
      <c r="R47" s="6">
        <f t="shared" si="42"/>
        <v>0</v>
      </c>
      <c r="S47" s="2"/>
      <c r="T47" s="7">
        <v>186.48</v>
      </c>
      <c r="U47" s="2"/>
      <c r="V47" s="6">
        <f t="shared" si="43"/>
        <v>3.6822180284972633E-4</v>
      </c>
      <c r="W47" s="2"/>
      <c r="X47" s="7">
        <f t="shared" si="44"/>
        <v>-186.48</v>
      </c>
      <c r="Y47" s="2"/>
      <c r="Z47" s="6">
        <f t="shared" si="45"/>
        <v>-1</v>
      </c>
    </row>
    <row r="48" spans="1:26" s="25" customFormat="1" outlineLevel="1" collapsed="1" x14ac:dyDescent="0.25">
      <c r="A48" s="26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38"/>
        <v>0</v>
      </c>
      <c r="G48" s="1"/>
      <c r="H48" s="1">
        <f>SUM(OSRRefH22_7x_0)</f>
        <v>320.51</v>
      </c>
      <c r="I48" s="1"/>
      <c r="J48" s="5">
        <f t="shared" si="39"/>
        <v>3.9288692147826784E-3</v>
      </c>
      <c r="K48" s="1"/>
      <c r="L48" s="1">
        <f t="shared" si="40"/>
        <v>-320.51</v>
      </c>
      <c r="M48" s="1"/>
      <c r="N48" s="5">
        <f t="shared" si="41"/>
        <v>-1</v>
      </c>
      <c r="O48" s="13"/>
      <c r="P48" s="1">
        <f>SUM(OSRRefP22_7x_0)</f>
        <v>96.3</v>
      </c>
      <c r="Q48" s="1"/>
      <c r="R48" s="5">
        <f t="shared" si="42"/>
        <v>0</v>
      </c>
      <c r="S48" s="1"/>
      <c r="T48" s="1">
        <f>SUM(OSRRefT22_7x_0)</f>
        <v>2256.02</v>
      </c>
      <c r="U48" s="1"/>
      <c r="V48" s="5">
        <f t="shared" si="43"/>
        <v>4.454717673021448E-3</v>
      </c>
      <c r="W48" s="1"/>
      <c r="X48" s="1">
        <f t="shared" si="44"/>
        <v>-2159.7199999999998</v>
      </c>
      <c r="Y48" s="1"/>
      <c r="Z48" s="5">
        <f t="shared" si="45"/>
        <v>-0.95731420820737401</v>
      </c>
    </row>
    <row r="49" spans="1:26" s="24" customFormat="1" hidden="1" outlineLevel="2" x14ac:dyDescent="0.25">
      <c r="A49" s="27"/>
      <c r="B49" s="11" t="str">
        <f>CONCATENATE("          ", "6351", " - ", "EQUIPMENT RENTAL")</f>
        <v xml:space="preserve">          6351 - EQUIPMENT RENTAL</v>
      </c>
      <c r="C49" s="11"/>
      <c r="D49" s="7"/>
      <c r="E49" s="2"/>
      <c r="F49" s="6">
        <f t="shared" si="38"/>
        <v>0</v>
      </c>
      <c r="G49" s="2"/>
      <c r="H49" s="7">
        <v>320.51</v>
      </c>
      <c r="I49" s="2"/>
      <c r="J49" s="6">
        <f t="shared" si="39"/>
        <v>3.9288692147826784E-3</v>
      </c>
      <c r="K49" s="2"/>
      <c r="L49" s="7">
        <f t="shared" si="40"/>
        <v>-320.51</v>
      </c>
      <c r="M49" s="2"/>
      <c r="N49" s="6">
        <f t="shared" si="41"/>
        <v>-1</v>
      </c>
      <c r="O49" s="11"/>
      <c r="P49" s="7">
        <v>96.3</v>
      </c>
      <c r="Q49" s="2"/>
      <c r="R49" s="6">
        <f t="shared" si="42"/>
        <v>0</v>
      </c>
      <c r="S49" s="2"/>
      <c r="T49" s="7">
        <v>2256.02</v>
      </c>
      <c r="U49" s="2"/>
      <c r="V49" s="6">
        <f t="shared" si="43"/>
        <v>4.454717673021448E-3</v>
      </c>
      <c r="W49" s="2"/>
      <c r="X49" s="7">
        <f t="shared" si="44"/>
        <v>-2159.7199999999998</v>
      </c>
      <c r="Y49" s="2"/>
      <c r="Z49" s="6">
        <f t="shared" si="45"/>
        <v>-0.95731420820737401</v>
      </c>
    </row>
    <row r="50" spans="1:26" s="25" customFormat="1" outlineLevel="1" collapsed="1" x14ac:dyDescent="0.25">
      <c r="A50" s="26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38"/>
        <v>0</v>
      </c>
      <c r="G50" s="1"/>
      <c r="H50" s="1">
        <f>SUM(OSRRefH22_8x_0)</f>
        <v>718.22</v>
      </c>
      <c r="I50" s="1"/>
      <c r="J50" s="5">
        <f t="shared" si="39"/>
        <v>8.8040699118318161E-3</v>
      </c>
      <c r="K50" s="1"/>
      <c r="L50" s="1">
        <f t="shared" si="40"/>
        <v>-718.22</v>
      </c>
      <c r="M50" s="1"/>
      <c r="N50" s="5">
        <f t="shared" si="41"/>
        <v>-1</v>
      </c>
      <c r="O50" s="13"/>
      <c r="P50" s="1">
        <f>SUM(OSRRefP22_8x_0)</f>
        <v>0</v>
      </c>
      <c r="Q50" s="1"/>
      <c r="R50" s="5">
        <f t="shared" si="42"/>
        <v>0</v>
      </c>
      <c r="S50" s="1"/>
      <c r="T50" s="1">
        <f>SUM(OSRRefT22_8x_0)</f>
        <v>6440</v>
      </c>
      <c r="U50" s="1"/>
      <c r="V50" s="5">
        <f t="shared" si="43"/>
        <v>1.2716368566882441E-2</v>
      </c>
      <c r="W50" s="1"/>
      <c r="X50" s="1">
        <f t="shared" si="44"/>
        <v>-6440</v>
      </c>
      <c r="Y50" s="1"/>
      <c r="Z50" s="5">
        <f t="shared" si="45"/>
        <v>-1</v>
      </c>
    </row>
    <row r="51" spans="1:26" s="24" customFormat="1" hidden="1" outlineLevel="2" x14ac:dyDescent="0.25">
      <c r="A51" s="27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38"/>
        <v>0</v>
      </c>
      <c r="G51" s="2"/>
      <c r="H51" s="7">
        <v>718.22</v>
      </c>
      <c r="I51" s="2"/>
      <c r="J51" s="6">
        <f t="shared" si="39"/>
        <v>8.8040699118318161E-3</v>
      </c>
      <c r="K51" s="2"/>
      <c r="L51" s="7">
        <f t="shared" si="40"/>
        <v>-718.22</v>
      </c>
      <c r="M51" s="2"/>
      <c r="N51" s="6">
        <f t="shared" si="41"/>
        <v>-1</v>
      </c>
      <c r="O51" s="11"/>
      <c r="P51" s="7">
        <v>0</v>
      </c>
      <c r="Q51" s="2"/>
      <c r="R51" s="6">
        <f t="shared" si="42"/>
        <v>0</v>
      </c>
      <c r="S51" s="2"/>
      <c r="T51" s="7">
        <v>6440</v>
      </c>
      <c r="U51" s="2"/>
      <c r="V51" s="6">
        <f t="shared" si="43"/>
        <v>1.2716368566882441E-2</v>
      </c>
      <c r="W51" s="2"/>
      <c r="X51" s="7">
        <f t="shared" si="44"/>
        <v>-6440</v>
      </c>
      <c r="Y51" s="2"/>
      <c r="Z51" s="6">
        <f t="shared" si="45"/>
        <v>-1</v>
      </c>
    </row>
    <row r="52" spans="1:26" s="25" customFormat="1" outlineLevel="1" collapsed="1" x14ac:dyDescent="0.25">
      <c r="A52" s="26"/>
      <c r="B52" s="13" t="str">
        <f>CONCATENATE("     ","Rent                                              ")</f>
        <v xml:space="preserve">     Rent                                              </v>
      </c>
      <c r="C52" s="13"/>
      <c r="D52" s="1">
        <f>SUM(OSRRefD22_9x_0)</f>
        <v>5550</v>
      </c>
      <c r="E52" s="1"/>
      <c r="F52" s="5">
        <f t="shared" si="38"/>
        <v>0</v>
      </c>
      <c r="G52" s="1"/>
      <c r="H52" s="1">
        <f>SUM(OSRRefH22_9x_0)</f>
        <v>1850</v>
      </c>
      <c r="I52" s="1"/>
      <c r="J52" s="5">
        <f t="shared" si="39"/>
        <v>2.2677632670893125E-2</v>
      </c>
      <c r="K52" s="1"/>
      <c r="L52" s="1">
        <f t="shared" si="40"/>
        <v>3700</v>
      </c>
      <c r="M52" s="1"/>
      <c r="N52" s="5">
        <f t="shared" si="41"/>
        <v>2</v>
      </c>
      <c r="O52" s="13"/>
      <c r="P52" s="1">
        <f>SUM(OSRRefP22_9x_0)</f>
        <v>11100</v>
      </c>
      <c r="Q52" s="1"/>
      <c r="R52" s="5">
        <f t="shared" si="42"/>
        <v>0</v>
      </c>
      <c r="S52" s="1"/>
      <c r="T52" s="1">
        <f>SUM(OSRRefT22_9x_0)</f>
        <v>11100</v>
      </c>
      <c r="U52" s="1"/>
      <c r="V52" s="5">
        <f t="shared" si="43"/>
        <v>2.1917964455340853E-2</v>
      </c>
      <c r="W52" s="1"/>
      <c r="X52" s="1">
        <f t="shared" si="44"/>
        <v>0</v>
      </c>
      <c r="Y52" s="1"/>
      <c r="Z52" s="5">
        <f t="shared" si="45"/>
        <v>0</v>
      </c>
    </row>
    <row r="53" spans="1:26" s="24" customFormat="1" hidden="1" outlineLevel="2" x14ac:dyDescent="0.25">
      <c r="A53" s="27"/>
      <c r="B53" s="11" t="str">
        <f>CONCATENATE("          ", "6273", " - ", "RENT")</f>
        <v xml:space="preserve">          6273 - RENT</v>
      </c>
      <c r="C53" s="11"/>
      <c r="D53" s="7">
        <v>5550</v>
      </c>
      <c r="E53" s="2"/>
      <c r="F53" s="6">
        <f t="shared" si="38"/>
        <v>0</v>
      </c>
      <c r="G53" s="2"/>
      <c r="H53" s="7">
        <v>1850</v>
      </c>
      <c r="I53" s="2"/>
      <c r="J53" s="6">
        <f t="shared" si="39"/>
        <v>2.2677632670893125E-2</v>
      </c>
      <c r="K53" s="2"/>
      <c r="L53" s="7">
        <f t="shared" si="40"/>
        <v>3700</v>
      </c>
      <c r="M53" s="2"/>
      <c r="N53" s="6">
        <f t="shared" si="41"/>
        <v>2</v>
      </c>
      <c r="O53" s="11"/>
      <c r="P53" s="7">
        <v>11100</v>
      </c>
      <c r="Q53" s="2"/>
      <c r="R53" s="6">
        <f t="shared" si="42"/>
        <v>0</v>
      </c>
      <c r="S53" s="2"/>
      <c r="T53" s="7">
        <v>11100</v>
      </c>
      <c r="U53" s="2"/>
      <c r="V53" s="6">
        <f t="shared" si="43"/>
        <v>2.1917964455340853E-2</v>
      </c>
      <c r="W53" s="2"/>
      <c r="X53" s="7">
        <f t="shared" si="44"/>
        <v>0</v>
      </c>
      <c r="Y53" s="2"/>
      <c r="Z53" s="6">
        <f t="shared" si="45"/>
        <v>0</v>
      </c>
    </row>
    <row r="54" spans="1:26" s="25" customFormat="1" outlineLevel="1" collapsed="1" x14ac:dyDescent="0.25">
      <c r="A54" s="26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72.349999999999994</v>
      </c>
      <c r="E54" s="1"/>
      <c r="F54" s="5">
        <f t="shared" si="38"/>
        <v>0</v>
      </c>
      <c r="G54" s="1"/>
      <c r="H54" s="1">
        <f>SUM(OSRRefH22_10x_0)</f>
        <v>1965.23</v>
      </c>
      <c r="I54" s="1"/>
      <c r="J54" s="5">
        <f t="shared" si="39"/>
        <v>2.4090142731794214E-2</v>
      </c>
      <c r="K54" s="1"/>
      <c r="L54" s="1">
        <f t="shared" si="40"/>
        <v>-1892.88</v>
      </c>
      <c r="M54" s="1"/>
      <c r="N54" s="5">
        <f t="shared" si="41"/>
        <v>-0.96318497071589593</v>
      </c>
      <c r="O54" s="13"/>
      <c r="P54" s="1">
        <f>SUM(OSRRefP22_10x_0)</f>
        <v>765.3</v>
      </c>
      <c r="Q54" s="1"/>
      <c r="R54" s="5">
        <f t="shared" si="42"/>
        <v>0</v>
      </c>
      <c r="S54" s="1"/>
      <c r="T54" s="1">
        <f>SUM(OSRRefT22_10x_0)</f>
        <v>17656.849999999999</v>
      </c>
      <c r="U54" s="1"/>
      <c r="V54" s="5">
        <f t="shared" si="43"/>
        <v>3.4865064026422081E-2</v>
      </c>
      <c r="W54" s="1"/>
      <c r="X54" s="1">
        <f t="shared" si="44"/>
        <v>-16891.55</v>
      </c>
      <c r="Y54" s="1"/>
      <c r="Z54" s="5">
        <f t="shared" si="45"/>
        <v>-0.95665704811447116</v>
      </c>
    </row>
    <row r="55" spans="1:26" s="24" customFormat="1" hidden="1" outlineLevel="2" x14ac:dyDescent="0.25">
      <c r="A55" s="27"/>
      <c r="B55" s="11" t="str">
        <f>CONCATENATE("          ", "6373", " - ", "MAINTENANCE CONTRACTS")</f>
        <v xml:space="preserve">          6373 - MAINTENANCE CONTRACTS</v>
      </c>
      <c r="C55" s="11"/>
      <c r="D55" s="7">
        <v>72.349999999999994</v>
      </c>
      <c r="E55" s="2"/>
      <c r="F55" s="6">
        <f t="shared" si="38"/>
        <v>0</v>
      </c>
      <c r="G55" s="2"/>
      <c r="H55" s="7">
        <v>1869.35</v>
      </c>
      <c r="I55" s="2"/>
      <c r="J55" s="6">
        <f t="shared" si="39"/>
        <v>2.2914828450450845E-2</v>
      </c>
      <c r="K55" s="2"/>
      <c r="L55" s="7">
        <f t="shared" si="40"/>
        <v>-1797</v>
      </c>
      <c r="M55" s="2"/>
      <c r="N55" s="6">
        <f t="shared" si="41"/>
        <v>-0.96129670741166717</v>
      </c>
      <c r="O55" s="11"/>
      <c r="P55" s="7">
        <v>223.3</v>
      </c>
      <c r="Q55" s="2"/>
      <c r="R55" s="6">
        <f t="shared" si="42"/>
        <v>0</v>
      </c>
      <c r="S55" s="2"/>
      <c r="T55" s="7">
        <v>10920.41</v>
      </c>
      <c r="U55" s="2"/>
      <c r="V55" s="6">
        <f t="shared" si="43"/>
        <v>2.1563347587184579E-2</v>
      </c>
      <c r="W55" s="2"/>
      <c r="X55" s="7">
        <f t="shared" si="44"/>
        <v>-10697.11</v>
      </c>
      <c r="Y55" s="2"/>
      <c r="Z55" s="6">
        <f t="shared" si="45"/>
        <v>-0.97955204978567656</v>
      </c>
    </row>
    <row r="56" spans="1:26" s="24" customFormat="1" hidden="1" outlineLevel="2" x14ac:dyDescent="0.25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38"/>
        <v>0</v>
      </c>
      <c r="G56" s="2"/>
      <c r="H56" s="7">
        <v>95.88</v>
      </c>
      <c r="I56" s="2"/>
      <c r="J56" s="6">
        <f t="shared" si="39"/>
        <v>1.175314281343369E-3</v>
      </c>
      <c r="K56" s="2"/>
      <c r="L56" s="7">
        <f t="shared" si="40"/>
        <v>-95.88</v>
      </c>
      <c r="M56" s="2"/>
      <c r="N56" s="6">
        <f t="shared" si="41"/>
        <v>-1</v>
      </c>
      <c r="O56" s="11"/>
      <c r="P56" s="7">
        <v>542</v>
      </c>
      <c r="Q56" s="2"/>
      <c r="R56" s="6">
        <f t="shared" si="42"/>
        <v>0</v>
      </c>
      <c r="S56" s="2"/>
      <c r="T56" s="7">
        <v>6736.44</v>
      </c>
      <c r="U56" s="2"/>
      <c r="V56" s="6">
        <f t="shared" si="43"/>
        <v>1.3301716439237507E-2</v>
      </c>
      <c r="W56" s="2"/>
      <c r="X56" s="7">
        <f t="shared" si="44"/>
        <v>-6194.44</v>
      </c>
      <c r="Y56" s="2"/>
      <c r="Z56" s="6">
        <f t="shared" si="45"/>
        <v>-0.91954207266746235</v>
      </c>
    </row>
    <row r="57" spans="1:26" s="25" customFormat="1" outlineLevel="1" collapsed="1" x14ac:dyDescent="0.25">
      <c r="A57" s="26"/>
      <c r="B57" s="13" t="str">
        <f>CONCATENATE("     ","Royalty &amp; Commissions                             ")</f>
        <v xml:space="preserve">     Royalty &amp; Commissions                             </v>
      </c>
      <c r="C57" s="13"/>
      <c r="D57" s="1">
        <f>SUM(OSRRefD22_11x_0)</f>
        <v>0</v>
      </c>
      <c r="E57" s="1"/>
      <c r="F57" s="5">
        <f t="shared" ref="F57:F62" si="46">IF(D$12=0,0,D57/D$12)</f>
        <v>0</v>
      </c>
      <c r="G57" s="1"/>
      <c r="H57" s="1">
        <f>SUM(OSRRefH22_11x_0)</f>
        <v>6526.24</v>
      </c>
      <c r="I57" s="1"/>
      <c r="J57" s="5">
        <f t="shared" ref="J57:J62" si="47">IF(H$12=0,0,H57/H$12)</f>
        <v>7.9999823482210561E-2</v>
      </c>
      <c r="K57" s="1"/>
      <c r="L57" s="1">
        <f t="shared" ref="L57:L62" si="48">+D57-H57</f>
        <v>-6526.24</v>
      </c>
      <c r="M57" s="1"/>
      <c r="N57" s="5">
        <f t="shared" ref="N57:N62" si="49">IF(H57=0,0,L57/H57)</f>
        <v>-1</v>
      </c>
      <c r="O57" s="13"/>
      <c r="P57" s="1">
        <f>SUM(OSRRefP22_11x_0)</f>
        <v>0</v>
      </c>
      <c r="Q57" s="1"/>
      <c r="R57" s="5">
        <f t="shared" ref="R57:R62" si="50">IF(P$12=0,0,P57/P$12)</f>
        <v>0</v>
      </c>
      <c r="S57" s="1"/>
      <c r="T57" s="1">
        <f>SUM(OSRRefT22_11x_0)</f>
        <v>43343.76</v>
      </c>
      <c r="U57" s="1"/>
      <c r="V57" s="5">
        <f t="shared" ref="V57:V62" si="51">IF(T$12=0,0,T57/T$12)</f>
        <v>8.5586215409083302E-2</v>
      </c>
      <c r="W57" s="1"/>
      <c r="X57" s="1">
        <f t="shared" ref="X57:X62" si="52">+P57-T57</f>
        <v>-43343.76</v>
      </c>
      <c r="Y57" s="1"/>
      <c r="Z57" s="5">
        <f t="shared" ref="Z57:Z62" si="53">IF(T57=0,0,X57/T57)</f>
        <v>-1</v>
      </c>
    </row>
    <row r="58" spans="1:26" s="24" customFormat="1" hidden="1" outlineLevel="2" x14ac:dyDescent="0.25">
      <c r="A58" s="27"/>
      <c r="B58" s="11" t="str">
        <f>CONCATENATE("          ", "6259", " - ", "ROYALTY &amp; COMMISSIONS")</f>
        <v xml:space="preserve">          6259 - ROYALTY &amp; COMMISSIONS</v>
      </c>
      <c r="C58" s="11"/>
      <c r="D58" s="7"/>
      <c r="E58" s="2"/>
      <c r="F58" s="6">
        <f t="shared" si="46"/>
        <v>0</v>
      </c>
      <c r="G58" s="2"/>
      <c r="H58" s="7">
        <v>6526.24</v>
      </c>
      <c r="I58" s="2"/>
      <c r="J58" s="6">
        <f t="shared" si="47"/>
        <v>7.9999823482210561E-2</v>
      </c>
      <c r="K58" s="2"/>
      <c r="L58" s="7">
        <f t="shared" si="48"/>
        <v>-6526.24</v>
      </c>
      <c r="M58" s="2"/>
      <c r="N58" s="6">
        <f t="shared" si="49"/>
        <v>-1</v>
      </c>
      <c r="O58" s="11"/>
      <c r="P58" s="7"/>
      <c r="Q58" s="2"/>
      <c r="R58" s="6">
        <f t="shared" si="50"/>
        <v>0</v>
      </c>
      <c r="S58" s="2"/>
      <c r="T58" s="7">
        <v>43343.76</v>
      </c>
      <c r="U58" s="2"/>
      <c r="V58" s="6">
        <f t="shared" si="51"/>
        <v>8.5586215409083302E-2</v>
      </c>
      <c r="W58" s="2"/>
      <c r="X58" s="7">
        <f t="shared" si="52"/>
        <v>-43343.76</v>
      </c>
      <c r="Y58" s="2"/>
      <c r="Z58" s="6">
        <f t="shared" si="53"/>
        <v>-1</v>
      </c>
    </row>
    <row r="59" spans="1:26" s="25" customFormat="1" outlineLevel="1" collapsed="1" x14ac:dyDescent="0.25">
      <c r="A59" s="26"/>
      <c r="B59" s="13" t="str">
        <f>CONCATENATE("     ","Services                                          ")</f>
        <v xml:space="preserve">     Services                                          </v>
      </c>
      <c r="C59" s="13"/>
      <c r="D59" s="1">
        <f>SUM(OSRRefD22_12x_0)</f>
        <v>115</v>
      </c>
      <c r="E59" s="1"/>
      <c r="F59" s="5">
        <f t="shared" si="46"/>
        <v>0</v>
      </c>
      <c r="G59" s="1"/>
      <c r="H59" s="1">
        <f>SUM(OSRRefH22_12x_0)</f>
        <v>667.26</v>
      </c>
      <c r="I59" s="1"/>
      <c r="J59" s="5">
        <f t="shared" si="47"/>
        <v>8.1793930680973768E-3</v>
      </c>
      <c r="K59" s="1"/>
      <c r="L59" s="1">
        <f t="shared" si="48"/>
        <v>-552.26</v>
      </c>
      <c r="M59" s="1"/>
      <c r="N59" s="5">
        <f t="shared" si="49"/>
        <v>-0.82765338848424896</v>
      </c>
      <c r="O59" s="13"/>
      <c r="P59" s="1">
        <f>SUM(OSRRefP22_12x_0)</f>
        <v>345</v>
      </c>
      <c r="Q59" s="1"/>
      <c r="R59" s="5">
        <f t="shared" si="50"/>
        <v>0</v>
      </c>
      <c r="S59" s="1"/>
      <c r="T59" s="1">
        <f>SUM(OSRRefT22_12x_0)</f>
        <v>2736.12</v>
      </c>
      <c r="U59" s="1"/>
      <c r="V59" s="5">
        <f t="shared" si="51"/>
        <v>5.402719000499749E-3</v>
      </c>
      <c r="W59" s="1"/>
      <c r="X59" s="1">
        <f t="shared" si="52"/>
        <v>-2391.12</v>
      </c>
      <c r="Y59" s="1"/>
      <c r="Z59" s="5">
        <f t="shared" si="53"/>
        <v>-0.8739090390772335</v>
      </c>
    </row>
    <row r="60" spans="1:26" s="24" customFormat="1" hidden="1" outlineLevel="2" x14ac:dyDescent="0.25">
      <c r="A60" s="27"/>
      <c r="B60" s="11" t="str">
        <f>CONCATENATE("          ", "6282", " - ", "JANITORIAL/EXTERMINATOR EXPENS")</f>
        <v xml:space="preserve">          6282 - JANITORIAL/EXTERMINATOR EXPENS</v>
      </c>
      <c r="C60" s="11"/>
      <c r="D60" s="7"/>
      <c r="E60" s="2"/>
      <c r="F60" s="6">
        <f t="shared" si="46"/>
        <v>0</v>
      </c>
      <c r="G60" s="2"/>
      <c r="H60" s="7">
        <v>193.92</v>
      </c>
      <c r="I60" s="2"/>
      <c r="J60" s="6">
        <f t="shared" si="47"/>
        <v>2.3771062311024834E-3</v>
      </c>
      <c r="K60" s="2"/>
      <c r="L60" s="7">
        <f t="shared" si="48"/>
        <v>-193.92</v>
      </c>
      <c r="M60" s="2"/>
      <c r="N60" s="6">
        <f t="shared" si="49"/>
        <v>-1</v>
      </c>
      <c r="O60" s="11"/>
      <c r="P60" s="7"/>
      <c r="Q60" s="2"/>
      <c r="R60" s="6">
        <f t="shared" si="50"/>
        <v>0</v>
      </c>
      <c r="S60" s="2"/>
      <c r="T60" s="7">
        <v>678.72</v>
      </c>
      <c r="U60" s="2"/>
      <c r="V60" s="6">
        <f t="shared" si="51"/>
        <v>1.3401946698314365E-3</v>
      </c>
      <c r="W60" s="2"/>
      <c r="X60" s="7">
        <f t="shared" si="52"/>
        <v>-678.72</v>
      </c>
      <c r="Y60" s="2"/>
      <c r="Z60" s="6">
        <f t="shared" si="53"/>
        <v>-1</v>
      </c>
    </row>
    <row r="61" spans="1:26" s="24" customFormat="1" hidden="1" outlineLevel="2" x14ac:dyDescent="0.25">
      <c r="A61" s="27"/>
      <c r="B61" s="11" t="str">
        <f>CONCATENATE("          ", "6284", " - ", "TRASH REMOVAL EXPENSE")</f>
        <v xml:space="preserve">          6284 - TRASH REMOVAL EXPENSE</v>
      </c>
      <c r="C61" s="11"/>
      <c r="D61" s="7">
        <v>115</v>
      </c>
      <c r="E61" s="2"/>
      <c r="F61" s="6">
        <f t="shared" si="46"/>
        <v>0</v>
      </c>
      <c r="G61" s="2"/>
      <c r="H61" s="7">
        <v>312</v>
      </c>
      <c r="I61" s="2"/>
      <c r="J61" s="6">
        <f t="shared" si="47"/>
        <v>3.8245521044965704E-3</v>
      </c>
      <c r="K61" s="2"/>
      <c r="L61" s="7">
        <f t="shared" si="48"/>
        <v>-197</v>
      </c>
      <c r="M61" s="2"/>
      <c r="N61" s="6">
        <f t="shared" si="49"/>
        <v>-0.63141025641025639</v>
      </c>
      <c r="O61" s="11"/>
      <c r="P61" s="7">
        <v>345</v>
      </c>
      <c r="Q61" s="2"/>
      <c r="R61" s="6">
        <f t="shared" si="50"/>
        <v>0</v>
      </c>
      <c r="S61" s="2"/>
      <c r="T61" s="7">
        <v>594</v>
      </c>
      <c r="U61" s="2"/>
      <c r="V61" s="6">
        <f t="shared" si="51"/>
        <v>1.1729072870695916E-3</v>
      </c>
      <c r="W61" s="2"/>
      <c r="X61" s="7">
        <f t="shared" si="52"/>
        <v>-249</v>
      </c>
      <c r="Y61" s="2"/>
      <c r="Z61" s="6">
        <f t="shared" si="53"/>
        <v>-0.41919191919191917</v>
      </c>
    </row>
    <row r="62" spans="1:26" s="24" customFormat="1" hidden="1" outlineLevel="2" x14ac:dyDescent="0.25">
      <c r="A62" s="27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46"/>
        <v>0</v>
      </c>
      <c r="G62" s="2"/>
      <c r="H62" s="7">
        <v>161.34</v>
      </c>
      <c r="I62" s="2"/>
      <c r="J62" s="6">
        <f t="shared" si="47"/>
        <v>1.9777347324983225E-3</v>
      </c>
      <c r="K62" s="2"/>
      <c r="L62" s="7">
        <f t="shared" si="48"/>
        <v>-161.34</v>
      </c>
      <c r="M62" s="2"/>
      <c r="N62" s="6">
        <f t="shared" si="49"/>
        <v>-1</v>
      </c>
      <c r="O62" s="11"/>
      <c r="P62" s="7"/>
      <c r="Q62" s="2"/>
      <c r="R62" s="6">
        <f t="shared" si="50"/>
        <v>0</v>
      </c>
      <c r="S62" s="2"/>
      <c r="T62" s="7">
        <v>1463.4</v>
      </c>
      <c r="U62" s="2"/>
      <c r="V62" s="6">
        <f t="shared" si="51"/>
        <v>2.8896170435987216E-3</v>
      </c>
      <c r="W62" s="2"/>
      <c r="X62" s="7">
        <f t="shared" si="52"/>
        <v>-1463.4</v>
      </c>
      <c r="Y62" s="2"/>
      <c r="Z62" s="6">
        <f t="shared" si="53"/>
        <v>-1</v>
      </c>
    </row>
    <row r="63" spans="1:26" s="25" customFormat="1" outlineLevel="1" collapsed="1" x14ac:dyDescent="0.25">
      <c r="A63" s="26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SUM(OSRRefD22_13x_0)</f>
        <v>0</v>
      </c>
      <c r="E63" s="1"/>
      <c r="F63" s="5">
        <f t="shared" ref="F63:F65" si="54">IF(D$12=0,0,D63/D$12)</f>
        <v>0</v>
      </c>
      <c r="G63" s="1"/>
      <c r="H63" s="1">
        <f>SUM(OSRRefH22_13x_0)</f>
        <v>979</v>
      </c>
      <c r="I63" s="1"/>
      <c r="J63" s="5">
        <f t="shared" ref="J63:J65" si="55">IF(H$12=0,0,H63/H$12)</f>
        <v>1.20007580458402E-2</v>
      </c>
      <c r="K63" s="1"/>
      <c r="L63" s="1">
        <f t="shared" ref="L63:L65" si="56">+D63-H63</f>
        <v>-979</v>
      </c>
      <c r="M63" s="1"/>
      <c r="N63" s="5">
        <f t="shared" ref="N63:N65" si="57">IF(H63=0,0,L63/H63)</f>
        <v>-1</v>
      </c>
      <c r="O63" s="13"/>
      <c r="P63" s="1">
        <f>SUM(OSRRefP22_13x_0)</f>
        <v>0</v>
      </c>
      <c r="Q63" s="1"/>
      <c r="R63" s="5">
        <f t="shared" ref="R63:R65" si="58">IF(P$12=0,0,P63/P$12)</f>
        <v>0</v>
      </c>
      <c r="S63" s="1"/>
      <c r="T63" s="1">
        <f>SUM(OSRRefT22_13x_0)</f>
        <v>1071.04</v>
      </c>
      <c r="U63" s="1"/>
      <c r="V63" s="5">
        <f t="shared" ref="V63:V65" si="59">IF(T$12=0,0,T63/T$12)</f>
        <v>2.1148663648872311E-3</v>
      </c>
      <c r="W63" s="1"/>
      <c r="X63" s="1">
        <f t="shared" ref="X63:X65" si="60">+P63-T63</f>
        <v>-1071.04</v>
      </c>
      <c r="Y63" s="1"/>
      <c r="Z63" s="5">
        <f t="shared" ref="Z63:Z65" si="61">IF(T63=0,0,X63/T63)</f>
        <v>-1</v>
      </c>
    </row>
    <row r="64" spans="1:26" s="24" customFormat="1" hidden="1" outlineLevel="2" x14ac:dyDescent="0.25">
      <c r="A64" s="27"/>
      <c r="B64" s="11" t="str">
        <f>CONCATENATE("          ", "6258", " - ", "MEMBERSHIP DUES")</f>
        <v xml:space="preserve">          6258 - MEMBERSHIP DUES</v>
      </c>
      <c r="C64" s="11"/>
      <c r="D64" s="7"/>
      <c r="E64" s="2"/>
      <c r="F64" s="6">
        <f t="shared" si="54"/>
        <v>0</v>
      </c>
      <c r="G64" s="2"/>
      <c r="H64" s="7">
        <v>979</v>
      </c>
      <c r="I64" s="2"/>
      <c r="J64" s="6">
        <f t="shared" si="55"/>
        <v>1.20007580458402E-2</v>
      </c>
      <c r="K64" s="2"/>
      <c r="L64" s="7">
        <f t="shared" si="56"/>
        <v>-979</v>
      </c>
      <c r="M64" s="2"/>
      <c r="N64" s="6">
        <f t="shared" si="57"/>
        <v>-1</v>
      </c>
      <c r="O64" s="11"/>
      <c r="P64" s="7"/>
      <c r="Q64" s="2"/>
      <c r="R64" s="6">
        <f t="shared" si="58"/>
        <v>0</v>
      </c>
      <c r="S64" s="2"/>
      <c r="T64" s="7">
        <v>979</v>
      </c>
      <c r="U64" s="2"/>
      <c r="V64" s="6">
        <f t="shared" si="59"/>
        <v>1.9331249731332158E-3</v>
      </c>
      <c r="W64" s="2"/>
      <c r="X64" s="7">
        <f t="shared" si="60"/>
        <v>-979</v>
      </c>
      <c r="Y64" s="2"/>
      <c r="Z64" s="6">
        <f t="shared" si="61"/>
        <v>-1</v>
      </c>
    </row>
    <row r="65" spans="1:26" s="24" customFormat="1" hidden="1" outlineLevel="2" x14ac:dyDescent="0.25">
      <c r="A65" s="27"/>
      <c r="B65" s="11" t="str">
        <f>CONCATENATE("          ", "6275", " - ", "SUBSCRIPTIONS")</f>
        <v xml:space="preserve">          6275 - SUBSCRIPTIONS</v>
      </c>
      <c r="C65" s="11"/>
      <c r="D65" s="7"/>
      <c r="E65" s="2"/>
      <c r="F65" s="6">
        <f t="shared" si="54"/>
        <v>0</v>
      </c>
      <c r="G65" s="2"/>
      <c r="H65" s="7"/>
      <c r="I65" s="2"/>
      <c r="J65" s="6">
        <f t="shared" si="55"/>
        <v>0</v>
      </c>
      <c r="K65" s="2"/>
      <c r="L65" s="7">
        <f t="shared" si="56"/>
        <v>0</v>
      </c>
      <c r="M65" s="2"/>
      <c r="N65" s="6">
        <f t="shared" si="57"/>
        <v>0</v>
      </c>
      <c r="O65" s="11"/>
      <c r="P65" s="7"/>
      <c r="Q65" s="2"/>
      <c r="R65" s="6">
        <f t="shared" si="58"/>
        <v>0</v>
      </c>
      <c r="S65" s="2"/>
      <c r="T65" s="7">
        <v>92.04</v>
      </c>
      <c r="U65" s="2"/>
      <c r="V65" s="6">
        <f t="shared" si="59"/>
        <v>1.8174139175401553E-4</v>
      </c>
      <c r="W65" s="2"/>
      <c r="X65" s="7">
        <f t="shared" si="60"/>
        <v>-92.04</v>
      </c>
      <c r="Y65" s="2"/>
      <c r="Z65" s="6">
        <f t="shared" si="61"/>
        <v>-1</v>
      </c>
    </row>
    <row r="66" spans="1:26" s="25" customFormat="1" outlineLevel="1" collapsed="1" x14ac:dyDescent="0.25">
      <c r="A66" s="26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SUM(OSRRefD22_14x_0)</f>
        <v>0</v>
      </c>
      <c r="E66" s="1"/>
      <c r="F66" s="5">
        <f t="shared" ref="F66:F73" si="62">IF(D$12=0,0,D66/D$12)</f>
        <v>0</v>
      </c>
      <c r="G66" s="1"/>
      <c r="H66" s="1">
        <f>SUM(OSRRefH22_14x_0)</f>
        <v>934.18000000000006</v>
      </c>
      <c r="I66" s="1"/>
      <c r="J66" s="5">
        <f t="shared" ref="J66:J73" si="63">IF(H$12=0,0,H66/H$12)</f>
        <v>1.1451346426213482E-2</v>
      </c>
      <c r="K66" s="1"/>
      <c r="L66" s="1">
        <f t="shared" ref="L66:L73" si="64">+D66-H66</f>
        <v>-934.18000000000006</v>
      </c>
      <c r="M66" s="1"/>
      <c r="N66" s="5">
        <f t="shared" ref="N66:N73" si="65">IF(H66=0,0,L66/H66)</f>
        <v>-1</v>
      </c>
      <c r="O66" s="13"/>
      <c r="P66" s="1">
        <f>SUM(OSRRefP22_14x_0)</f>
        <v>72</v>
      </c>
      <c r="Q66" s="1"/>
      <c r="R66" s="5">
        <f t="shared" ref="R66:R73" si="66">IF(P$12=0,0,P66/P$12)</f>
        <v>0</v>
      </c>
      <c r="S66" s="1"/>
      <c r="T66" s="1">
        <f>SUM(OSRRefT22_14x_0)</f>
        <v>9205.0800000000017</v>
      </c>
      <c r="U66" s="1"/>
      <c r="V66" s="5">
        <f t="shared" ref="V66:V73" si="67">IF(T$12=0,0,T66/T$12)</f>
        <v>1.8176271734105319E-2</v>
      </c>
      <c r="W66" s="1"/>
      <c r="X66" s="1">
        <f t="shared" ref="X66:X73" si="68">+P66-T66</f>
        <v>-9133.0800000000017</v>
      </c>
      <c r="Y66" s="1"/>
      <c r="Z66" s="5">
        <f t="shared" ref="Z66:Z73" si="69">IF(T66=0,0,X66/T66)</f>
        <v>-0.99217823201971089</v>
      </c>
    </row>
    <row r="67" spans="1:26" s="24" customFormat="1" hidden="1" outlineLevel="2" x14ac:dyDescent="0.25">
      <c r="A67" s="27"/>
      <c r="B67" s="11" t="str">
        <f>CONCATENATE("          ", "6237", " - ", "JANITORIAL SUPPLIES")</f>
        <v xml:space="preserve">          6237 - JANITORIAL SUPPLIES</v>
      </c>
      <c r="C67" s="11"/>
      <c r="D67" s="7"/>
      <c r="E67" s="2"/>
      <c r="F67" s="6">
        <f t="shared" si="62"/>
        <v>0</v>
      </c>
      <c r="G67" s="2"/>
      <c r="H67" s="7">
        <v>15.21</v>
      </c>
      <c r="I67" s="2"/>
      <c r="J67" s="6">
        <f t="shared" si="63"/>
        <v>1.8644691509420782E-4</v>
      </c>
      <c r="K67" s="2"/>
      <c r="L67" s="7">
        <f t="shared" si="64"/>
        <v>-15.21</v>
      </c>
      <c r="M67" s="2"/>
      <c r="N67" s="6">
        <f t="shared" si="65"/>
        <v>-1</v>
      </c>
      <c r="O67" s="11"/>
      <c r="P67" s="7">
        <v>72</v>
      </c>
      <c r="Q67" s="2"/>
      <c r="R67" s="6">
        <f t="shared" si="66"/>
        <v>0</v>
      </c>
      <c r="S67" s="2"/>
      <c r="T67" s="7">
        <v>1073.1400000000001</v>
      </c>
      <c r="U67" s="2"/>
      <c r="V67" s="6">
        <f t="shared" si="67"/>
        <v>2.1190130068112151E-3</v>
      </c>
      <c r="W67" s="2"/>
      <c r="X67" s="7">
        <f t="shared" si="68"/>
        <v>-1001.1400000000001</v>
      </c>
      <c r="Y67" s="2"/>
      <c r="Z67" s="6">
        <f t="shared" si="69"/>
        <v>-0.93290716961440256</v>
      </c>
    </row>
    <row r="68" spans="1:26" s="24" customFormat="1" hidden="1" outlineLevel="2" x14ac:dyDescent="0.25">
      <c r="A68" s="27"/>
      <c r="B68" s="11" t="str">
        <f>CONCATENATE("          ", "6239", " - ", "KITCHEN SUPPLIES")</f>
        <v xml:space="preserve">          6239 - KITCHEN SUPPLIES</v>
      </c>
      <c r="C68" s="11"/>
      <c r="D68" s="7"/>
      <c r="E68" s="2"/>
      <c r="F68" s="6">
        <f t="shared" si="62"/>
        <v>0</v>
      </c>
      <c r="G68" s="2"/>
      <c r="H68" s="7"/>
      <c r="I68" s="2"/>
      <c r="J68" s="6">
        <f t="shared" si="63"/>
        <v>0</v>
      </c>
      <c r="K68" s="2"/>
      <c r="L68" s="7">
        <f t="shared" si="64"/>
        <v>0</v>
      </c>
      <c r="M68" s="2"/>
      <c r="N68" s="6">
        <f t="shared" si="65"/>
        <v>0</v>
      </c>
      <c r="O68" s="11"/>
      <c r="P68" s="7"/>
      <c r="Q68" s="2"/>
      <c r="R68" s="6">
        <f t="shared" si="66"/>
        <v>0</v>
      </c>
      <c r="S68" s="2"/>
      <c r="T68" s="7">
        <v>3472.75</v>
      </c>
      <c r="U68" s="2"/>
      <c r="V68" s="6">
        <f t="shared" si="67"/>
        <v>6.8572622578635086E-3</v>
      </c>
      <c r="W68" s="2"/>
      <c r="X68" s="7">
        <f t="shared" si="68"/>
        <v>-3472.75</v>
      </c>
      <c r="Y68" s="2"/>
      <c r="Z68" s="6">
        <f t="shared" si="69"/>
        <v>-1</v>
      </c>
    </row>
    <row r="69" spans="1:26" s="24" customFormat="1" hidden="1" outlineLevel="2" x14ac:dyDescent="0.25">
      <c r="A69" s="27"/>
      <c r="B69" s="11" t="str">
        <f>CONCATENATE("          ", "6241", " - ", "OFFICE EXPENSE")</f>
        <v xml:space="preserve">          6241 - OFFICE EXPENSE</v>
      </c>
      <c r="C69" s="11"/>
      <c r="D69" s="7"/>
      <c r="E69" s="2"/>
      <c r="F69" s="6">
        <f t="shared" si="62"/>
        <v>0</v>
      </c>
      <c r="G69" s="2"/>
      <c r="H69" s="7">
        <v>153.91</v>
      </c>
      <c r="I69" s="2"/>
      <c r="J69" s="6">
        <f t="shared" si="63"/>
        <v>1.8866564564200871E-3</v>
      </c>
      <c r="K69" s="2"/>
      <c r="L69" s="7">
        <f t="shared" si="64"/>
        <v>-153.91</v>
      </c>
      <c r="M69" s="2"/>
      <c r="N69" s="6">
        <f t="shared" si="65"/>
        <v>-1</v>
      </c>
      <c r="O69" s="11"/>
      <c r="P69" s="7"/>
      <c r="Q69" s="2"/>
      <c r="R69" s="6">
        <f t="shared" si="66"/>
        <v>0</v>
      </c>
      <c r="S69" s="2"/>
      <c r="T69" s="7">
        <v>1169</v>
      </c>
      <c r="U69" s="2"/>
      <c r="V69" s="6">
        <f t="shared" si="67"/>
        <v>2.3082973376840955E-3</v>
      </c>
      <c r="W69" s="2"/>
      <c r="X69" s="7">
        <f t="shared" si="68"/>
        <v>-1169</v>
      </c>
      <c r="Y69" s="2"/>
      <c r="Z69" s="6">
        <f t="shared" si="69"/>
        <v>-1</v>
      </c>
    </row>
    <row r="70" spans="1:26" s="24" customFormat="1" hidden="1" outlineLevel="2" x14ac:dyDescent="0.25">
      <c r="A70" s="27"/>
      <c r="B70" s="11" t="str">
        <f>CONCATENATE("          ", "6243", " - ", "PAPER SUPPLIES")</f>
        <v xml:space="preserve">          6243 - PAPER SUPPLIES</v>
      </c>
      <c r="C70" s="11"/>
      <c r="D70" s="7"/>
      <c r="E70" s="2"/>
      <c r="F70" s="6">
        <f t="shared" si="62"/>
        <v>0</v>
      </c>
      <c r="G70" s="2"/>
      <c r="H70" s="7">
        <v>617.37</v>
      </c>
      <c r="I70" s="2"/>
      <c r="J70" s="6">
        <f t="shared" si="63"/>
        <v>7.5678324767725885E-3</v>
      </c>
      <c r="K70" s="2"/>
      <c r="L70" s="7">
        <f t="shared" si="64"/>
        <v>-617.37</v>
      </c>
      <c r="M70" s="2"/>
      <c r="N70" s="6">
        <f t="shared" si="65"/>
        <v>-1</v>
      </c>
      <c r="O70" s="11"/>
      <c r="P70" s="7"/>
      <c r="Q70" s="2"/>
      <c r="R70" s="6">
        <f t="shared" si="66"/>
        <v>0</v>
      </c>
      <c r="S70" s="2"/>
      <c r="T70" s="7">
        <v>3668.76</v>
      </c>
      <c r="U70" s="2"/>
      <c r="V70" s="6">
        <f t="shared" si="67"/>
        <v>7.2443019166825509E-3</v>
      </c>
      <c r="W70" s="2"/>
      <c r="X70" s="7">
        <f t="shared" si="68"/>
        <v>-3668.76</v>
      </c>
      <c r="Y70" s="2"/>
      <c r="Z70" s="6">
        <f t="shared" si="69"/>
        <v>-1</v>
      </c>
    </row>
    <row r="71" spans="1:26" s="24" customFormat="1" hidden="1" outlineLevel="2" x14ac:dyDescent="0.25">
      <c r="A71" s="27"/>
      <c r="B71" s="11" t="str">
        <f>CONCATENATE("          ", "6245", " - ", "PRINTING")</f>
        <v xml:space="preserve">          6245 - PRINTING</v>
      </c>
      <c r="C71" s="11"/>
      <c r="D71" s="7"/>
      <c r="E71" s="2"/>
      <c r="F71" s="6">
        <f t="shared" si="62"/>
        <v>0</v>
      </c>
      <c r="G71" s="2"/>
      <c r="H71" s="7"/>
      <c r="I71" s="2"/>
      <c r="J71" s="6">
        <f t="shared" si="63"/>
        <v>0</v>
      </c>
      <c r="K71" s="2"/>
      <c r="L71" s="7">
        <f t="shared" si="64"/>
        <v>0</v>
      </c>
      <c r="M71" s="2"/>
      <c r="N71" s="6">
        <f t="shared" si="65"/>
        <v>0</v>
      </c>
      <c r="O71" s="11"/>
      <c r="P71" s="7"/>
      <c r="Q71" s="2"/>
      <c r="R71" s="6">
        <f t="shared" si="66"/>
        <v>0</v>
      </c>
      <c r="S71" s="2"/>
      <c r="T71" s="7">
        <v>66.930000000000007</v>
      </c>
      <c r="U71" s="2"/>
      <c r="V71" s="6">
        <f t="shared" si="67"/>
        <v>1.3215940189152824E-4</v>
      </c>
      <c r="W71" s="2"/>
      <c r="X71" s="7">
        <f t="shared" si="68"/>
        <v>-66.930000000000007</v>
      </c>
      <c r="Y71" s="2"/>
      <c r="Z71" s="6">
        <f t="shared" si="69"/>
        <v>-1</v>
      </c>
    </row>
    <row r="72" spans="1:26" s="24" customFormat="1" hidden="1" outlineLevel="2" x14ac:dyDescent="0.25">
      <c r="A72" s="27"/>
      <c r="B72" s="11" t="str">
        <f>CONCATENATE("          ", "6247", " - ", "STORE SUPPLIES")</f>
        <v xml:space="preserve">          6247 - STORE SUPPLIES</v>
      </c>
      <c r="C72" s="11"/>
      <c r="D72" s="7"/>
      <c r="E72" s="2"/>
      <c r="F72" s="6">
        <f t="shared" si="62"/>
        <v>0</v>
      </c>
      <c r="G72" s="2"/>
      <c r="H72" s="7">
        <v>147.69</v>
      </c>
      <c r="I72" s="2"/>
      <c r="J72" s="6">
        <f t="shared" si="63"/>
        <v>1.8104105779265976E-3</v>
      </c>
      <c r="K72" s="2"/>
      <c r="L72" s="7">
        <f t="shared" si="64"/>
        <v>-147.69</v>
      </c>
      <c r="M72" s="2"/>
      <c r="N72" s="6">
        <f t="shared" si="65"/>
        <v>-1</v>
      </c>
      <c r="O72" s="11"/>
      <c r="P72" s="7"/>
      <c r="Q72" s="2"/>
      <c r="R72" s="6">
        <f t="shared" si="66"/>
        <v>0</v>
      </c>
      <c r="S72" s="2"/>
      <c r="T72" s="7">
        <v>-379.58</v>
      </c>
      <c r="U72" s="2"/>
      <c r="V72" s="6">
        <f t="shared" si="67"/>
        <v>-7.4951540071696218E-4</v>
      </c>
      <c r="W72" s="2"/>
      <c r="X72" s="7">
        <f t="shared" si="68"/>
        <v>379.58</v>
      </c>
      <c r="Y72" s="2"/>
      <c r="Z72" s="6">
        <f t="shared" si="69"/>
        <v>-1</v>
      </c>
    </row>
    <row r="73" spans="1:26" s="24" customFormat="1" hidden="1" outlineLevel="2" x14ac:dyDescent="0.25">
      <c r="A73" s="27"/>
      <c r="B73" s="11" t="str">
        <f>CONCATENATE("          ", "6248", " - ", "UNIFORMS")</f>
        <v xml:space="preserve">          6248 - UNIFORMS</v>
      </c>
      <c r="C73" s="11"/>
      <c r="D73" s="7"/>
      <c r="E73" s="2"/>
      <c r="F73" s="6">
        <f t="shared" si="62"/>
        <v>0</v>
      </c>
      <c r="G73" s="2"/>
      <c r="H73" s="7"/>
      <c r="I73" s="2"/>
      <c r="J73" s="6">
        <f t="shared" si="63"/>
        <v>0</v>
      </c>
      <c r="K73" s="2"/>
      <c r="L73" s="7">
        <f t="shared" si="64"/>
        <v>0</v>
      </c>
      <c r="M73" s="2"/>
      <c r="N73" s="6">
        <f t="shared" si="65"/>
        <v>0</v>
      </c>
      <c r="O73" s="11"/>
      <c r="P73" s="7"/>
      <c r="Q73" s="2"/>
      <c r="R73" s="6">
        <f t="shared" si="66"/>
        <v>0</v>
      </c>
      <c r="S73" s="2"/>
      <c r="T73" s="7">
        <v>134.08000000000001</v>
      </c>
      <c r="U73" s="2"/>
      <c r="V73" s="6">
        <f t="shared" si="67"/>
        <v>2.6475321388937854E-4</v>
      </c>
      <c r="W73" s="2"/>
      <c r="X73" s="7">
        <f t="shared" si="68"/>
        <v>-134.08000000000001</v>
      </c>
      <c r="Y73" s="2"/>
      <c r="Z73" s="6">
        <f t="shared" si="69"/>
        <v>-1</v>
      </c>
    </row>
    <row r="74" spans="1:26" s="25" customFormat="1" outlineLevel="1" collapsed="1" x14ac:dyDescent="0.25">
      <c r="A74" s="26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SUM(OSRRefD22_15x_0)</f>
        <v>0</v>
      </c>
      <c r="E74" s="1"/>
      <c r="F74" s="5">
        <f t="shared" ref="F74:F79" si="70">IF(D$12=0,0,D74/D$12)</f>
        <v>0</v>
      </c>
      <c r="G74" s="1"/>
      <c r="H74" s="1">
        <f>SUM(OSRRefH22_15x_0)</f>
        <v>73</v>
      </c>
      <c r="I74" s="1"/>
      <c r="J74" s="5">
        <f t="shared" ref="J74:J79" si="71">IF(H$12=0,0,H74/H$12)</f>
        <v>8.9484712701362059E-4</v>
      </c>
      <c r="K74" s="1"/>
      <c r="L74" s="1">
        <f t="shared" ref="L74:L79" si="72">+D74-H74</f>
        <v>-73</v>
      </c>
      <c r="M74" s="1"/>
      <c r="N74" s="5">
        <f t="shared" ref="N74:N79" si="73">IF(H74=0,0,L74/H74)</f>
        <v>-1</v>
      </c>
      <c r="O74" s="13"/>
      <c r="P74" s="1">
        <f>SUM(OSRRefP22_15x_0)</f>
        <v>77.430000000000007</v>
      </c>
      <c r="Q74" s="1"/>
      <c r="R74" s="5">
        <f t="shared" ref="R74:R79" si="74">IF(P$12=0,0,P74/P$12)</f>
        <v>0</v>
      </c>
      <c r="S74" s="1"/>
      <c r="T74" s="1">
        <f>SUM(OSRRefT22_15x_0)</f>
        <v>492.3</v>
      </c>
      <c r="U74" s="1"/>
      <c r="V74" s="5">
        <f t="shared" ref="V74:V79" si="75">IF(T$12=0,0,T74/T$12)</f>
        <v>9.7209134246525246E-4</v>
      </c>
      <c r="W74" s="1"/>
      <c r="X74" s="1">
        <f t="shared" ref="X74:X79" si="76">+P74-T74</f>
        <v>-414.87</v>
      </c>
      <c r="Y74" s="1"/>
      <c r="Z74" s="5">
        <f t="shared" ref="Z74:Z79" si="77">IF(T74=0,0,X74/T74)</f>
        <v>-0.84271785496648388</v>
      </c>
    </row>
    <row r="75" spans="1:26" s="24" customFormat="1" hidden="1" outlineLevel="2" x14ac:dyDescent="0.25">
      <c r="A75" s="27"/>
      <c r="B75" s="11" t="str">
        <f>CONCATENATE("          ", "6309", " - ", "TELEPHONE")</f>
        <v xml:space="preserve">          6309 - TELEPHONE</v>
      </c>
      <c r="C75" s="11"/>
      <c r="D75" s="7"/>
      <c r="E75" s="2"/>
      <c r="F75" s="6">
        <f t="shared" si="70"/>
        <v>0</v>
      </c>
      <c r="G75" s="2"/>
      <c r="H75" s="7">
        <v>73</v>
      </c>
      <c r="I75" s="2"/>
      <c r="J75" s="6">
        <f t="shared" si="71"/>
        <v>8.9484712701362059E-4</v>
      </c>
      <c r="K75" s="2"/>
      <c r="L75" s="7">
        <f t="shared" si="72"/>
        <v>-73</v>
      </c>
      <c r="M75" s="2"/>
      <c r="N75" s="6">
        <f t="shared" si="73"/>
        <v>-1</v>
      </c>
      <c r="O75" s="11"/>
      <c r="P75" s="7">
        <v>77.430000000000007</v>
      </c>
      <c r="Q75" s="2"/>
      <c r="R75" s="6">
        <f t="shared" si="74"/>
        <v>0</v>
      </c>
      <c r="S75" s="2"/>
      <c r="T75" s="7">
        <v>492.3</v>
      </c>
      <c r="U75" s="2"/>
      <c r="V75" s="6">
        <f t="shared" si="75"/>
        <v>9.7209134246525246E-4</v>
      </c>
      <c r="W75" s="2"/>
      <c r="X75" s="7">
        <f t="shared" si="76"/>
        <v>-414.87</v>
      </c>
      <c r="Y75" s="2"/>
      <c r="Z75" s="6">
        <f t="shared" si="77"/>
        <v>-0.84271785496648388</v>
      </c>
    </row>
    <row r="76" spans="1:26" s="25" customFormat="1" outlineLevel="1" collapsed="1" x14ac:dyDescent="0.25">
      <c r="A76" s="26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SUM(OSRRefD22_16x_0)</f>
        <v>0</v>
      </c>
      <c r="E76" s="1"/>
      <c r="F76" s="5">
        <f t="shared" si="70"/>
        <v>0</v>
      </c>
      <c r="G76" s="1"/>
      <c r="H76" s="1">
        <f>SUM(OSRRefH22_16x_0)</f>
        <v>0</v>
      </c>
      <c r="I76" s="1"/>
      <c r="J76" s="5">
        <f t="shared" si="71"/>
        <v>0</v>
      </c>
      <c r="K76" s="1"/>
      <c r="L76" s="1">
        <f t="shared" si="72"/>
        <v>0</v>
      </c>
      <c r="M76" s="1"/>
      <c r="N76" s="5">
        <f t="shared" si="73"/>
        <v>0</v>
      </c>
      <c r="O76" s="13"/>
      <c r="P76" s="1">
        <f>SUM(OSRRefP22_16x_0)</f>
        <v>0</v>
      </c>
      <c r="Q76" s="1"/>
      <c r="R76" s="5">
        <f t="shared" si="74"/>
        <v>0</v>
      </c>
      <c r="S76" s="1"/>
      <c r="T76" s="1">
        <f>SUM(OSRRefT22_16x_0)</f>
        <v>465.65</v>
      </c>
      <c r="U76" s="1"/>
      <c r="V76" s="5">
        <f t="shared" si="75"/>
        <v>9.1946848185851067E-4</v>
      </c>
      <c r="W76" s="1"/>
      <c r="X76" s="1">
        <f t="shared" si="76"/>
        <v>-465.65</v>
      </c>
      <c r="Y76" s="1"/>
      <c r="Z76" s="5">
        <f t="shared" si="77"/>
        <v>-1</v>
      </c>
    </row>
    <row r="77" spans="1:26" s="24" customFormat="1" hidden="1" outlineLevel="2" x14ac:dyDescent="0.25">
      <c r="A77" s="27"/>
      <c r="B77" s="11" t="str">
        <f>CONCATENATE("          ", "6376", " - ", "TRAINING")</f>
        <v xml:space="preserve">          6376 - TRAINING</v>
      </c>
      <c r="C77" s="11"/>
      <c r="D77" s="7"/>
      <c r="E77" s="2"/>
      <c r="F77" s="6">
        <f t="shared" si="70"/>
        <v>0</v>
      </c>
      <c r="G77" s="2"/>
      <c r="H77" s="7"/>
      <c r="I77" s="2"/>
      <c r="J77" s="6">
        <f t="shared" si="71"/>
        <v>0</v>
      </c>
      <c r="K77" s="2"/>
      <c r="L77" s="7">
        <f t="shared" si="72"/>
        <v>0</v>
      </c>
      <c r="M77" s="2"/>
      <c r="N77" s="6">
        <f t="shared" si="73"/>
        <v>0</v>
      </c>
      <c r="O77" s="11"/>
      <c r="P77" s="7"/>
      <c r="Q77" s="2"/>
      <c r="R77" s="6">
        <f t="shared" si="74"/>
        <v>0</v>
      </c>
      <c r="S77" s="2"/>
      <c r="T77" s="7">
        <v>465.65</v>
      </c>
      <c r="U77" s="2"/>
      <c r="V77" s="6">
        <f t="shared" si="75"/>
        <v>9.1946848185851067E-4</v>
      </c>
      <c r="W77" s="2"/>
      <c r="X77" s="7">
        <f t="shared" si="76"/>
        <v>-465.65</v>
      </c>
      <c r="Y77" s="2"/>
      <c r="Z77" s="6">
        <f t="shared" si="77"/>
        <v>-1</v>
      </c>
    </row>
    <row r="78" spans="1:26" s="25" customFormat="1" outlineLevel="1" collapsed="1" x14ac:dyDescent="0.25">
      <c r="A78" s="26"/>
      <c r="B78" s="13" t="str">
        <f>CONCATENATE("     ","Utilities                                         ")</f>
        <v xml:space="preserve">     Utilities                                         </v>
      </c>
      <c r="C78" s="13"/>
      <c r="D78" s="1">
        <f>SUM(OSRRefD22_17x_0)</f>
        <v>348</v>
      </c>
      <c r="E78" s="1"/>
      <c r="F78" s="5">
        <f t="shared" si="70"/>
        <v>0</v>
      </c>
      <c r="G78" s="1"/>
      <c r="H78" s="1">
        <f>SUM(OSRRefH22_17x_0)</f>
        <v>766</v>
      </c>
      <c r="I78" s="1"/>
      <c r="J78" s="5">
        <f t="shared" si="71"/>
        <v>9.3897657437319645E-3</v>
      </c>
      <c r="K78" s="1"/>
      <c r="L78" s="1">
        <f t="shared" si="72"/>
        <v>-418</v>
      </c>
      <c r="M78" s="1"/>
      <c r="N78" s="5">
        <f t="shared" si="73"/>
        <v>-0.54569190600522188</v>
      </c>
      <c r="O78" s="13"/>
      <c r="P78" s="1">
        <f>SUM(OSRRefP22_17x_0)</f>
        <v>1044</v>
      </c>
      <c r="Q78" s="1"/>
      <c r="R78" s="5">
        <f t="shared" si="74"/>
        <v>0</v>
      </c>
      <c r="S78" s="1"/>
      <c r="T78" s="1">
        <f>SUM(OSRRefT22_17x_0)</f>
        <v>2084</v>
      </c>
      <c r="U78" s="1"/>
      <c r="V78" s="5">
        <f t="shared" si="75"/>
        <v>4.1150484617054357E-3</v>
      </c>
      <c r="W78" s="1"/>
      <c r="X78" s="1">
        <f t="shared" si="76"/>
        <v>-1040</v>
      </c>
      <c r="Y78" s="1"/>
      <c r="Z78" s="5">
        <f t="shared" si="77"/>
        <v>-0.49904030710172742</v>
      </c>
    </row>
    <row r="79" spans="1:26" s="24" customFormat="1" hidden="1" outlineLevel="2" x14ac:dyDescent="0.25">
      <c r="A79" s="27"/>
      <c r="B79" s="11" t="str">
        <f>CONCATENATE("          ", "6274", " - ", "UTILITIES")</f>
        <v xml:space="preserve">          6274 - UTILITIES</v>
      </c>
      <c r="C79" s="11"/>
      <c r="D79" s="7">
        <v>348</v>
      </c>
      <c r="E79" s="2"/>
      <c r="F79" s="6">
        <f t="shared" si="70"/>
        <v>0</v>
      </c>
      <c r="G79" s="2"/>
      <c r="H79" s="7">
        <v>766</v>
      </c>
      <c r="I79" s="2"/>
      <c r="J79" s="6">
        <f t="shared" si="71"/>
        <v>9.3897657437319645E-3</v>
      </c>
      <c r="K79" s="2"/>
      <c r="L79" s="7">
        <f t="shared" si="72"/>
        <v>-418</v>
      </c>
      <c r="M79" s="2"/>
      <c r="N79" s="6">
        <f t="shared" si="73"/>
        <v>-0.54569190600522188</v>
      </c>
      <c r="O79" s="11"/>
      <c r="P79" s="7">
        <v>1044</v>
      </c>
      <c r="Q79" s="2"/>
      <c r="R79" s="6">
        <f t="shared" si="74"/>
        <v>0</v>
      </c>
      <c r="S79" s="2"/>
      <c r="T79" s="7">
        <v>2084</v>
      </c>
      <c r="U79" s="2"/>
      <c r="V79" s="6">
        <f t="shared" si="75"/>
        <v>4.1150484617054357E-3</v>
      </c>
      <c r="W79" s="2"/>
      <c r="X79" s="7">
        <f t="shared" si="76"/>
        <v>-1040</v>
      </c>
      <c r="Y79" s="2"/>
      <c r="Z79" s="6">
        <f t="shared" si="77"/>
        <v>-0.49904030710172742</v>
      </c>
    </row>
    <row r="80" spans="1:26" s="55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9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3</v>
      </c>
      <c r="C83" s="28"/>
      <c r="D83" s="20">
        <f>+D20-D22+D81</f>
        <v>-11318.36</v>
      </c>
      <c r="E83" s="14"/>
      <c r="F83" s="21">
        <f>IF(D$12=0,0,D83/D$12)</f>
        <v>0</v>
      </c>
      <c r="G83" s="14"/>
      <c r="H83" s="20">
        <f>+H20-H22+H81</f>
        <v>-4871.5700000000143</v>
      </c>
      <c r="I83" s="14"/>
      <c r="J83" s="21">
        <f>IF(H$12=0,0,H83/H$12)</f>
        <v>-5.971658107596927E-2</v>
      </c>
      <c r="K83" s="15"/>
      <c r="L83" s="20">
        <f>+D83-H83</f>
        <v>-6446.7899999999863</v>
      </c>
      <c r="M83" s="15"/>
      <c r="N83" s="21">
        <f>IF(H83=0,0,L83/H83)</f>
        <v>1.3233495567137428</v>
      </c>
      <c r="O83" s="29"/>
      <c r="P83" s="20">
        <f>+P20-P22+P81</f>
        <v>-45190.04</v>
      </c>
      <c r="Q83" s="14"/>
      <c r="R83" s="21">
        <f>IF(P$12=0,0,P83/P$12)</f>
        <v>0</v>
      </c>
      <c r="S83" s="14"/>
      <c r="T83" s="20">
        <f>+T20-T22+T81</f>
        <v>-25991.119999999937</v>
      </c>
      <c r="U83" s="14"/>
      <c r="V83" s="21">
        <f>IF(T$12=0,0,T83/T$12)</f>
        <v>-5.1321841830134898E-2</v>
      </c>
      <c r="W83" s="15"/>
      <c r="X83" s="20">
        <f>+P83-T83</f>
        <v>-19198.920000000064</v>
      </c>
      <c r="Y83" s="15"/>
      <c r="Z83" s="21">
        <f>IF(T83=0,0,X83/T83)</f>
        <v>0.73867228499580284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/>
      <c r="E85" s="4"/>
      <c r="F85" s="12">
        <f>IF(D$12=0,0,D85/D$12)</f>
        <v>0</v>
      </c>
      <c r="G85" s="4"/>
      <c r="H85" s="4">
        <v>9709.41</v>
      </c>
      <c r="I85" s="4"/>
      <c r="J85" s="12">
        <f>IF(H$12=0,0,H85/H$12)</f>
        <v>0.1190196937465386</v>
      </c>
      <c r="K85" s="4"/>
      <c r="L85" s="4">
        <f>+D85-H85</f>
        <v>-9709.41</v>
      </c>
      <c r="M85" s="4"/>
      <c r="N85" s="12">
        <f>IF(H85=0,0,L85/H85)</f>
        <v>-1</v>
      </c>
      <c r="O85" s="10"/>
      <c r="P85" s="4"/>
      <c r="Q85" s="4"/>
      <c r="R85" s="12">
        <f>IF(P$12=0,0,P85/P$12)</f>
        <v>0</v>
      </c>
      <c r="S85" s="4"/>
      <c r="T85" s="4">
        <v>54698.76</v>
      </c>
      <c r="U85" s="4"/>
      <c r="V85" s="12">
        <f>IF(T$12=0,0,T85/T$12)</f>
        <v>0.10800770066947929</v>
      </c>
      <c r="W85" s="4"/>
      <c r="X85" s="4">
        <f>+P85-T85</f>
        <v>-54698.76</v>
      </c>
      <c r="Y85" s="4"/>
      <c r="Z85" s="12">
        <f>IF(T85=0,0,X85/T85)</f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4</v>
      </c>
      <c r="C87" s="28"/>
      <c r="D87" s="33">
        <f>+D83-D85</f>
        <v>-11318.36</v>
      </c>
      <c r="E87" s="14"/>
      <c r="F87" s="34">
        <f>IF(D$12=0,0,D87/D$12)</f>
        <v>0</v>
      </c>
      <c r="G87" s="14"/>
      <c r="H87" s="33">
        <f>+H83-H85</f>
        <v>-14580.980000000014</v>
      </c>
      <c r="I87" s="14"/>
      <c r="J87" s="34">
        <f>IF(H$12=0,0,H87/H$12)</f>
        <v>-0.17873627482250787</v>
      </c>
      <c r="K87" s="15"/>
      <c r="L87" s="33">
        <f>D87-H87</f>
        <v>3262.6200000000135</v>
      </c>
      <c r="M87" s="15"/>
      <c r="N87" s="34">
        <f>IF(H87=0,0,L87/H87)</f>
        <v>-0.22375862253428852</v>
      </c>
      <c r="O87" s="29"/>
      <c r="P87" s="33">
        <f>+P83-P85</f>
        <v>-45190.04</v>
      </c>
      <c r="Q87" s="14"/>
      <c r="R87" s="34">
        <f>IF(P$12=0,0,P87/P$12)</f>
        <v>0</v>
      </c>
      <c r="S87" s="14"/>
      <c r="T87" s="33">
        <f>+T83-T85</f>
        <v>-80689.879999999946</v>
      </c>
      <c r="U87" s="14"/>
      <c r="V87" s="34">
        <f>IF(T$12=0,0,T87/T$12)</f>
        <v>-0.1593295424996142</v>
      </c>
      <c r="W87" s="15"/>
      <c r="X87" s="33">
        <f>P87-T87</f>
        <v>35499.839999999946</v>
      </c>
      <c r="Y87" s="15"/>
      <c r="Z87" s="34">
        <f>IF(T87=0,0,X87/T87)</f>
        <v>-0.43995405619639005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5</v>
      </c>
      <c r="C90" s="28"/>
      <c r="D90" s="30">
        <f>SUM(D87:D89)</f>
        <v>-11318.36</v>
      </c>
      <c r="E90" s="14"/>
      <c r="F90" s="32">
        <f>IF(D$12=0,0,D90/D$12)</f>
        <v>0</v>
      </c>
      <c r="G90" s="14"/>
      <c r="H90" s="30">
        <f>SUM(H87:H89)</f>
        <v>-14580.980000000014</v>
      </c>
      <c r="I90" s="14"/>
      <c r="J90" s="32">
        <f>IF(H$12=0,0,H90/H$12)</f>
        <v>-0.17873627482250787</v>
      </c>
      <c r="K90" s="15"/>
      <c r="L90" s="30">
        <f>+D90-H90</f>
        <v>3262.6200000000135</v>
      </c>
      <c r="M90" s="15"/>
      <c r="N90" s="32">
        <f>IF(H90=0,0,L90/H90)</f>
        <v>-0.22375862253428852</v>
      </c>
      <c r="O90" s="29"/>
      <c r="P90" s="30">
        <f>SUM(P87:P89)</f>
        <v>-45190.04</v>
      </c>
      <c r="Q90" s="14"/>
      <c r="R90" s="32">
        <f>IF(P$12=0,0,P90/P$12)</f>
        <v>0</v>
      </c>
      <c r="S90" s="14"/>
      <c r="T90" s="30">
        <f>SUM(T87:T89)</f>
        <v>-80689.879999999946</v>
      </c>
      <c r="U90" s="14"/>
      <c r="V90" s="32">
        <f>IF(T$12=0,0,T90/T$12)</f>
        <v>-0.1593295424996142</v>
      </c>
      <c r="W90" s="15"/>
      <c r="X90" s="30">
        <f>+P90-T90</f>
        <v>35499.839999999946</v>
      </c>
      <c r="Y90" s="15"/>
      <c r="Z90" s="32">
        <f>IF(T90=0,0,X90/T90)</f>
        <v>-0.43995405619639005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8">
        <v>44209.521988043984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61" t="s">
        <v>313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7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","406", " - ", "OPA! Greek")</f>
        <v>Department 406 - OPA! Greek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14206.51</v>
      </c>
      <c r="I12" s="4"/>
      <c r="J12" s="12"/>
      <c r="K12" s="4"/>
      <c r="L12" s="4">
        <f t="shared" ref="L12:L14" si="0">+D12-H12</f>
        <v>-14206.51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137877.57999999999</v>
      </c>
      <c r="U12" s="4"/>
      <c r="V12" s="12"/>
      <c r="W12" s="4"/>
      <c r="X12" s="4">
        <f t="shared" ref="X12:X14" si="2">+P12-T12</f>
        <v>-137877.57999999999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--3574.53</f>
        <v>3574.53</v>
      </c>
      <c r="I13" s="2"/>
      <c r="J13" s="19"/>
      <c r="K13" s="2"/>
      <c r="L13" s="2">
        <f t="shared" si="0"/>
        <v>-3574.53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--34071.43</f>
        <v>34071.43</v>
      </c>
      <c r="U13" s="2"/>
      <c r="V13" s="19"/>
      <c r="W13" s="2"/>
      <c r="X13" s="2">
        <f t="shared" si="2"/>
        <v>-34071.43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--10631.98</f>
        <v>10631.98</v>
      </c>
      <c r="I14" s="2"/>
      <c r="J14" s="19"/>
      <c r="K14" s="2"/>
      <c r="L14" s="2">
        <f t="shared" si="0"/>
        <v>-10631.98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--103806.15</f>
        <v>103806.15</v>
      </c>
      <c r="U14" s="2"/>
      <c r="V14" s="19"/>
      <c r="W14" s="2"/>
      <c r="X14" s="2">
        <f t="shared" si="2"/>
        <v>-103806.15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5340.37</v>
      </c>
      <c r="I16" s="4"/>
      <c r="J16" s="12">
        <f t="shared" ref="J16:J18" si="7">IF(H$12=0,0,H16/H$12)</f>
        <v>0.37591005813531964</v>
      </c>
      <c r="K16" s="4"/>
      <c r="L16" s="4">
        <f t="shared" ref="L16:L18" si="8">+D16-H16</f>
        <v>-5340.37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48420.54</v>
      </c>
      <c r="U16" s="4"/>
      <c r="V16" s="12">
        <f t="shared" ref="V16:V18" si="11">IF(T$12=0,0,T16/T$12)</f>
        <v>0.3511850149966369</v>
      </c>
      <c r="W16" s="4"/>
      <c r="X16" s="4">
        <f t="shared" ref="X16:X18" si="12">+P16-T16</f>
        <v>-48420.54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3673.37</v>
      </c>
      <c r="I17" s="2"/>
      <c r="J17" s="19">
        <f t="shared" si="7"/>
        <v>0.2585694868056968</v>
      </c>
      <c r="K17" s="2"/>
      <c r="L17" s="2">
        <f t="shared" si="8"/>
        <v>-3673.37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49253.16</v>
      </c>
      <c r="U17" s="2"/>
      <c r="V17" s="19">
        <f t="shared" si="11"/>
        <v>0.35722385031707121</v>
      </c>
      <c r="W17" s="2"/>
      <c r="X17" s="2">
        <f t="shared" si="12"/>
        <v>-49253.16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1667</v>
      </c>
      <c r="I18" s="2"/>
      <c r="J18" s="19">
        <f t="shared" si="7"/>
        <v>0.11734057132962282</v>
      </c>
      <c r="K18" s="2"/>
      <c r="L18" s="2">
        <f t="shared" si="8"/>
        <v>-1667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-832.62</v>
      </c>
      <c r="U18" s="2"/>
      <c r="V18" s="19">
        <f t="shared" si="11"/>
        <v>-6.0388353204342583E-3</v>
      </c>
      <c r="W18" s="2"/>
      <c r="X18" s="2">
        <f t="shared" si="12"/>
        <v>832.62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8866.14</v>
      </c>
      <c r="I20" s="14"/>
      <c r="J20" s="21">
        <f>IF(H$12=0,0,H20/H$12)</f>
        <v>0.62408994186468025</v>
      </c>
      <c r="K20" s="15"/>
      <c r="L20" s="20">
        <f>+D20-H20</f>
        <v>-8866.14</v>
      </c>
      <c r="M20" s="15"/>
      <c r="N20" s="21">
        <f>IF(H20=0,0,L20/H20)</f>
        <v>-1</v>
      </c>
      <c r="O20" s="29"/>
      <c r="P20" s="20">
        <f>P12-P16</f>
        <v>0</v>
      </c>
      <c r="Q20" s="14"/>
      <c r="R20" s="21">
        <f>IF(P$12=0,0,P20/P$12)</f>
        <v>0</v>
      </c>
      <c r="S20" s="14"/>
      <c r="T20" s="20">
        <f>T12-T16</f>
        <v>89457.039999999979</v>
      </c>
      <c r="U20" s="14"/>
      <c r="V20" s="21">
        <f>IF(T$12=0,0,T20/T$12)</f>
        <v>0.64881498500336299</v>
      </c>
      <c r="W20" s="15"/>
      <c r="X20" s="20">
        <f>+P20-T20</f>
        <v>-89457.039999999979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188.84</v>
      </c>
      <c r="E22" s="22"/>
      <c r="F22" s="36">
        <f t="shared" ref="F22:F31" si="14">IF(D$12=0,0,D22/D$12)</f>
        <v>0</v>
      </c>
      <c r="G22" s="22"/>
      <c r="H22" s="22">
        <f>SUM(OSRRefH22x_0)</f>
        <v>17790.14</v>
      </c>
      <c r="I22" s="22"/>
      <c r="J22" s="36">
        <f t="shared" ref="J22:J31" si="15">IF(H$12=0,0,H22/H$12)</f>
        <v>1.2522526644474963</v>
      </c>
      <c r="K22" s="4"/>
      <c r="L22" s="22">
        <f t="shared" ref="L22:L31" si="16">+D22-H22</f>
        <v>-17601.3</v>
      </c>
      <c r="M22" s="4"/>
      <c r="N22" s="36">
        <f t="shared" ref="N22:N31" si="17">IF(H22=0,0,L22/H22)</f>
        <v>-0.98938513131431227</v>
      </c>
      <c r="O22" s="10"/>
      <c r="P22" s="22">
        <f>SUM(OSRRefP22x_0)</f>
        <v>1744.5</v>
      </c>
      <c r="Q22" s="22"/>
      <c r="R22" s="36">
        <f t="shared" ref="R22:R31" si="18">IF(P$12=0,0,P22/P$12)</f>
        <v>0</v>
      </c>
      <c r="S22" s="22"/>
      <c r="T22" s="22">
        <f>SUM(OSRRefT22x_0)</f>
        <v>127228.37999999999</v>
      </c>
      <c r="U22" s="22"/>
      <c r="V22" s="36">
        <f t="shared" ref="V22:V31" si="19">IF(T$12=0,0,T22/T$12)</f>
        <v>0.92276336732919162</v>
      </c>
      <c r="W22" s="4"/>
      <c r="X22" s="22">
        <f t="shared" ref="X22:X31" si="20">+P22-T22</f>
        <v>-125483.87999999999</v>
      </c>
      <c r="Y22" s="4"/>
      <c r="Z22" s="36">
        <f t="shared" ref="Z22:Z31" si="21">IF(T22=0,0,X22/T22)</f>
        <v>-0.98628843658938359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2267.5500000000002</v>
      </c>
      <c r="I23" s="1"/>
      <c r="J23" s="5">
        <f t="shared" si="15"/>
        <v>0.15961344482212733</v>
      </c>
      <c r="K23" s="1"/>
      <c r="L23" s="1">
        <f t="shared" si="16"/>
        <v>-2267.5500000000002</v>
      </c>
      <c r="M23" s="1"/>
      <c r="N23" s="5">
        <f t="shared" si="17"/>
        <v>-1</v>
      </c>
      <c r="O23" s="13"/>
      <c r="P23" s="1">
        <f>SUM(OSRRefP22_0x_0)</f>
        <v>660.8</v>
      </c>
      <c r="Q23" s="1"/>
      <c r="R23" s="5">
        <f t="shared" si="18"/>
        <v>0</v>
      </c>
      <c r="S23" s="1"/>
      <c r="T23" s="1">
        <f>SUM(OSRRefT22_0x_0)</f>
        <v>13167.43</v>
      </c>
      <c r="U23" s="1"/>
      <c r="V23" s="5">
        <f t="shared" si="19"/>
        <v>9.550087838791485E-2</v>
      </c>
      <c r="W23" s="1"/>
      <c r="X23" s="1">
        <f t="shared" si="20"/>
        <v>-12506.630000000001</v>
      </c>
      <c r="Y23" s="1"/>
      <c r="Z23" s="5">
        <f t="shared" si="21"/>
        <v>-0.9498155676544322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632.82000000000005</v>
      </c>
      <c r="I24" s="2"/>
      <c r="J24" s="6">
        <f t="shared" si="15"/>
        <v>4.4544367335819991E-2</v>
      </c>
      <c r="K24" s="2"/>
      <c r="L24" s="7">
        <f t="shared" si="16"/>
        <v>-632.82000000000005</v>
      </c>
      <c r="M24" s="2"/>
      <c r="N24" s="6">
        <f t="shared" si="17"/>
        <v>-1</v>
      </c>
      <c r="O24" s="11"/>
      <c r="P24" s="7"/>
      <c r="Q24" s="2"/>
      <c r="R24" s="6">
        <f t="shared" si="18"/>
        <v>0</v>
      </c>
      <c r="S24" s="2"/>
      <c r="T24" s="7">
        <v>4544.87</v>
      </c>
      <c r="U24" s="2"/>
      <c r="V24" s="6">
        <f t="shared" si="19"/>
        <v>3.2963082177682554E-2</v>
      </c>
      <c r="W24" s="2"/>
      <c r="X24" s="7">
        <f t="shared" si="20"/>
        <v>-4544.87</v>
      </c>
      <c r="Y24" s="2"/>
      <c r="Z24" s="6">
        <f t="shared" si="21"/>
        <v>-1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683.91</v>
      </c>
      <c r="I25" s="2"/>
      <c r="J25" s="6">
        <f t="shared" si="15"/>
        <v>4.8140605961633082E-2</v>
      </c>
      <c r="K25" s="2"/>
      <c r="L25" s="7">
        <f t="shared" si="16"/>
        <v>-683.91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2539.6</v>
      </c>
      <c r="U25" s="2"/>
      <c r="V25" s="6">
        <f t="shared" si="19"/>
        <v>1.8419238283700658E-2</v>
      </c>
      <c r="W25" s="2"/>
      <c r="X25" s="7">
        <f t="shared" si="20"/>
        <v>-2539.6</v>
      </c>
      <c r="Y25" s="2"/>
      <c r="Z25" s="6">
        <f t="shared" si="21"/>
        <v>-1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34.97</v>
      </c>
      <c r="I26" s="2"/>
      <c r="J26" s="6">
        <f t="shared" si="15"/>
        <v>2.4615475581265208E-3</v>
      </c>
      <c r="K26" s="2"/>
      <c r="L26" s="7">
        <f t="shared" si="16"/>
        <v>-34.97</v>
      </c>
      <c r="M26" s="2"/>
      <c r="N26" s="6">
        <f t="shared" si="17"/>
        <v>-1</v>
      </c>
      <c r="O26" s="11"/>
      <c r="P26" s="7">
        <v>660.8</v>
      </c>
      <c r="Q26" s="2"/>
      <c r="R26" s="6">
        <f t="shared" si="18"/>
        <v>0</v>
      </c>
      <c r="S26" s="2"/>
      <c r="T26" s="7">
        <v>209.82</v>
      </c>
      <c r="U26" s="2"/>
      <c r="V26" s="6">
        <f t="shared" si="19"/>
        <v>1.5217847600748433E-3</v>
      </c>
      <c r="W26" s="2"/>
      <c r="X26" s="7">
        <f t="shared" si="20"/>
        <v>450.97999999999996</v>
      </c>
      <c r="Y26" s="2"/>
      <c r="Z26" s="6">
        <f t="shared" si="21"/>
        <v>2.1493661233438184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45.83</v>
      </c>
      <c r="I27" s="2"/>
      <c r="J27" s="6">
        <f t="shared" si="15"/>
        <v>3.2259858332553174E-3</v>
      </c>
      <c r="K27" s="2"/>
      <c r="L27" s="7">
        <f t="shared" si="16"/>
        <v>-45.83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220.68</v>
      </c>
      <c r="U27" s="2"/>
      <c r="V27" s="6">
        <f t="shared" si="19"/>
        <v>1.6005502852603013E-3</v>
      </c>
      <c r="W27" s="2"/>
      <c r="X27" s="7">
        <f t="shared" si="20"/>
        <v>-220.68</v>
      </c>
      <c r="Y27" s="2"/>
      <c r="Z27" s="6">
        <f t="shared" si="21"/>
        <v>-1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315.45</v>
      </c>
      <c r="I28" s="2"/>
      <c r="J28" s="6">
        <f t="shared" si="15"/>
        <v>2.2204609013754959E-2</v>
      </c>
      <c r="K28" s="2"/>
      <c r="L28" s="7">
        <f t="shared" si="16"/>
        <v>-315.45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1892.7</v>
      </c>
      <c r="U28" s="2"/>
      <c r="V28" s="6">
        <f t="shared" si="19"/>
        <v>1.37273949832888E-2</v>
      </c>
      <c r="W28" s="2"/>
      <c r="X28" s="7">
        <f t="shared" si="20"/>
        <v>-1892.7</v>
      </c>
      <c r="Y28" s="2"/>
      <c r="Z28" s="6">
        <f t="shared" si="21"/>
        <v>-1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173.88</v>
      </c>
      <c r="I29" s="2"/>
      <c r="J29" s="6">
        <f t="shared" si="15"/>
        <v>1.2239459233830123E-2</v>
      </c>
      <c r="K29" s="2"/>
      <c r="L29" s="7">
        <f t="shared" si="16"/>
        <v>-173.88</v>
      </c>
      <c r="M29" s="2"/>
      <c r="N29" s="6">
        <f t="shared" si="17"/>
        <v>-1</v>
      </c>
      <c r="O29" s="11"/>
      <c r="P29" s="7"/>
      <c r="Q29" s="2"/>
      <c r="R29" s="6">
        <f t="shared" si="18"/>
        <v>0</v>
      </c>
      <c r="S29" s="2"/>
      <c r="T29" s="7">
        <v>1200.17</v>
      </c>
      <c r="U29" s="2"/>
      <c r="V29" s="6">
        <f t="shared" si="19"/>
        <v>8.7046059265037876E-3</v>
      </c>
      <c r="W29" s="2"/>
      <c r="X29" s="7">
        <f t="shared" si="20"/>
        <v>-1200.17</v>
      </c>
      <c r="Y29" s="2"/>
      <c r="Z29" s="6">
        <f t="shared" si="21"/>
        <v>-1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208.3</v>
      </c>
      <c r="I30" s="2"/>
      <c r="J30" s="6">
        <f t="shared" si="15"/>
        <v>1.4662292146346992E-2</v>
      </c>
      <c r="K30" s="2"/>
      <c r="L30" s="7">
        <f t="shared" si="16"/>
        <v>-208.3</v>
      </c>
      <c r="M30" s="2"/>
      <c r="N30" s="6">
        <f t="shared" si="17"/>
        <v>-1</v>
      </c>
      <c r="O30" s="11"/>
      <c r="P30" s="7"/>
      <c r="Q30" s="2"/>
      <c r="R30" s="6">
        <f t="shared" si="18"/>
        <v>0</v>
      </c>
      <c r="S30" s="2"/>
      <c r="T30" s="7">
        <v>1475.78</v>
      </c>
      <c r="U30" s="2"/>
      <c r="V30" s="6">
        <f t="shared" si="19"/>
        <v>1.070355310848943E-2</v>
      </c>
      <c r="W30" s="2"/>
      <c r="X30" s="7">
        <f t="shared" si="20"/>
        <v>-1475.78</v>
      </c>
      <c r="Y30" s="2"/>
      <c r="Z30" s="6">
        <f t="shared" si="21"/>
        <v>-1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172.39</v>
      </c>
      <c r="I31" s="2"/>
      <c r="J31" s="6">
        <f t="shared" si="15"/>
        <v>1.2134577739360334E-2</v>
      </c>
      <c r="K31" s="2"/>
      <c r="L31" s="7">
        <f t="shared" si="16"/>
        <v>-172.39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1083.81</v>
      </c>
      <c r="U31" s="2"/>
      <c r="V31" s="6">
        <f t="shared" si="19"/>
        <v>7.8606688629144789E-3</v>
      </c>
      <c r="W31" s="2"/>
      <c r="X31" s="7">
        <f t="shared" si="20"/>
        <v>-1083.81</v>
      </c>
      <c r="Y31" s="2"/>
      <c r="Z31" s="6">
        <f t="shared" si="21"/>
        <v>-1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10216.66</v>
      </c>
      <c r="I32" s="1"/>
      <c r="J32" s="5">
        <f t="shared" ref="J32:J37" si="23">IF(H$12=0,0,H32/H$12)</f>
        <v>0.71915340220786106</v>
      </c>
      <c r="K32" s="1"/>
      <c r="L32" s="1">
        <f t="shared" ref="L32:L37" si="24">+D32-H32</f>
        <v>-10216.66</v>
      </c>
      <c r="M32" s="1"/>
      <c r="N32" s="5">
        <f t="shared" ref="N32:N37" si="25">IF(H32=0,0,L32/H32)</f>
        <v>-1</v>
      </c>
      <c r="O32" s="13"/>
      <c r="P32" s="1">
        <f>SUM(OSRRefP22_1x_0)</f>
        <v>0</v>
      </c>
      <c r="Q32" s="1"/>
      <c r="R32" s="5">
        <f t="shared" ref="R32:R37" si="26">IF(P$12=0,0,P32/P$12)</f>
        <v>0</v>
      </c>
      <c r="S32" s="1"/>
      <c r="T32" s="1">
        <f>SUM(OSRRefT22_1x_0)</f>
        <v>76252.760000000009</v>
      </c>
      <c r="U32" s="1"/>
      <c r="V32" s="5">
        <f t="shared" ref="V32:V37" si="27">IF(T$12=0,0,T32/T$12)</f>
        <v>0.55304684053781639</v>
      </c>
      <c r="W32" s="1"/>
      <c r="X32" s="1">
        <f t="shared" ref="X32:X37" si="28">+P32-T32</f>
        <v>-76252.760000000009</v>
      </c>
      <c r="Y32" s="1"/>
      <c r="Z32" s="5">
        <f t="shared" ref="Z32:Z37" si="29">IF(T32=0,0,X32/T32)</f>
        <v>-1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4193.78</v>
      </c>
      <c r="I33" s="2"/>
      <c r="J33" s="6">
        <f t="shared" si="23"/>
        <v>0.29520128448155103</v>
      </c>
      <c r="K33" s="2"/>
      <c r="L33" s="7">
        <f t="shared" si="24"/>
        <v>-4193.78</v>
      </c>
      <c r="M33" s="2"/>
      <c r="N33" s="6">
        <f t="shared" si="25"/>
        <v>-1</v>
      </c>
      <c r="O33" s="11"/>
      <c r="P33" s="7"/>
      <c r="Q33" s="2"/>
      <c r="R33" s="6">
        <f t="shared" si="26"/>
        <v>0</v>
      </c>
      <c r="S33" s="2"/>
      <c r="T33" s="7">
        <v>26977.31</v>
      </c>
      <c r="U33" s="2"/>
      <c r="V33" s="6">
        <f t="shared" si="27"/>
        <v>0.19566132506822359</v>
      </c>
      <c r="W33" s="2"/>
      <c r="X33" s="7">
        <f t="shared" si="28"/>
        <v>-26977.31</v>
      </c>
      <c r="Y33" s="2"/>
      <c r="Z33" s="6">
        <f t="shared" si="29"/>
        <v>-1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3616.88</v>
      </c>
      <c r="I34" s="2"/>
      <c r="J34" s="6">
        <f t="shared" si="23"/>
        <v>0.25459314075026168</v>
      </c>
      <c r="K34" s="2"/>
      <c r="L34" s="7">
        <f t="shared" si="24"/>
        <v>-3616.88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25509.95</v>
      </c>
      <c r="U34" s="2"/>
      <c r="V34" s="6">
        <f t="shared" si="27"/>
        <v>0.18501884062659066</v>
      </c>
      <c r="W34" s="2"/>
      <c r="X34" s="7">
        <f t="shared" si="28"/>
        <v>-25509.95</v>
      </c>
      <c r="Y34" s="2"/>
      <c r="Z34" s="6">
        <f t="shared" si="29"/>
        <v>-1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2"/>
        <v>0</v>
      </c>
      <c r="G35" s="2"/>
      <c r="H35" s="7"/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110.5</v>
      </c>
      <c r="U35" s="2"/>
      <c r="V35" s="6">
        <f t="shared" si="27"/>
        <v>8.0143559235663995E-4</v>
      </c>
      <c r="W35" s="2"/>
      <c r="X35" s="7">
        <f t="shared" si="28"/>
        <v>-110.5</v>
      </c>
      <c r="Y35" s="2"/>
      <c r="Z35" s="6">
        <f t="shared" si="29"/>
        <v>-1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2"/>
        <v>0</v>
      </c>
      <c r="G36" s="2"/>
      <c r="H36" s="7">
        <v>2304</v>
      </c>
      <c r="I36" s="2"/>
      <c r="J36" s="6">
        <f t="shared" si="23"/>
        <v>0.16217916997207618</v>
      </c>
      <c r="K36" s="2"/>
      <c r="L36" s="7">
        <f t="shared" si="24"/>
        <v>-2304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22023</v>
      </c>
      <c r="U36" s="2"/>
      <c r="V36" s="6">
        <f t="shared" si="27"/>
        <v>0.15972865204045503</v>
      </c>
      <c r="W36" s="2"/>
      <c r="X36" s="7">
        <f t="shared" si="28"/>
        <v>-22023</v>
      </c>
      <c r="Y36" s="2"/>
      <c r="Z36" s="6">
        <f t="shared" si="29"/>
        <v>-1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2"/>
        <v>0</v>
      </c>
      <c r="G37" s="2"/>
      <c r="H37" s="7">
        <v>102</v>
      </c>
      <c r="I37" s="2"/>
      <c r="J37" s="6">
        <f t="shared" si="23"/>
        <v>7.1798070039721228E-3</v>
      </c>
      <c r="K37" s="2"/>
      <c r="L37" s="7">
        <f t="shared" si="24"/>
        <v>-102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1632</v>
      </c>
      <c r="U37" s="2"/>
      <c r="V37" s="6">
        <f t="shared" si="27"/>
        <v>1.1836587210190375E-2</v>
      </c>
      <c r="W37" s="2"/>
      <c r="X37" s="7">
        <f t="shared" si="28"/>
        <v>-1632</v>
      </c>
      <c r="Y37" s="2"/>
      <c r="Z37" s="6">
        <f t="shared" si="29"/>
        <v>-1</v>
      </c>
    </row>
    <row r="38" spans="1:26" s="25" customFormat="1" outlineLevel="1" collapsed="1" x14ac:dyDescent="0.25">
      <c r="A38" s="26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5" si="30">IF(D$12=0,0,D38/D$12)</f>
        <v>0</v>
      </c>
      <c r="G38" s="1"/>
      <c r="H38" s="1">
        <f>SUM(OSRRefH22_2x_0)</f>
        <v>0</v>
      </c>
      <c r="I38" s="1"/>
      <c r="J38" s="5">
        <f t="shared" ref="J38:J55" si="31">IF(H$12=0,0,H38/H$12)</f>
        <v>0</v>
      </c>
      <c r="K38" s="1"/>
      <c r="L38" s="1">
        <f t="shared" ref="L38:L55" si="32">+D38-H38</f>
        <v>0</v>
      </c>
      <c r="M38" s="1"/>
      <c r="N38" s="5">
        <f t="shared" ref="N38:N55" si="33">IF(H38=0,0,L38/H38)</f>
        <v>0</v>
      </c>
      <c r="O38" s="13"/>
      <c r="P38" s="1">
        <f>SUM(OSRRefP22_2x_0)</f>
        <v>0</v>
      </c>
      <c r="Q38" s="1"/>
      <c r="R38" s="5">
        <f t="shared" ref="R38:R55" si="34">IF(P$12=0,0,P38/P$12)</f>
        <v>0</v>
      </c>
      <c r="S38" s="1"/>
      <c r="T38" s="1">
        <f>SUM(OSRRefT22_2x_0)</f>
        <v>2424.71</v>
      </c>
      <c r="U38" s="1"/>
      <c r="V38" s="5">
        <f t="shared" ref="V38:V55" si="35">IF(T$12=0,0,T38/T$12)</f>
        <v>1.7585962851973471E-2</v>
      </c>
      <c r="W38" s="1"/>
      <c r="X38" s="1">
        <f t="shared" ref="X38:X55" si="36">+P38-T38</f>
        <v>-2424.71</v>
      </c>
      <c r="Y38" s="1"/>
      <c r="Z38" s="5">
        <f t="shared" ref="Z38:Z55" si="37">IF(T38=0,0,X38/T38)</f>
        <v>-1</v>
      </c>
    </row>
    <row r="39" spans="1:26" s="24" customFormat="1" hidden="1" outlineLevel="2" x14ac:dyDescent="0.25">
      <c r="A39" s="27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30"/>
        <v>0</v>
      </c>
      <c r="G39" s="2"/>
      <c r="H39" s="7"/>
      <c r="I39" s="2"/>
      <c r="J39" s="6">
        <f t="shared" si="31"/>
        <v>0</v>
      </c>
      <c r="K39" s="2"/>
      <c r="L39" s="7">
        <f t="shared" si="32"/>
        <v>0</v>
      </c>
      <c r="M39" s="2"/>
      <c r="N39" s="6">
        <f t="shared" si="33"/>
        <v>0</v>
      </c>
      <c r="O39" s="11"/>
      <c r="P39" s="7"/>
      <c r="Q39" s="2"/>
      <c r="R39" s="6">
        <f t="shared" si="34"/>
        <v>0</v>
      </c>
      <c r="S39" s="2"/>
      <c r="T39" s="7">
        <v>2424.71</v>
      </c>
      <c r="U39" s="2"/>
      <c r="V39" s="6">
        <f t="shared" si="35"/>
        <v>1.7585962851973471E-2</v>
      </c>
      <c r="W39" s="2"/>
      <c r="X39" s="7">
        <f t="shared" si="36"/>
        <v>-2424.71</v>
      </c>
      <c r="Y39" s="2"/>
      <c r="Z39" s="6">
        <f t="shared" si="37"/>
        <v>-1</v>
      </c>
    </row>
    <row r="40" spans="1:26" s="25" customFormat="1" outlineLevel="1" collapsed="1" x14ac:dyDescent="0.25">
      <c r="A40" s="26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-0.71</v>
      </c>
      <c r="I40" s="1"/>
      <c r="J40" s="5">
        <f t="shared" si="31"/>
        <v>-4.9977087968825556E-5</v>
      </c>
      <c r="K40" s="1"/>
      <c r="L40" s="1">
        <f t="shared" si="32"/>
        <v>0.71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-9.43</v>
      </c>
      <c r="U40" s="1"/>
      <c r="V40" s="5">
        <f t="shared" si="35"/>
        <v>-6.8394005754960306E-5</v>
      </c>
      <c r="W40" s="1"/>
      <c r="X40" s="1">
        <f t="shared" si="36"/>
        <v>9.43</v>
      </c>
      <c r="Y40" s="1"/>
      <c r="Z40" s="5">
        <f t="shared" si="37"/>
        <v>-1</v>
      </c>
    </row>
    <row r="41" spans="1:26" s="24" customFormat="1" hidden="1" outlineLevel="2" x14ac:dyDescent="0.25">
      <c r="A41" s="27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30"/>
        <v>0</v>
      </c>
      <c r="G41" s="2"/>
      <c r="H41" s="7">
        <v>-0.71</v>
      </c>
      <c r="I41" s="2"/>
      <c r="J41" s="6">
        <f t="shared" si="31"/>
        <v>-4.9977087968825556E-5</v>
      </c>
      <c r="K41" s="2"/>
      <c r="L41" s="7">
        <f t="shared" si="32"/>
        <v>0.71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-9.43</v>
      </c>
      <c r="U41" s="2"/>
      <c r="V41" s="6">
        <f t="shared" si="35"/>
        <v>-6.8394005754960306E-5</v>
      </c>
      <c r="W41" s="2"/>
      <c r="X41" s="7">
        <f t="shared" si="36"/>
        <v>9.43</v>
      </c>
      <c r="Y41" s="2"/>
      <c r="Z41" s="6">
        <f t="shared" si="37"/>
        <v>-1</v>
      </c>
    </row>
    <row r="42" spans="1:26" s="25" customFormat="1" outlineLevel="1" collapsed="1" x14ac:dyDescent="0.25">
      <c r="A42" s="26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943.36</v>
      </c>
      <c r="I42" s="1"/>
      <c r="J42" s="5">
        <f t="shared" si="31"/>
        <v>6.6403360149677862E-2</v>
      </c>
      <c r="K42" s="1"/>
      <c r="L42" s="1">
        <f t="shared" si="32"/>
        <v>-943.36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5322.62</v>
      </c>
      <c r="U42" s="1"/>
      <c r="V42" s="5">
        <f t="shared" si="35"/>
        <v>3.8603955770038903E-2</v>
      </c>
      <c r="W42" s="1"/>
      <c r="X42" s="1">
        <f t="shared" si="36"/>
        <v>-5322.62</v>
      </c>
      <c r="Y42" s="1"/>
      <c r="Z42" s="5">
        <f t="shared" si="37"/>
        <v>-1</v>
      </c>
    </row>
    <row r="43" spans="1:26" s="24" customFormat="1" hidden="1" outlineLevel="2" x14ac:dyDescent="0.25">
      <c r="A43" s="27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30"/>
        <v>0</v>
      </c>
      <c r="G43" s="2"/>
      <c r="H43" s="7">
        <v>943.36</v>
      </c>
      <c r="I43" s="2"/>
      <c r="J43" s="6">
        <f t="shared" si="31"/>
        <v>6.6403360149677862E-2</v>
      </c>
      <c r="K43" s="2"/>
      <c r="L43" s="7">
        <f t="shared" si="32"/>
        <v>-943.36</v>
      </c>
      <c r="M43" s="2"/>
      <c r="N43" s="6">
        <f t="shared" si="33"/>
        <v>-1</v>
      </c>
      <c r="O43" s="11"/>
      <c r="P43" s="7"/>
      <c r="Q43" s="2"/>
      <c r="R43" s="6">
        <f t="shared" si="34"/>
        <v>0</v>
      </c>
      <c r="S43" s="2"/>
      <c r="T43" s="7">
        <v>5322.62</v>
      </c>
      <c r="U43" s="2"/>
      <c r="V43" s="6">
        <f t="shared" si="35"/>
        <v>3.8603955770038903E-2</v>
      </c>
      <c r="W43" s="2"/>
      <c r="X43" s="7">
        <f t="shared" si="36"/>
        <v>-5322.62</v>
      </c>
      <c r="Y43" s="2"/>
      <c r="Z43" s="6">
        <f t="shared" si="37"/>
        <v>-1</v>
      </c>
    </row>
    <row r="44" spans="1:26" s="25" customFormat="1" outlineLevel="1" collapsed="1" x14ac:dyDescent="0.25">
      <c r="A44" s="26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119.55</v>
      </c>
      <c r="E44" s="1"/>
      <c r="F44" s="5">
        <f t="shared" si="30"/>
        <v>0</v>
      </c>
      <c r="G44" s="1"/>
      <c r="H44" s="1">
        <f>SUM(OSRRefH22_5x_0)</f>
        <v>2775.32</v>
      </c>
      <c r="I44" s="1"/>
      <c r="J44" s="5">
        <f t="shared" si="31"/>
        <v>0.19535550955160699</v>
      </c>
      <c r="K44" s="1"/>
      <c r="L44" s="1">
        <f t="shared" si="32"/>
        <v>-2655.77</v>
      </c>
      <c r="M44" s="1"/>
      <c r="N44" s="5">
        <f t="shared" si="33"/>
        <v>-0.95692388625455793</v>
      </c>
      <c r="O44" s="13"/>
      <c r="P44" s="1">
        <f>SUM(OSRRefP22_5x_0)</f>
        <v>717.3</v>
      </c>
      <c r="Q44" s="1"/>
      <c r="R44" s="5">
        <f t="shared" si="34"/>
        <v>0</v>
      </c>
      <c r="S44" s="1"/>
      <c r="T44" s="1">
        <f>SUM(OSRRefT22_5x_0)</f>
        <v>16651.919999999998</v>
      </c>
      <c r="U44" s="1"/>
      <c r="V44" s="5">
        <f t="shared" si="35"/>
        <v>0.12077322505950569</v>
      </c>
      <c r="W44" s="1"/>
      <c r="X44" s="1">
        <f t="shared" si="36"/>
        <v>-15934.619999999999</v>
      </c>
      <c r="Y44" s="1"/>
      <c r="Z44" s="5">
        <f t="shared" si="37"/>
        <v>-0.95692388625455804</v>
      </c>
    </row>
    <row r="45" spans="1:26" s="24" customFormat="1" hidden="1" outlineLevel="2" x14ac:dyDescent="0.25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119.55</v>
      </c>
      <c r="E45" s="2"/>
      <c r="F45" s="6">
        <f t="shared" si="30"/>
        <v>0</v>
      </c>
      <c r="G45" s="2"/>
      <c r="H45" s="7">
        <v>2775.32</v>
      </c>
      <c r="I45" s="2"/>
      <c r="J45" s="6">
        <f t="shared" si="31"/>
        <v>0.19535550955160699</v>
      </c>
      <c r="K45" s="2"/>
      <c r="L45" s="7">
        <f t="shared" si="32"/>
        <v>-2655.77</v>
      </c>
      <c r="M45" s="2"/>
      <c r="N45" s="6">
        <f t="shared" si="33"/>
        <v>-0.95692388625455793</v>
      </c>
      <c r="O45" s="11"/>
      <c r="P45" s="7">
        <v>717.3</v>
      </c>
      <c r="Q45" s="2"/>
      <c r="R45" s="6">
        <f t="shared" si="34"/>
        <v>0</v>
      </c>
      <c r="S45" s="2"/>
      <c r="T45" s="7">
        <v>16651.919999999998</v>
      </c>
      <c r="U45" s="2"/>
      <c r="V45" s="6">
        <f t="shared" si="35"/>
        <v>0.12077322505950569</v>
      </c>
      <c r="W45" s="2"/>
      <c r="X45" s="7">
        <f t="shared" si="36"/>
        <v>-15934.619999999999</v>
      </c>
      <c r="Y45" s="2"/>
      <c r="Z45" s="6">
        <f t="shared" si="37"/>
        <v>-0.95692388625455804</v>
      </c>
    </row>
    <row r="46" spans="1:26" s="25" customFormat="1" outlineLevel="1" collapsed="1" x14ac:dyDescent="0.25">
      <c r="A46" s="26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107.51</v>
      </c>
      <c r="I46" s="1"/>
      <c r="J46" s="5">
        <f t="shared" si="31"/>
        <v>7.5676573627161074E-3</v>
      </c>
      <c r="K46" s="1"/>
      <c r="L46" s="1">
        <f t="shared" si="32"/>
        <v>-107.51</v>
      </c>
      <c r="M46" s="1"/>
      <c r="N46" s="5">
        <f t="shared" si="33"/>
        <v>-1</v>
      </c>
      <c r="O46" s="13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107.51</v>
      </c>
      <c r="U46" s="1"/>
      <c r="V46" s="5">
        <f t="shared" si="35"/>
        <v>7.7974968809287211E-4</v>
      </c>
      <c r="W46" s="1"/>
      <c r="X46" s="1">
        <f t="shared" si="36"/>
        <v>-107.51</v>
      </c>
      <c r="Y46" s="1"/>
      <c r="Z46" s="5">
        <f t="shared" si="37"/>
        <v>-1</v>
      </c>
    </row>
    <row r="47" spans="1:26" s="24" customFormat="1" hidden="1" outlineLevel="2" x14ac:dyDescent="0.25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30"/>
        <v>0</v>
      </c>
      <c r="G47" s="2"/>
      <c r="H47" s="7">
        <v>107.51</v>
      </c>
      <c r="I47" s="2"/>
      <c r="J47" s="6">
        <f t="shared" si="31"/>
        <v>7.5676573627161074E-3</v>
      </c>
      <c r="K47" s="2"/>
      <c r="L47" s="7">
        <f t="shared" si="32"/>
        <v>-107.51</v>
      </c>
      <c r="M47" s="2"/>
      <c r="N47" s="6">
        <f t="shared" si="33"/>
        <v>-1</v>
      </c>
      <c r="O47" s="11"/>
      <c r="P47" s="7"/>
      <c r="Q47" s="2"/>
      <c r="R47" s="6">
        <f t="shared" si="34"/>
        <v>0</v>
      </c>
      <c r="S47" s="2"/>
      <c r="T47" s="7">
        <v>107.51</v>
      </c>
      <c r="U47" s="2"/>
      <c r="V47" s="6">
        <f t="shared" si="35"/>
        <v>7.7974968809287211E-4</v>
      </c>
      <c r="W47" s="2"/>
      <c r="X47" s="7">
        <f t="shared" si="36"/>
        <v>-107.51</v>
      </c>
      <c r="Y47" s="2"/>
      <c r="Z47" s="6">
        <f t="shared" si="37"/>
        <v>-1</v>
      </c>
    </row>
    <row r="48" spans="1:26" s="25" customFormat="1" outlineLevel="1" collapsed="1" x14ac:dyDescent="0.25">
      <c r="A48" s="26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188.13</v>
      </c>
      <c r="I48" s="1"/>
      <c r="J48" s="5">
        <f t="shared" si="31"/>
        <v>1.3242520506443877E-2</v>
      </c>
      <c r="K48" s="1"/>
      <c r="L48" s="1">
        <f t="shared" si="32"/>
        <v>-188.13</v>
      </c>
      <c r="M48" s="1"/>
      <c r="N48" s="5">
        <f t="shared" si="33"/>
        <v>-1</v>
      </c>
      <c r="O48" s="13"/>
      <c r="P48" s="1">
        <f>SUM(OSRRefP22_7x_0)</f>
        <v>64.02</v>
      </c>
      <c r="Q48" s="1"/>
      <c r="R48" s="5">
        <f t="shared" si="34"/>
        <v>0</v>
      </c>
      <c r="S48" s="1"/>
      <c r="T48" s="1">
        <f>SUM(OSRRefT22_7x_0)</f>
        <v>710.89</v>
      </c>
      <c r="U48" s="1"/>
      <c r="V48" s="5">
        <f t="shared" si="35"/>
        <v>5.1559506628996539E-3</v>
      </c>
      <c r="W48" s="1"/>
      <c r="X48" s="1">
        <f t="shared" si="36"/>
        <v>-646.87</v>
      </c>
      <c r="Y48" s="1"/>
      <c r="Z48" s="5">
        <f t="shared" si="37"/>
        <v>-0.9099438731730648</v>
      </c>
    </row>
    <row r="49" spans="1:26" s="24" customFormat="1" hidden="1" outlineLevel="2" x14ac:dyDescent="0.25">
      <c r="A49" s="27"/>
      <c r="B49" s="11" t="str">
        <f>CONCATENATE("          ", "6351", " - ", "EQUIPMENT RENTAL")</f>
        <v xml:space="preserve">          6351 - EQUIPMENT RENTAL</v>
      </c>
      <c r="C49" s="11"/>
      <c r="D49" s="7"/>
      <c r="E49" s="2"/>
      <c r="F49" s="6">
        <f t="shared" si="30"/>
        <v>0</v>
      </c>
      <c r="G49" s="2"/>
      <c r="H49" s="7">
        <v>188.13</v>
      </c>
      <c r="I49" s="2"/>
      <c r="J49" s="6">
        <f t="shared" si="31"/>
        <v>1.3242520506443877E-2</v>
      </c>
      <c r="K49" s="2"/>
      <c r="L49" s="7">
        <f t="shared" si="32"/>
        <v>-188.13</v>
      </c>
      <c r="M49" s="2"/>
      <c r="N49" s="6">
        <f t="shared" si="33"/>
        <v>-1</v>
      </c>
      <c r="O49" s="11"/>
      <c r="P49" s="7">
        <v>64.02</v>
      </c>
      <c r="Q49" s="2"/>
      <c r="R49" s="6">
        <f t="shared" si="34"/>
        <v>0</v>
      </c>
      <c r="S49" s="2"/>
      <c r="T49" s="7">
        <v>710.89</v>
      </c>
      <c r="U49" s="2"/>
      <c r="V49" s="6">
        <f t="shared" si="35"/>
        <v>5.1559506628996539E-3</v>
      </c>
      <c r="W49" s="2"/>
      <c r="X49" s="7">
        <f t="shared" si="36"/>
        <v>-646.87</v>
      </c>
      <c r="Y49" s="2"/>
      <c r="Z49" s="6">
        <f t="shared" si="37"/>
        <v>-0.9099438731730648</v>
      </c>
    </row>
    <row r="50" spans="1:26" s="25" customFormat="1" outlineLevel="1" collapsed="1" x14ac:dyDescent="0.25">
      <c r="A50" s="26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0</v>
      </c>
      <c r="I50" s="1"/>
      <c r="J50" s="5">
        <f t="shared" si="31"/>
        <v>0</v>
      </c>
      <c r="K50" s="1"/>
      <c r="L50" s="1">
        <f t="shared" si="32"/>
        <v>0</v>
      </c>
      <c r="M50" s="1"/>
      <c r="N50" s="5">
        <f t="shared" si="33"/>
        <v>0</v>
      </c>
      <c r="O50" s="13"/>
      <c r="P50" s="1">
        <f>SUM(OSRRefP22_8x_0)</f>
        <v>0</v>
      </c>
      <c r="Q50" s="1"/>
      <c r="R50" s="5">
        <f t="shared" si="34"/>
        <v>0</v>
      </c>
      <c r="S50" s="1"/>
      <c r="T50" s="1">
        <f>SUM(OSRRefT22_8x_0)</f>
        <v>749.55</v>
      </c>
      <c r="U50" s="1"/>
      <c r="V50" s="5">
        <f t="shared" si="35"/>
        <v>5.4363443280626188E-3</v>
      </c>
      <c r="W50" s="1"/>
      <c r="X50" s="1">
        <f t="shared" si="36"/>
        <v>-749.55</v>
      </c>
      <c r="Y50" s="1"/>
      <c r="Z50" s="5">
        <f t="shared" si="37"/>
        <v>-1</v>
      </c>
    </row>
    <row r="51" spans="1:26" s="24" customFormat="1" hidden="1" outlineLevel="2" x14ac:dyDescent="0.25">
      <c r="A51" s="27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30"/>
        <v>0</v>
      </c>
      <c r="G51" s="2"/>
      <c r="H51" s="7"/>
      <c r="I51" s="2"/>
      <c r="J51" s="6">
        <f t="shared" si="31"/>
        <v>0</v>
      </c>
      <c r="K51" s="2"/>
      <c r="L51" s="7">
        <f t="shared" si="32"/>
        <v>0</v>
      </c>
      <c r="M51" s="2"/>
      <c r="N51" s="6">
        <f t="shared" si="33"/>
        <v>0</v>
      </c>
      <c r="O51" s="11"/>
      <c r="P51" s="7"/>
      <c r="Q51" s="2"/>
      <c r="R51" s="6">
        <f t="shared" si="34"/>
        <v>0</v>
      </c>
      <c r="S51" s="2"/>
      <c r="T51" s="7">
        <v>749.55</v>
      </c>
      <c r="U51" s="2"/>
      <c r="V51" s="6">
        <f t="shared" si="35"/>
        <v>5.4363443280626188E-3</v>
      </c>
      <c r="W51" s="2"/>
      <c r="X51" s="7">
        <f t="shared" si="36"/>
        <v>-749.55</v>
      </c>
      <c r="Y51" s="2"/>
      <c r="Z51" s="6">
        <f t="shared" si="37"/>
        <v>-1</v>
      </c>
    </row>
    <row r="52" spans="1:26" s="25" customFormat="1" outlineLevel="1" collapsed="1" x14ac:dyDescent="0.25">
      <c r="A52" s="26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69.290000000000006</v>
      </c>
      <c r="E52" s="1"/>
      <c r="F52" s="5">
        <f t="shared" si="30"/>
        <v>0</v>
      </c>
      <c r="G52" s="1"/>
      <c r="H52" s="1">
        <f>SUM(OSRRefH22_9x_0)</f>
        <v>793.54</v>
      </c>
      <c r="I52" s="1"/>
      <c r="J52" s="5">
        <f t="shared" si="31"/>
        <v>5.5857490685608212E-2</v>
      </c>
      <c r="K52" s="1"/>
      <c r="L52" s="1">
        <f t="shared" si="32"/>
        <v>-724.25</v>
      </c>
      <c r="M52" s="1"/>
      <c r="N52" s="5">
        <f t="shared" si="33"/>
        <v>-0.91268241046450094</v>
      </c>
      <c r="O52" s="13"/>
      <c r="P52" s="1">
        <f>SUM(OSRRefP22_9x_0)</f>
        <v>217.18</v>
      </c>
      <c r="Q52" s="1"/>
      <c r="R52" s="5">
        <f t="shared" si="34"/>
        <v>0</v>
      </c>
      <c r="S52" s="1"/>
      <c r="T52" s="1">
        <f>SUM(OSRRefT22_9x_0)</f>
        <v>5425.2999999999993</v>
      </c>
      <c r="U52" s="1"/>
      <c r="V52" s="5">
        <f t="shared" si="35"/>
        <v>3.9348674382013372E-2</v>
      </c>
      <c r="W52" s="1"/>
      <c r="X52" s="1">
        <f t="shared" si="36"/>
        <v>-5208.119999999999</v>
      </c>
      <c r="Y52" s="1"/>
      <c r="Z52" s="5">
        <f t="shared" si="37"/>
        <v>-0.95996903397047162</v>
      </c>
    </row>
    <row r="53" spans="1:26" s="24" customFormat="1" hidden="1" outlineLevel="2" x14ac:dyDescent="0.25">
      <c r="A53" s="27"/>
      <c r="B53" s="11" t="str">
        <f>CONCATENATE("          ", "6371", " - ", "COMPUTER SOFTWARE MAINTENANCE")</f>
        <v xml:space="preserve">          6371 - COMPUTER SOFTWARE MAINTENANCE</v>
      </c>
      <c r="C53" s="11"/>
      <c r="D53" s="7"/>
      <c r="E53" s="2"/>
      <c r="F53" s="6">
        <f t="shared" si="30"/>
        <v>0</v>
      </c>
      <c r="G53" s="2"/>
      <c r="H53" s="7"/>
      <c r="I53" s="2"/>
      <c r="J53" s="6">
        <f t="shared" si="31"/>
        <v>0</v>
      </c>
      <c r="K53" s="2"/>
      <c r="L53" s="7">
        <f t="shared" si="32"/>
        <v>0</v>
      </c>
      <c r="M53" s="2"/>
      <c r="N53" s="6">
        <f t="shared" si="33"/>
        <v>0</v>
      </c>
      <c r="O53" s="11"/>
      <c r="P53" s="7"/>
      <c r="Q53" s="2"/>
      <c r="R53" s="6">
        <f t="shared" si="34"/>
        <v>0</v>
      </c>
      <c r="S53" s="2"/>
      <c r="T53" s="7">
        <v>2186.54</v>
      </c>
      <c r="U53" s="2"/>
      <c r="V53" s="6">
        <f t="shared" si="35"/>
        <v>1.5858560905986311E-2</v>
      </c>
      <c r="W53" s="2"/>
      <c r="X53" s="7">
        <f t="shared" si="36"/>
        <v>-2186.54</v>
      </c>
      <c r="Y53" s="2"/>
      <c r="Z53" s="6">
        <f t="shared" si="37"/>
        <v>-1</v>
      </c>
    </row>
    <row r="54" spans="1:26" s="24" customFormat="1" hidden="1" outlineLevel="2" x14ac:dyDescent="0.25">
      <c r="A54" s="27"/>
      <c r="B54" s="11" t="str">
        <f>CONCATENATE("          ", "6373", " - ", "MAINTENANCE CONTRACTS")</f>
        <v xml:space="preserve">          6373 - MAINTENANCE CONTRACTS</v>
      </c>
      <c r="C54" s="11"/>
      <c r="D54" s="7">
        <v>69.290000000000006</v>
      </c>
      <c r="E54" s="2"/>
      <c r="F54" s="6">
        <f t="shared" si="30"/>
        <v>0</v>
      </c>
      <c r="G54" s="2"/>
      <c r="H54" s="7">
        <v>774.29</v>
      </c>
      <c r="I54" s="2"/>
      <c r="J54" s="6">
        <f t="shared" si="31"/>
        <v>5.4502478089270341E-2</v>
      </c>
      <c r="K54" s="2"/>
      <c r="L54" s="7">
        <f t="shared" si="32"/>
        <v>-705</v>
      </c>
      <c r="M54" s="2"/>
      <c r="N54" s="6">
        <f t="shared" si="33"/>
        <v>-0.91051156543413969</v>
      </c>
      <c r="O54" s="11"/>
      <c r="P54" s="7">
        <v>217.18</v>
      </c>
      <c r="Q54" s="2"/>
      <c r="R54" s="6">
        <f t="shared" si="34"/>
        <v>0</v>
      </c>
      <c r="S54" s="2"/>
      <c r="T54" s="7">
        <v>840.28</v>
      </c>
      <c r="U54" s="2"/>
      <c r="V54" s="6">
        <f t="shared" si="35"/>
        <v>6.0943918510899314E-3</v>
      </c>
      <c r="W54" s="2"/>
      <c r="X54" s="7">
        <f t="shared" si="36"/>
        <v>-623.09999999999991</v>
      </c>
      <c r="Y54" s="2"/>
      <c r="Z54" s="6">
        <f t="shared" si="37"/>
        <v>-0.74153853477412279</v>
      </c>
    </row>
    <row r="55" spans="1:26" s="24" customFormat="1" hidden="1" outlineLevel="2" x14ac:dyDescent="0.25">
      <c r="A55" s="27"/>
      <c r="B55" s="11" t="str">
        <f>CONCATENATE("          ", "6375", " - ", "OUTSIDE REPAIRS &amp; MAINTENANCE")</f>
        <v xml:space="preserve">          6375 - OUTSIDE REPAIRS &amp; MAINTENANCE</v>
      </c>
      <c r="C55" s="11"/>
      <c r="D55" s="7"/>
      <c r="E55" s="2"/>
      <c r="F55" s="6">
        <f t="shared" si="30"/>
        <v>0</v>
      </c>
      <c r="G55" s="2"/>
      <c r="H55" s="7">
        <v>19.25</v>
      </c>
      <c r="I55" s="2"/>
      <c r="J55" s="6">
        <f t="shared" si="31"/>
        <v>1.3550125963378761E-3</v>
      </c>
      <c r="K55" s="2"/>
      <c r="L55" s="7">
        <f t="shared" si="32"/>
        <v>-19.25</v>
      </c>
      <c r="M55" s="2"/>
      <c r="N55" s="6">
        <f t="shared" si="33"/>
        <v>-1</v>
      </c>
      <c r="O55" s="11"/>
      <c r="P55" s="7"/>
      <c r="Q55" s="2"/>
      <c r="R55" s="6">
        <f t="shared" si="34"/>
        <v>0</v>
      </c>
      <c r="S55" s="2"/>
      <c r="T55" s="7">
        <v>2398.48</v>
      </c>
      <c r="U55" s="2"/>
      <c r="V55" s="6">
        <f t="shared" si="35"/>
        <v>1.739572162493714E-2</v>
      </c>
      <c r="W55" s="2"/>
      <c r="X55" s="7">
        <f t="shared" si="36"/>
        <v>-2398.48</v>
      </c>
      <c r="Y55" s="2"/>
      <c r="Z55" s="6">
        <f t="shared" si="37"/>
        <v>-1</v>
      </c>
    </row>
    <row r="56" spans="1:26" s="25" customFormat="1" outlineLevel="1" collapsed="1" x14ac:dyDescent="0.25">
      <c r="A56" s="26"/>
      <c r="B56" s="13" t="str">
        <f>CONCATENATE("     ","Services                                          ")</f>
        <v xml:space="preserve">     Services                                          </v>
      </c>
      <c r="C56" s="13"/>
      <c r="D56" s="1">
        <f>SUM(OSRRefD22_10x_0)</f>
        <v>0</v>
      </c>
      <c r="E56" s="1"/>
      <c r="F56" s="5">
        <f t="shared" ref="F56:F63" si="38">IF(D$12=0,0,D56/D$12)</f>
        <v>0</v>
      </c>
      <c r="G56" s="1"/>
      <c r="H56" s="1">
        <f>SUM(OSRRefH22_10x_0)</f>
        <v>49.2</v>
      </c>
      <c r="I56" s="1"/>
      <c r="J56" s="5">
        <f t="shared" ref="J56:J63" si="39">IF(H$12=0,0,H56/H$12)</f>
        <v>3.4632010254453771E-3</v>
      </c>
      <c r="K56" s="1"/>
      <c r="L56" s="1">
        <f t="shared" ref="L56:L63" si="40">+D56-H56</f>
        <v>-49.2</v>
      </c>
      <c r="M56" s="1"/>
      <c r="N56" s="5">
        <f t="shared" ref="N56:N63" si="41">IF(H56=0,0,L56/H56)</f>
        <v>-1</v>
      </c>
      <c r="O56" s="13"/>
      <c r="P56" s="1">
        <f>SUM(OSRRefP22_10x_0)</f>
        <v>0</v>
      </c>
      <c r="Q56" s="1"/>
      <c r="R56" s="5">
        <f t="shared" ref="R56:R63" si="42">IF(P$12=0,0,P56/P$12)</f>
        <v>0</v>
      </c>
      <c r="S56" s="1"/>
      <c r="T56" s="1">
        <f>SUM(OSRRefT22_10x_0)</f>
        <v>286.92</v>
      </c>
      <c r="U56" s="1"/>
      <c r="V56" s="5">
        <f t="shared" ref="V56:V63" si="43">IF(T$12=0,0,T56/T$12)</f>
        <v>2.0809764720268521E-3</v>
      </c>
      <c r="W56" s="1"/>
      <c r="X56" s="1">
        <f t="shared" ref="X56:X63" si="44">+P56-T56</f>
        <v>-286.92</v>
      </c>
      <c r="Y56" s="1"/>
      <c r="Z56" s="5">
        <f t="shared" ref="Z56:Z63" si="45">IF(T56=0,0,X56/T56)</f>
        <v>-1</v>
      </c>
    </row>
    <row r="57" spans="1:26" s="24" customFormat="1" hidden="1" outlineLevel="2" x14ac:dyDescent="0.25">
      <c r="A57" s="27"/>
      <c r="B57" s="11" t="str">
        <f>CONCATENATE("          ", "6286", " - ", "LAUNDRY EXPENSE")</f>
        <v xml:space="preserve">          6286 - LAUNDRY EXPENSE</v>
      </c>
      <c r="C57" s="11"/>
      <c r="D57" s="7"/>
      <c r="E57" s="2"/>
      <c r="F57" s="6">
        <f t="shared" si="38"/>
        <v>0</v>
      </c>
      <c r="G57" s="2"/>
      <c r="H57" s="7">
        <v>49.2</v>
      </c>
      <c r="I57" s="2"/>
      <c r="J57" s="6">
        <f t="shared" si="39"/>
        <v>3.4632010254453771E-3</v>
      </c>
      <c r="K57" s="2"/>
      <c r="L57" s="7">
        <f t="shared" si="40"/>
        <v>-49.2</v>
      </c>
      <c r="M57" s="2"/>
      <c r="N57" s="6">
        <f t="shared" si="41"/>
        <v>-1</v>
      </c>
      <c r="O57" s="11"/>
      <c r="P57" s="7"/>
      <c r="Q57" s="2"/>
      <c r="R57" s="6">
        <f t="shared" si="42"/>
        <v>0</v>
      </c>
      <c r="S57" s="2"/>
      <c r="T57" s="7">
        <v>286.92</v>
      </c>
      <c r="U57" s="2"/>
      <c r="V57" s="6">
        <f t="shared" si="43"/>
        <v>2.0809764720268521E-3</v>
      </c>
      <c r="W57" s="2"/>
      <c r="X57" s="7">
        <f t="shared" si="44"/>
        <v>-286.92</v>
      </c>
      <c r="Y57" s="2"/>
      <c r="Z57" s="6">
        <f t="shared" si="45"/>
        <v>-1</v>
      </c>
    </row>
    <row r="58" spans="1:26" s="25" customFormat="1" outlineLevel="1" collapsed="1" x14ac:dyDescent="0.25">
      <c r="A58" s="26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SUM(OSRRefD22_11x_0)</f>
        <v>0</v>
      </c>
      <c r="E58" s="1"/>
      <c r="F58" s="5">
        <f t="shared" si="38"/>
        <v>0</v>
      </c>
      <c r="G58" s="1"/>
      <c r="H58" s="1">
        <f>SUM(OSRRefH22_11x_0)</f>
        <v>363.08</v>
      </c>
      <c r="I58" s="1"/>
      <c r="J58" s="5">
        <f t="shared" si="39"/>
        <v>2.5557297323550963E-2</v>
      </c>
      <c r="K58" s="1"/>
      <c r="L58" s="1">
        <f t="shared" si="40"/>
        <v>-363.08</v>
      </c>
      <c r="M58" s="1"/>
      <c r="N58" s="5">
        <f t="shared" si="41"/>
        <v>-1</v>
      </c>
      <c r="O58" s="13"/>
      <c r="P58" s="1">
        <f>SUM(OSRRefP22_11x_0)</f>
        <v>0</v>
      </c>
      <c r="Q58" s="1"/>
      <c r="R58" s="5">
        <f t="shared" si="42"/>
        <v>0</v>
      </c>
      <c r="S58" s="1"/>
      <c r="T58" s="1">
        <f>SUM(OSRRefT22_11x_0)</f>
        <v>5463.75</v>
      </c>
      <c r="U58" s="1"/>
      <c r="V58" s="5">
        <f t="shared" si="43"/>
        <v>3.9627544956910329E-2</v>
      </c>
      <c r="W58" s="1"/>
      <c r="X58" s="1">
        <f t="shared" si="44"/>
        <v>-5463.75</v>
      </c>
      <c r="Y58" s="1"/>
      <c r="Z58" s="5">
        <f t="shared" si="45"/>
        <v>-1</v>
      </c>
    </row>
    <row r="59" spans="1:26" s="24" customFormat="1" hidden="1" outlineLevel="2" x14ac:dyDescent="0.25">
      <c r="A59" s="27"/>
      <c r="B59" s="11" t="str">
        <f>CONCATENATE("          ", "6239", " - ", "KITCHEN SUPPLIES")</f>
        <v xml:space="preserve">          6239 - KITCHEN SUPPLIES</v>
      </c>
      <c r="C59" s="11"/>
      <c r="D59" s="7"/>
      <c r="E59" s="2"/>
      <c r="F59" s="6">
        <f t="shared" si="38"/>
        <v>0</v>
      </c>
      <c r="G59" s="2"/>
      <c r="H59" s="7">
        <v>226.01</v>
      </c>
      <c r="I59" s="2"/>
      <c r="J59" s="6">
        <f t="shared" si="39"/>
        <v>1.5908903734977838E-2</v>
      </c>
      <c r="K59" s="2"/>
      <c r="L59" s="7">
        <f t="shared" si="40"/>
        <v>-226.01</v>
      </c>
      <c r="M59" s="2"/>
      <c r="N59" s="6">
        <f t="shared" si="41"/>
        <v>-1</v>
      </c>
      <c r="O59" s="11"/>
      <c r="P59" s="7"/>
      <c r="Q59" s="2"/>
      <c r="R59" s="6">
        <f t="shared" si="42"/>
        <v>0</v>
      </c>
      <c r="S59" s="2"/>
      <c r="T59" s="7">
        <v>2898.22</v>
      </c>
      <c r="U59" s="2"/>
      <c r="V59" s="6">
        <f t="shared" si="43"/>
        <v>2.1020241289410505E-2</v>
      </c>
      <c r="W59" s="2"/>
      <c r="X59" s="7">
        <f t="shared" si="44"/>
        <v>-2898.22</v>
      </c>
      <c r="Y59" s="2"/>
      <c r="Z59" s="6">
        <f t="shared" si="45"/>
        <v>-1</v>
      </c>
    </row>
    <row r="60" spans="1:26" s="24" customFormat="1" hidden="1" outlineLevel="2" x14ac:dyDescent="0.25">
      <c r="A60" s="27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38"/>
        <v>0</v>
      </c>
      <c r="G60" s="2"/>
      <c r="H60" s="7">
        <v>100.55</v>
      </c>
      <c r="I60" s="2"/>
      <c r="J60" s="6">
        <f t="shared" si="39"/>
        <v>7.0777411200921266E-3</v>
      </c>
      <c r="K60" s="2"/>
      <c r="L60" s="7">
        <f t="shared" si="40"/>
        <v>-100.55</v>
      </c>
      <c r="M60" s="2"/>
      <c r="N60" s="6">
        <f t="shared" si="41"/>
        <v>-1</v>
      </c>
      <c r="O60" s="11"/>
      <c r="P60" s="7"/>
      <c r="Q60" s="2"/>
      <c r="R60" s="6">
        <f t="shared" si="42"/>
        <v>0</v>
      </c>
      <c r="S60" s="2"/>
      <c r="T60" s="7">
        <v>649.99</v>
      </c>
      <c r="U60" s="2"/>
      <c r="V60" s="6">
        <f t="shared" si="43"/>
        <v>4.7142544857546823E-3</v>
      </c>
      <c r="W60" s="2"/>
      <c r="X60" s="7">
        <f t="shared" si="44"/>
        <v>-649.99</v>
      </c>
      <c r="Y60" s="2"/>
      <c r="Z60" s="6">
        <f t="shared" si="45"/>
        <v>-1</v>
      </c>
    </row>
    <row r="61" spans="1:26" s="24" customFormat="1" hidden="1" outlineLevel="2" x14ac:dyDescent="0.25">
      <c r="A61" s="27"/>
      <c r="B61" s="11" t="str">
        <f>CONCATENATE("          ", "6243", " - ", "PAPER SUPPLIES")</f>
        <v xml:space="preserve">          6243 - PAPER SUPPLIES</v>
      </c>
      <c r="C61" s="11"/>
      <c r="D61" s="7"/>
      <c r="E61" s="2"/>
      <c r="F61" s="6">
        <f t="shared" si="38"/>
        <v>0</v>
      </c>
      <c r="G61" s="2"/>
      <c r="H61" s="7">
        <v>36.520000000000003</v>
      </c>
      <c r="I61" s="2"/>
      <c r="J61" s="6">
        <f t="shared" si="39"/>
        <v>2.5706524684809993E-3</v>
      </c>
      <c r="K61" s="2"/>
      <c r="L61" s="7">
        <f t="shared" si="40"/>
        <v>-36.520000000000003</v>
      </c>
      <c r="M61" s="2"/>
      <c r="N61" s="6">
        <f t="shared" si="41"/>
        <v>-1</v>
      </c>
      <c r="O61" s="11"/>
      <c r="P61" s="7"/>
      <c r="Q61" s="2"/>
      <c r="R61" s="6">
        <f t="shared" si="42"/>
        <v>0</v>
      </c>
      <c r="S61" s="2"/>
      <c r="T61" s="7">
        <v>1175.8699999999999</v>
      </c>
      <c r="U61" s="2"/>
      <c r="V61" s="6">
        <f t="shared" si="43"/>
        <v>8.5283626242932311E-3</v>
      </c>
      <c r="W61" s="2"/>
      <c r="X61" s="7">
        <f t="shared" si="44"/>
        <v>-1175.8699999999999</v>
      </c>
      <c r="Y61" s="2"/>
      <c r="Z61" s="6">
        <f t="shared" si="45"/>
        <v>-1</v>
      </c>
    </row>
    <row r="62" spans="1:26" s="24" customFormat="1" hidden="1" outlineLevel="2" x14ac:dyDescent="0.25">
      <c r="A62" s="27"/>
      <c r="B62" s="11" t="str">
        <f>CONCATENATE("          ", "6247", " - ", "STORE SUPPLIES")</f>
        <v xml:space="preserve">          6247 - STORE SUPPLIES</v>
      </c>
      <c r="C62" s="11"/>
      <c r="D62" s="7"/>
      <c r="E62" s="2"/>
      <c r="F62" s="6">
        <f t="shared" si="38"/>
        <v>0</v>
      </c>
      <c r="G62" s="2"/>
      <c r="H62" s="7"/>
      <c r="I62" s="2"/>
      <c r="J62" s="6">
        <f t="shared" si="39"/>
        <v>0</v>
      </c>
      <c r="K62" s="2"/>
      <c r="L62" s="7">
        <f t="shared" si="40"/>
        <v>0</v>
      </c>
      <c r="M62" s="2"/>
      <c r="N62" s="6">
        <f t="shared" si="41"/>
        <v>0</v>
      </c>
      <c r="O62" s="11"/>
      <c r="P62" s="7"/>
      <c r="Q62" s="2"/>
      <c r="R62" s="6">
        <f t="shared" si="42"/>
        <v>0</v>
      </c>
      <c r="S62" s="2"/>
      <c r="T62" s="7">
        <v>102.64</v>
      </c>
      <c r="U62" s="2"/>
      <c r="V62" s="6">
        <f t="shared" si="43"/>
        <v>7.4442849954285543E-4</v>
      </c>
      <c r="W62" s="2"/>
      <c r="X62" s="7">
        <f t="shared" si="44"/>
        <v>-102.64</v>
      </c>
      <c r="Y62" s="2"/>
      <c r="Z62" s="6">
        <f t="shared" si="45"/>
        <v>-1</v>
      </c>
    </row>
    <row r="63" spans="1:26" s="24" customFormat="1" hidden="1" outlineLevel="2" x14ac:dyDescent="0.25">
      <c r="A63" s="27"/>
      <c r="B63" s="11" t="str">
        <f>CONCATENATE("          ", "6248", " - ", "UNIFORMS")</f>
        <v xml:space="preserve">          6248 - UNIFORMS</v>
      </c>
      <c r="C63" s="11"/>
      <c r="D63" s="7"/>
      <c r="E63" s="2"/>
      <c r="F63" s="6">
        <f t="shared" si="38"/>
        <v>0</v>
      </c>
      <c r="G63" s="2"/>
      <c r="H63" s="7"/>
      <c r="I63" s="2"/>
      <c r="J63" s="6">
        <f t="shared" si="39"/>
        <v>0</v>
      </c>
      <c r="K63" s="2"/>
      <c r="L63" s="7">
        <f t="shared" si="40"/>
        <v>0</v>
      </c>
      <c r="M63" s="2"/>
      <c r="N63" s="6">
        <f t="shared" si="41"/>
        <v>0</v>
      </c>
      <c r="O63" s="11"/>
      <c r="P63" s="7"/>
      <c r="Q63" s="2"/>
      <c r="R63" s="6">
        <f t="shared" si="42"/>
        <v>0</v>
      </c>
      <c r="S63" s="2"/>
      <c r="T63" s="7">
        <v>637.03</v>
      </c>
      <c r="U63" s="2"/>
      <c r="V63" s="6">
        <f t="shared" si="43"/>
        <v>4.6202580579090529E-3</v>
      </c>
      <c r="W63" s="2"/>
      <c r="X63" s="7">
        <f t="shared" si="44"/>
        <v>-637.03</v>
      </c>
      <c r="Y63" s="2"/>
      <c r="Z63" s="6">
        <f t="shared" si="45"/>
        <v>-1</v>
      </c>
    </row>
    <row r="64" spans="1:26" s="25" customFormat="1" outlineLevel="1" collapsed="1" x14ac:dyDescent="0.25">
      <c r="A64" s="26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SUM(OSRRefD22_12x_0)</f>
        <v>0</v>
      </c>
      <c r="E64" s="1"/>
      <c r="F64" s="5">
        <f t="shared" ref="F64:F67" si="46">IF(D$12=0,0,D64/D$12)</f>
        <v>0</v>
      </c>
      <c r="G64" s="1"/>
      <c r="H64" s="1">
        <f>SUM(OSRRefH22_12x_0)</f>
        <v>86.5</v>
      </c>
      <c r="I64" s="1"/>
      <c r="J64" s="5">
        <f t="shared" ref="J64:J67" si="47">IF(H$12=0,0,H64/H$12)</f>
        <v>6.0887579004273388E-3</v>
      </c>
      <c r="K64" s="1"/>
      <c r="L64" s="1">
        <f t="shared" ref="L64:L67" si="48">+D64-H64</f>
        <v>-86.5</v>
      </c>
      <c r="M64" s="1"/>
      <c r="N64" s="5">
        <f t="shared" ref="N64:N67" si="49">IF(H64=0,0,L64/H64)</f>
        <v>-1</v>
      </c>
      <c r="O64" s="13"/>
      <c r="P64" s="1">
        <f>SUM(OSRRefP22_12x_0)</f>
        <v>85.2</v>
      </c>
      <c r="Q64" s="1"/>
      <c r="R64" s="5">
        <f t="shared" ref="R64:R67" si="50">IF(P$12=0,0,P64/P$12)</f>
        <v>0</v>
      </c>
      <c r="S64" s="1"/>
      <c r="T64" s="1">
        <f>SUM(OSRRefT22_12x_0)</f>
        <v>521.5</v>
      </c>
      <c r="U64" s="1"/>
      <c r="V64" s="5">
        <f t="shared" ref="V64:V67" si="51">IF(T$12=0,0,T64/T$12)</f>
        <v>3.782340827275907E-3</v>
      </c>
      <c r="W64" s="1"/>
      <c r="X64" s="1">
        <f t="shared" ref="X64:X67" si="52">+P64-T64</f>
        <v>-436.3</v>
      </c>
      <c r="Y64" s="1"/>
      <c r="Z64" s="5">
        <f t="shared" ref="Z64:Z67" si="53">IF(T64=0,0,X64/T64)</f>
        <v>-0.83662511984659638</v>
      </c>
    </row>
    <row r="65" spans="1:26" s="24" customFormat="1" hidden="1" outlineLevel="2" x14ac:dyDescent="0.25">
      <c r="A65" s="27"/>
      <c r="B65" s="11" t="str">
        <f>CONCATENATE("          ", "6309", " - ", "TELEPHONE")</f>
        <v xml:space="preserve">          6309 - TELEPHONE</v>
      </c>
      <c r="C65" s="11"/>
      <c r="D65" s="7"/>
      <c r="E65" s="2"/>
      <c r="F65" s="6">
        <f t="shared" si="46"/>
        <v>0</v>
      </c>
      <c r="G65" s="2"/>
      <c r="H65" s="7">
        <v>86.5</v>
      </c>
      <c r="I65" s="2"/>
      <c r="J65" s="6">
        <f t="shared" si="47"/>
        <v>6.0887579004273388E-3</v>
      </c>
      <c r="K65" s="2"/>
      <c r="L65" s="7">
        <f t="shared" si="48"/>
        <v>-86.5</v>
      </c>
      <c r="M65" s="2"/>
      <c r="N65" s="6">
        <f t="shared" si="49"/>
        <v>-1</v>
      </c>
      <c r="O65" s="11"/>
      <c r="P65" s="7">
        <v>85.2</v>
      </c>
      <c r="Q65" s="2"/>
      <c r="R65" s="6">
        <f t="shared" si="50"/>
        <v>0</v>
      </c>
      <c r="S65" s="2"/>
      <c r="T65" s="7">
        <v>521.5</v>
      </c>
      <c r="U65" s="2"/>
      <c r="V65" s="6">
        <f t="shared" si="51"/>
        <v>3.782340827275907E-3</v>
      </c>
      <c r="W65" s="2"/>
      <c r="X65" s="7">
        <f t="shared" si="52"/>
        <v>-436.3</v>
      </c>
      <c r="Y65" s="2"/>
      <c r="Z65" s="6">
        <f t="shared" si="53"/>
        <v>-0.83662511984659638</v>
      </c>
    </row>
    <row r="66" spans="1:26" s="25" customFormat="1" outlineLevel="1" collapsed="1" x14ac:dyDescent="0.25">
      <c r="A66" s="26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SUM(OSRRefD22_13x_0)</f>
        <v>0</v>
      </c>
      <c r="E66" s="1"/>
      <c r="F66" s="5">
        <f t="shared" si="46"/>
        <v>0</v>
      </c>
      <c r="G66" s="1"/>
      <c r="H66" s="1">
        <f>SUM(OSRRefH22_13x_0)</f>
        <v>0</v>
      </c>
      <c r="I66" s="1"/>
      <c r="J66" s="5">
        <f t="shared" si="47"/>
        <v>0</v>
      </c>
      <c r="K66" s="1"/>
      <c r="L66" s="1">
        <f t="shared" si="48"/>
        <v>0</v>
      </c>
      <c r="M66" s="1"/>
      <c r="N66" s="5">
        <f t="shared" si="49"/>
        <v>0</v>
      </c>
      <c r="O66" s="13"/>
      <c r="P66" s="1">
        <f>SUM(OSRRefP22_13x_0)</f>
        <v>0</v>
      </c>
      <c r="Q66" s="1"/>
      <c r="R66" s="5">
        <f t="shared" si="50"/>
        <v>0</v>
      </c>
      <c r="S66" s="1"/>
      <c r="T66" s="1">
        <f>SUM(OSRRefT22_13x_0)</f>
        <v>152.94999999999999</v>
      </c>
      <c r="U66" s="1"/>
      <c r="V66" s="5">
        <f t="shared" si="51"/>
        <v>1.1093174104158197E-3</v>
      </c>
      <c r="W66" s="1"/>
      <c r="X66" s="1">
        <f t="shared" si="52"/>
        <v>-152.94999999999999</v>
      </c>
      <c r="Y66" s="1"/>
      <c r="Z66" s="5">
        <f t="shared" si="53"/>
        <v>-1</v>
      </c>
    </row>
    <row r="67" spans="1:26" s="24" customFormat="1" hidden="1" outlineLevel="2" x14ac:dyDescent="0.25">
      <c r="A67" s="27"/>
      <c r="B67" s="11" t="str">
        <f>CONCATENATE("          ", "6376", " - ", "TRAINING")</f>
        <v xml:space="preserve">          6376 - TRAINING</v>
      </c>
      <c r="C67" s="11"/>
      <c r="D67" s="7"/>
      <c r="E67" s="2"/>
      <c r="F67" s="6">
        <f t="shared" si="46"/>
        <v>0</v>
      </c>
      <c r="G67" s="2"/>
      <c r="H67" s="7"/>
      <c r="I67" s="2"/>
      <c r="J67" s="6">
        <f t="shared" si="47"/>
        <v>0</v>
      </c>
      <c r="K67" s="2"/>
      <c r="L67" s="7">
        <f t="shared" si="48"/>
        <v>0</v>
      </c>
      <c r="M67" s="2"/>
      <c r="N67" s="6">
        <f t="shared" si="49"/>
        <v>0</v>
      </c>
      <c r="O67" s="11"/>
      <c r="P67" s="7"/>
      <c r="Q67" s="2"/>
      <c r="R67" s="6">
        <f t="shared" si="50"/>
        <v>0</v>
      </c>
      <c r="S67" s="2"/>
      <c r="T67" s="7">
        <v>152.94999999999999</v>
      </c>
      <c r="U67" s="2"/>
      <c r="V67" s="6">
        <f t="shared" si="51"/>
        <v>1.1093174104158197E-3</v>
      </c>
      <c r="W67" s="2"/>
      <c r="X67" s="7">
        <f t="shared" si="52"/>
        <v>-152.94999999999999</v>
      </c>
      <c r="Y67" s="2"/>
      <c r="Z67" s="6">
        <f t="shared" si="53"/>
        <v>-1</v>
      </c>
    </row>
    <row r="68" spans="1:26" s="55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9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3</v>
      </c>
      <c r="C71" s="28"/>
      <c r="D71" s="20">
        <f>+D20-D22+D69</f>
        <v>-188.84</v>
      </c>
      <c r="E71" s="14"/>
      <c r="F71" s="21">
        <f>IF(D$12=0,0,D71/D$12)</f>
        <v>0</v>
      </c>
      <c r="G71" s="14"/>
      <c r="H71" s="20">
        <f>+H20-H22+H69</f>
        <v>-8924</v>
      </c>
      <c r="I71" s="14"/>
      <c r="J71" s="21">
        <f>IF(H$12=0,0,H71/H$12)</f>
        <v>-0.62816272258281591</v>
      </c>
      <c r="K71" s="15"/>
      <c r="L71" s="20">
        <f>+D71-H71</f>
        <v>8735.16</v>
      </c>
      <c r="M71" s="15"/>
      <c r="N71" s="21">
        <f>IF(H71=0,0,L71/H71)</f>
        <v>-0.97883908561183319</v>
      </c>
      <c r="O71" s="29"/>
      <c r="P71" s="20">
        <f>+P20-P22+P69</f>
        <v>-1744.5</v>
      </c>
      <c r="Q71" s="14"/>
      <c r="R71" s="21">
        <f>IF(P$12=0,0,P71/P$12)</f>
        <v>0</v>
      </c>
      <c r="S71" s="14"/>
      <c r="T71" s="20">
        <f>+T20-T22+T69</f>
        <v>-37771.340000000011</v>
      </c>
      <c r="U71" s="14"/>
      <c r="V71" s="21">
        <f>IF(T$12=0,0,T71/T$12)</f>
        <v>-0.27394838232582858</v>
      </c>
      <c r="W71" s="15"/>
      <c r="X71" s="20">
        <f>+P71-T71</f>
        <v>36026.840000000011</v>
      </c>
      <c r="Y71" s="15"/>
      <c r="Z71" s="21">
        <f>IF(T71=0,0,X71/T71)</f>
        <v>-0.95381418821783925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/>
      <c r="E73" s="4"/>
      <c r="F73" s="12">
        <f>IF(D$12=0,0,D73/D$12)</f>
        <v>0</v>
      </c>
      <c r="G73" s="4"/>
      <c r="H73" s="4">
        <v>1795.91</v>
      </c>
      <c r="I73" s="4"/>
      <c r="J73" s="12">
        <f>IF(H$12=0,0,H73/H$12)</f>
        <v>0.1264145803578782</v>
      </c>
      <c r="K73" s="4"/>
      <c r="L73" s="4">
        <f>+D73-H73</f>
        <v>-1795.91</v>
      </c>
      <c r="M73" s="4"/>
      <c r="N73" s="12">
        <f>IF(H73=0,0,L73/H73)</f>
        <v>-1</v>
      </c>
      <c r="O73" s="10"/>
      <c r="P73" s="4"/>
      <c r="Q73" s="4"/>
      <c r="R73" s="12">
        <f>IF(P$12=0,0,P73/P$12)</f>
        <v>0</v>
      </c>
      <c r="S73" s="4"/>
      <c r="T73" s="4">
        <v>14891.84</v>
      </c>
      <c r="U73" s="4"/>
      <c r="V73" s="12">
        <f>IF(T$12=0,0,T73/T$12)</f>
        <v>0.10800769784326068</v>
      </c>
      <c r="W73" s="4"/>
      <c r="X73" s="4">
        <f>+P73-T73</f>
        <v>-14891.84</v>
      </c>
      <c r="Y73" s="4"/>
      <c r="Z73" s="12">
        <f>IF(T73=0,0,X73/T73)</f>
        <v>-1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4</v>
      </c>
      <c r="C75" s="28"/>
      <c r="D75" s="33">
        <f>+D71-D73</f>
        <v>-188.84</v>
      </c>
      <c r="E75" s="14"/>
      <c r="F75" s="34">
        <f>IF(D$12=0,0,D75/D$12)</f>
        <v>0</v>
      </c>
      <c r="G75" s="14"/>
      <c r="H75" s="33">
        <f>+H71-H73</f>
        <v>-10719.91</v>
      </c>
      <c r="I75" s="14"/>
      <c r="J75" s="34">
        <f>IF(H$12=0,0,H75/H$12)</f>
        <v>-0.75457730294069403</v>
      </c>
      <c r="K75" s="15"/>
      <c r="L75" s="33">
        <f>D75-H75</f>
        <v>10531.07</v>
      </c>
      <c r="M75" s="15"/>
      <c r="N75" s="34">
        <f>IF(H75=0,0,L75/H75)</f>
        <v>-0.98238418046420162</v>
      </c>
      <c r="O75" s="29"/>
      <c r="P75" s="33">
        <f>+P71-P73</f>
        <v>-1744.5</v>
      </c>
      <c r="Q75" s="14"/>
      <c r="R75" s="34">
        <f>IF(P$12=0,0,P75/P$12)</f>
        <v>0</v>
      </c>
      <c r="S75" s="14"/>
      <c r="T75" s="33">
        <f>+T71-T73</f>
        <v>-52663.180000000008</v>
      </c>
      <c r="U75" s="14"/>
      <c r="V75" s="34">
        <f>IF(T$12=0,0,T75/T$12)</f>
        <v>-0.38195608016908922</v>
      </c>
      <c r="W75" s="15"/>
      <c r="X75" s="33">
        <f>P75-T75</f>
        <v>50918.680000000008</v>
      </c>
      <c r="Y75" s="15"/>
      <c r="Z75" s="34">
        <f>IF(T75=0,0,X75/T75)</f>
        <v>-0.96687438927918901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5</v>
      </c>
      <c r="C78" s="28"/>
      <c r="D78" s="30">
        <f>SUM(D75:D77)</f>
        <v>-188.84</v>
      </c>
      <c r="E78" s="14"/>
      <c r="F78" s="32">
        <f>IF(D$12=0,0,D78/D$12)</f>
        <v>0</v>
      </c>
      <c r="G78" s="14"/>
      <c r="H78" s="30">
        <f>SUM(H75:H77)</f>
        <v>-10719.91</v>
      </c>
      <c r="I78" s="14"/>
      <c r="J78" s="32">
        <f>IF(H$12=0,0,H78/H$12)</f>
        <v>-0.75457730294069403</v>
      </c>
      <c r="K78" s="15"/>
      <c r="L78" s="30">
        <f>+D78-H78</f>
        <v>10531.07</v>
      </c>
      <c r="M78" s="15"/>
      <c r="N78" s="32">
        <f>IF(H78=0,0,L78/H78)</f>
        <v>-0.98238418046420162</v>
      </c>
      <c r="O78" s="29"/>
      <c r="P78" s="30">
        <f>SUM(P75:P77)</f>
        <v>-1744.5</v>
      </c>
      <c r="Q78" s="14"/>
      <c r="R78" s="32">
        <f>IF(P$12=0,0,P78/P$12)</f>
        <v>0</v>
      </c>
      <c r="S78" s="14"/>
      <c r="T78" s="30">
        <f>SUM(T75:T77)</f>
        <v>-52663.180000000008</v>
      </c>
      <c r="U78" s="14"/>
      <c r="V78" s="32">
        <f>IF(T$12=0,0,T78/T$12)</f>
        <v>-0.38195608016908922</v>
      </c>
      <c r="W78" s="15"/>
      <c r="X78" s="30">
        <f>+P78-T78</f>
        <v>50918.680000000008</v>
      </c>
      <c r="Y78" s="15"/>
      <c r="Z78" s="32">
        <f>IF(T78=0,0,X78/T78)</f>
        <v>-0.96687438927918901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8">
        <v>44209.522001423611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61" t="s">
        <v>313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7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297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","411", " - ", "University Dining")</f>
        <v>Department 411 - University Dining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33196.869999999995</v>
      </c>
      <c r="E18" s="22"/>
      <c r="F18" s="36">
        <f t="shared" ref="F18:F28" si="0">IF(D$12=0,0,D18/D$12)</f>
        <v>0</v>
      </c>
      <c r="G18" s="22"/>
      <c r="H18" s="22">
        <f>SUM(OSRRefH22x_0)</f>
        <v>121074.75</v>
      </c>
      <c r="I18" s="22"/>
      <c r="J18" s="36">
        <f t="shared" ref="J18:J28" si="1">IF(H$12=0,0,H18/H$12)</f>
        <v>0</v>
      </c>
      <c r="K18" s="4"/>
      <c r="L18" s="22">
        <f t="shared" ref="L18:L28" si="2">+D18-H18</f>
        <v>-87877.88</v>
      </c>
      <c r="M18" s="4"/>
      <c r="N18" s="36">
        <f t="shared" ref="N18:N28" si="3">IF(H18=0,0,L18/H18)</f>
        <v>-0.72581508530886918</v>
      </c>
      <c r="O18" s="10"/>
      <c r="P18" s="22">
        <f>SUM(OSRRefP22x_0)</f>
        <v>152396.26000000004</v>
      </c>
      <c r="Q18" s="22"/>
      <c r="R18" s="36">
        <f t="shared" ref="R18:R28" si="4">IF(P$12=0,0,P18/P$12)</f>
        <v>0</v>
      </c>
      <c r="S18" s="22"/>
      <c r="T18" s="22">
        <f>SUM(OSRRefT22x_0)</f>
        <v>604422.47</v>
      </c>
      <c r="U18" s="22"/>
      <c r="V18" s="36">
        <f t="shared" ref="V18:V28" si="5">IF(T$12=0,0,T18/T$12)</f>
        <v>0</v>
      </c>
      <c r="W18" s="4"/>
      <c r="X18" s="22">
        <f t="shared" ref="X18:X28" si="6">+P18-T18</f>
        <v>-452026.20999999996</v>
      </c>
      <c r="Y18" s="4"/>
      <c r="Z18" s="36">
        <f t="shared" ref="Z18:Z28" si="7">IF(T18=0,0,X18/T18)</f>
        <v>-0.7478646682344553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5004.6100000000006</v>
      </c>
      <c r="E19" s="1"/>
      <c r="F19" s="5">
        <f t="shared" si="0"/>
        <v>0</v>
      </c>
      <c r="G19" s="1"/>
      <c r="H19" s="1">
        <f>SUM(OSRRefH22_0x_0)</f>
        <v>10923.550000000001</v>
      </c>
      <c r="I19" s="1"/>
      <c r="J19" s="5">
        <f t="shared" si="1"/>
        <v>0</v>
      </c>
      <c r="K19" s="1"/>
      <c r="L19" s="1">
        <f t="shared" si="2"/>
        <v>-5918.9400000000005</v>
      </c>
      <c r="M19" s="1"/>
      <c r="N19" s="5">
        <f t="shared" si="3"/>
        <v>-0.54185132122798907</v>
      </c>
      <c r="O19" s="13"/>
      <c r="P19" s="1">
        <f>SUM(OSRRefP22_0x_0)</f>
        <v>36199.509999999995</v>
      </c>
      <c r="Q19" s="1"/>
      <c r="R19" s="5">
        <f t="shared" si="4"/>
        <v>0</v>
      </c>
      <c r="S19" s="1"/>
      <c r="T19" s="1">
        <f>SUM(OSRRefT22_0x_0)</f>
        <v>67420.3</v>
      </c>
      <c r="U19" s="1"/>
      <c r="V19" s="5">
        <f t="shared" si="5"/>
        <v>0</v>
      </c>
      <c r="W19" s="1"/>
      <c r="X19" s="1">
        <f t="shared" si="6"/>
        <v>-31220.790000000008</v>
      </c>
      <c r="Y19" s="1"/>
      <c r="Z19" s="5">
        <f t="shared" si="7"/>
        <v>-0.4630769960976146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160.5</v>
      </c>
      <c r="E20" s="2"/>
      <c r="F20" s="6">
        <f t="shared" si="0"/>
        <v>0</v>
      </c>
      <c r="G20" s="2"/>
      <c r="H20" s="7">
        <v>2020.58</v>
      </c>
      <c r="I20" s="2"/>
      <c r="J20" s="6">
        <f t="shared" si="1"/>
        <v>0</v>
      </c>
      <c r="K20" s="2"/>
      <c r="L20" s="7">
        <f t="shared" si="2"/>
        <v>-1860.08</v>
      </c>
      <c r="M20" s="2"/>
      <c r="N20" s="6">
        <f t="shared" si="3"/>
        <v>-0.92056736184659849</v>
      </c>
      <c r="O20" s="11"/>
      <c r="P20" s="7">
        <v>5336.09</v>
      </c>
      <c r="Q20" s="2"/>
      <c r="R20" s="6">
        <f t="shared" si="4"/>
        <v>0</v>
      </c>
      <c r="S20" s="2"/>
      <c r="T20" s="7">
        <v>14167.1</v>
      </c>
      <c r="U20" s="2"/>
      <c r="V20" s="6">
        <f t="shared" si="5"/>
        <v>0</v>
      </c>
      <c r="W20" s="2"/>
      <c r="X20" s="7">
        <f t="shared" si="6"/>
        <v>-8831.01</v>
      </c>
      <c r="Y20" s="2"/>
      <c r="Z20" s="6">
        <f t="shared" si="7"/>
        <v>-0.62334634470004446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94.86</v>
      </c>
      <c r="E21" s="2"/>
      <c r="F21" s="6">
        <f t="shared" si="0"/>
        <v>0</v>
      </c>
      <c r="G21" s="2"/>
      <c r="H21" s="7">
        <v>1315.63</v>
      </c>
      <c r="I21" s="2"/>
      <c r="J21" s="6">
        <f t="shared" si="1"/>
        <v>0</v>
      </c>
      <c r="K21" s="2"/>
      <c r="L21" s="7">
        <f t="shared" si="2"/>
        <v>-1220.7700000000002</v>
      </c>
      <c r="M21" s="2"/>
      <c r="N21" s="6">
        <f t="shared" si="3"/>
        <v>-0.92789766119653705</v>
      </c>
      <c r="O21" s="11"/>
      <c r="P21" s="7">
        <v>425.07</v>
      </c>
      <c r="Q21" s="2"/>
      <c r="R21" s="6">
        <f t="shared" si="4"/>
        <v>0</v>
      </c>
      <c r="S21" s="2"/>
      <c r="T21" s="7">
        <v>4795.9799999999996</v>
      </c>
      <c r="U21" s="2"/>
      <c r="V21" s="6">
        <f t="shared" si="5"/>
        <v>0</v>
      </c>
      <c r="W21" s="2"/>
      <c r="X21" s="7">
        <f t="shared" si="6"/>
        <v>-4370.91</v>
      </c>
      <c r="Y21" s="2"/>
      <c r="Z21" s="6">
        <f t="shared" si="7"/>
        <v>-0.91136952197465382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1950.75</v>
      </c>
      <c r="E22" s="2"/>
      <c r="F22" s="6">
        <f t="shared" si="0"/>
        <v>0</v>
      </c>
      <c r="G22" s="2"/>
      <c r="H22" s="7">
        <v>3654.92</v>
      </c>
      <c r="I22" s="2"/>
      <c r="J22" s="6">
        <f t="shared" si="1"/>
        <v>0</v>
      </c>
      <c r="K22" s="2"/>
      <c r="L22" s="7">
        <f t="shared" si="2"/>
        <v>-1704.17</v>
      </c>
      <c r="M22" s="2"/>
      <c r="N22" s="6">
        <f t="shared" si="3"/>
        <v>-0.46626738752147789</v>
      </c>
      <c r="O22" s="11"/>
      <c r="P22" s="7">
        <v>10570.47</v>
      </c>
      <c r="Q22" s="2"/>
      <c r="R22" s="6">
        <f t="shared" si="4"/>
        <v>0</v>
      </c>
      <c r="S22" s="2"/>
      <c r="T22" s="7">
        <v>21929.279999999999</v>
      </c>
      <c r="U22" s="2"/>
      <c r="V22" s="6">
        <f t="shared" si="5"/>
        <v>0</v>
      </c>
      <c r="W22" s="2"/>
      <c r="X22" s="7">
        <f t="shared" si="6"/>
        <v>-11358.81</v>
      </c>
      <c r="Y22" s="2"/>
      <c r="Z22" s="6">
        <f t="shared" si="7"/>
        <v>-0.51797459834522608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103.03</v>
      </c>
      <c r="I23" s="2"/>
      <c r="J23" s="6">
        <f t="shared" si="1"/>
        <v>0</v>
      </c>
      <c r="K23" s="2"/>
      <c r="L23" s="7">
        <f t="shared" si="2"/>
        <v>-103.03</v>
      </c>
      <c r="M23" s="2"/>
      <c r="N23" s="6">
        <f t="shared" si="3"/>
        <v>-1</v>
      </c>
      <c r="O23" s="11"/>
      <c r="P23" s="7">
        <v>195.27</v>
      </c>
      <c r="Q23" s="2"/>
      <c r="R23" s="6">
        <f t="shared" si="4"/>
        <v>0</v>
      </c>
      <c r="S23" s="2"/>
      <c r="T23" s="7">
        <v>484.59</v>
      </c>
      <c r="U23" s="2"/>
      <c r="V23" s="6">
        <f t="shared" si="5"/>
        <v>0</v>
      </c>
      <c r="W23" s="2"/>
      <c r="X23" s="7">
        <f t="shared" si="6"/>
        <v>-289.31999999999994</v>
      </c>
      <c r="Y23" s="2"/>
      <c r="Z23" s="6">
        <f t="shared" si="7"/>
        <v>-0.59704079737510052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1221.05</v>
      </c>
      <c r="E24" s="2"/>
      <c r="F24" s="6">
        <f t="shared" si="0"/>
        <v>0</v>
      </c>
      <c r="G24" s="2"/>
      <c r="H24" s="7">
        <v>1227.27</v>
      </c>
      <c r="I24" s="2"/>
      <c r="J24" s="6">
        <f t="shared" si="1"/>
        <v>0</v>
      </c>
      <c r="K24" s="2"/>
      <c r="L24" s="7">
        <f t="shared" si="2"/>
        <v>-6.2200000000000273</v>
      </c>
      <c r="M24" s="2"/>
      <c r="N24" s="6">
        <f t="shared" si="3"/>
        <v>-5.0681594107246384E-3</v>
      </c>
      <c r="O24" s="11"/>
      <c r="P24" s="7">
        <v>8987.2099999999991</v>
      </c>
      <c r="Q24" s="2"/>
      <c r="R24" s="6">
        <f t="shared" si="4"/>
        <v>0</v>
      </c>
      <c r="S24" s="2"/>
      <c r="T24" s="7">
        <v>8460.36</v>
      </c>
      <c r="U24" s="2"/>
      <c r="V24" s="6">
        <f t="shared" si="5"/>
        <v>0</v>
      </c>
      <c r="W24" s="2"/>
      <c r="X24" s="7">
        <f t="shared" si="6"/>
        <v>526.84999999999854</v>
      </c>
      <c r="Y24" s="2"/>
      <c r="Z24" s="6">
        <f t="shared" si="7"/>
        <v>6.2272763806740905E-2</v>
      </c>
    </row>
    <row r="25" spans="1:26" s="24" customFormat="1" hidden="1" outlineLevel="2" x14ac:dyDescent="0.25">
      <c r="A25" s="27"/>
      <c r="B25" s="11" t="str">
        <f>CONCATENATE("          ", "6117", " - ", "RETIREMENT STAFF HOURLY")</f>
        <v xml:space="preserve">          6117 - RETIREMENT STAFF HOURLY</v>
      </c>
      <c r="C25" s="11"/>
      <c r="D25" s="7"/>
      <c r="E25" s="2"/>
      <c r="F25" s="6">
        <f t="shared" si="0"/>
        <v>0</v>
      </c>
      <c r="G25" s="2"/>
      <c r="H25" s="7">
        <v>56</v>
      </c>
      <c r="I25" s="2"/>
      <c r="J25" s="6">
        <f t="shared" si="1"/>
        <v>0</v>
      </c>
      <c r="K25" s="2"/>
      <c r="L25" s="7">
        <f t="shared" si="2"/>
        <v>-56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364</v>
      </c>
      <c r="U25" s="2"/>
      <c r="V25" s="6">
        <f t="shared" si="5"/>
        <v>0</v>
      </c>
      <c r="W25" s="2"/>
      <c r="X25" s="7">
        <f t="shared" si="6"/>
        <v>-364</v>
      </c>
      <c r="Y25" s="2"/>
      <c r="Z25" s="6">
        <f t="shared" si="7"/>
        <v>-1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7">
        <v>1022.52</v>
      </c>
      <c r="E26" s="2"/>
      <c r="F26" s="6">
        <f t="shared" si="0"/>
        <v>0</v>
      </c>
      <c r="G26" s="2"/>
      <c r="H26" s="7">
        <v>1401.17</v>
      </c>
      <c r="I26" s="2"/>
      <c r="J26" s="6">
        <f t="shared" si="1"/>
        <v>0</v>
      </c>
      <c r="K26" s="2"/>
      <c r="L26" s="7">
        <f t="shared" si="2"/>
        <v>-378.65000000000009</v>
      </c>
      <c r="M26" s="2"/>
      <c r="N26" s="6">
        <f t="shared" si="3"/>
        <v>-0.2702384435864314</v>
      </c>
      <c r="O26" s="11"/>
      <c r="P26" s="7">
        <v>6838.52</v>
      </c>
      <c r="Q26" s="2"/>
      <c r="R26" s="6">
        <f t="shared" si="4"/>
        <v>0</v>
      </c>
      <c r="S26" s="2"/>
      <c r="T26" s="7">
        <v>9116.93</v>
      </c>
      <c r="U26" s="2"/>
      <c r="V26" s="6">
        <f t="shared" si="5"/>
        <v>0</v>
      </c>
      <c r="W26" s="2"/>
      <c r="X26" s="7">
        <f t="shared" si="6"/>
        <v>-2278.41</v>
      </c>
      <c r="Y26" s="2"/>
      <c r="Z26" s="6">
        <f t="shared" si="7"/>
        <v>-0.24990978322746799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7">
        <v>510.58</v>
      </c>
      <c r="E27" s="2"/>
      <c r="F27" s="6">
        <f t="shared" si="0"/>
        <v>0</v>
      </c>
      <c r="G27" s="2"/>
      <c r="H27" s="7">
        <v>716.34</v>
      </c>
      <c r="I27" s="2"/>
      <c r="J27" s="6">
        <f t="shared" si="1"/>
        <v>0</v>
      </c>
      <c r="K27" s="2"/>
      <c r="L27" s="7">
        <f t="shared" si="2"/>
        <v>-205.76000000000005</v>
      </c>
      <c r="M27" s="2"/>
      <c r="N27" s="6">
        <f t="shared" si="3"/>
        <v>-0.28723790378870373</v>
      </c>
      <c r="O27" s="11"/>
      <c r="P27" s="7">
        <v>3414.71</v>
      </c>
      <c r="Q27" s="2"/>
      <c r="R27" s="6">
        <f t="shared" si="4"/>
        <v>0</v>
      </c>
      <c r="S27" s="2"/>
      <c r="T27" s="7">
        <v>5902.4</v>
      </c>
      <c r="U27" s="2"/>
      <c r="V27" s="6">
        <f t="shared" si="5"/>
        <v>0</v>
      </c>
      <c r="W27" s="2"/>
      <c r="X27" s="7">
        <f t="shared" si="6"/>
        <v>-2487.6899999999996</v>
      </c>
      <c r="Y27" s="2"/>
      <c r="Z27" s="6">
        <f t="shared" si="7"/>
        <v>-0.42147092708050959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7">
        <v>44.35</v>
      </c>
      <c r="E28" s="2"/>
      <c r="F28" s="6">
        <f t="shared" si="0"/>
        <v>0</v>
      </c>
      <c r="G28" s="2"/>
      <c r="H28" s="7">
        <v>428.61</v>
      </c>
      <c r="I28" s="2"/>
      <c r="J28" s="6">
        <f t="shared" si="1"/>
        <v>0</v>
      </c>
      <c r="K28" s="2"/>
      <c r="L28" s="7">
        <f t="shared" si="2"/>
        <v>-384.26</v>
      </c>
      <c r="M28" s="2"/>
      <c r="N28" s="6">
        <f t="shared" si="3"/>
        <v>-0.89652597932852707</v>
      </c>
      <c r="O28" s="11"/>
      <c r="P28" s="7">
        <v>432.17</v>
      </c>
      <c r="Q28" s="2"/>
      <c r="R28" s="6">
        <f t="shared" si="4"/>
        <v>0</v>
      </c>
      <c r="S28" s="2"/>
      <c r="T28" s="7">
        <v>2199.66</v>
      </c>
      <c r="U28" s="2"/>
      <c r="V28" s="6">
        <f t="shared" si="5"/>
        <v>0</v>
      </c>
      <c r="W28" s="2"/>
      <c r="X28" s="7">
        <f t="shared" si="6"/>
        <v>-1767.4899999999998</v>
      </c>
      <c r="Y28" s="2"/>
      <c r="Z28" s="6">
        <f t="shared" si="7"/>
        <v>-0.8035287271669258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8855.42</v>
      </c>
      <c r="E29" s="1"/>
      <c r="F29" s="5">
        <f t="shared" ref="F29:F35" si="8">IF(D$12=0,0,D29/D$12)</f>
        <v>0</v>
      </c>
      <c r="G29" s="1"/>
      <c r="H29" s="1">
        <f>SUM(OSRRefH22_1x_0)</f>
        <v>24807.550000000003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-15952.130000000003</v>
      </c>
      <c r="M29" s="1"/>
      <c r="N29" s="5">
        <f t="shared" ref="N29:N35" si="11">IF(H29=0,0,L29/H29)</f>
        <v>-0.64303528562877033</v>
      </c>
      <c r="O29" s="13"/>
      <c r="P29" s="1">
        <f>SUM(OSRRefP22_1x_0)</f>
        <v>65064.80000000001</v>
      </c>
      <c r="Q29" s="1"/>
      <c r="R29" s="5">
        <f t="shared" ref="R29:R35" si="12">IF(P$12=0,0,P29/P$12)</f>
        <v>0</v>
      </c>
      <c r="S29" s="1"/>
      <c r="T29" s="1">
        <f>SUM(OSRRefT22_1x_0)</f>
        <v>164164.9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-99100.099999999977</v>
      </c>
      <c r="Y29" s="1"/>
      <c r="Z29" s="5">
        <f t="shared" ref="Z29:Z35" si="15">IF(T29=0,0,X29/T29)</f>
        <v>-0.60366192773242011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>
        <v>8855.42</v>
      </c>
      <c r="E30" s="2"/>
      <c r="F30" s="6">
        <f t="shared" si="8"/>
        <v>0</v>
      </c>
      <c r="G30" s="2"/>
      <c r="H30" s="7">
        <v>7932.49</v>
      </c>
      <c r="I30" s="2"/>
      <c r="J30" s="6">
        <f t="shared" si="9"/>
        <v>0</v>
      </c>
      <c r="K30" s="2"/>
      <c r="L30" s="7">
        <f t="shared" si="10"/>
        <v>922.93000000000029</v>
      </c>
      <c r="M30" s="2"/>
      <c r="N30" s="6">
        <f t="shared" si="11"/>
        <v>0.11634808238018583</v>
      </c>
      <c r="O30" s="11"/>
      <c r="P30" s="7">
        <v>62679.80000000001</v>
      </c>
      <c r="Q30" s="2"/>
      <c r="R30" s="6">
        <f t="shared" si="12"/>
        <v>0</v>
      </c>
      <c r="S30" s="2"/>
      <c r="T30" s="7">
        <v>48476.34</v>
      </c>
      <c r="U30" s="2"/>
      <c r="V30" s="6">
        <f t="shared" si="13"/>
        <v>0</v>
      </c>
      <c r="W30" s="2"/>
      <c r="X30" s="7">
        <f t="shared" si="14"/>
        <v>14203.460000000014</v>
      </c>
      <c r="Y30" s="2"/>
      <c r="Z30" s="6">
        <f t="shared" si="15"/>
        <v>0.29299777994790893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3776.3</v>
      </c>
      <c r="I31" s="2"/>
      <c r="J31" s="6">
        <f t="shared" si="9"/>
        <v>0</v>
      </c>
      <c r="K31" s="2"/>
      <c r="L31" s="7">
        <f t="shared" si="10"/>
        <v>-3776.3</v>
      </c>
      <c r="M31" s="2"/>
      <c r="N31" s="6">
        <f t="shared" si="11"/>
        <v>-1</v>
      </c>
      <c r="O31" s="11"/>
      <c r="P31" s="7">
        <v>2080</v>
      </c>
      <c r="Q31" s="2"/>
      <c r="R31" s="6">
        <f t="shared" si="12"/>
        <v>0</v>
      </c>
      <c r="S31" s="2"/>
      <c r="T31" s="7">
        <v>26462.649999999998</v>
      </c>
      <c r="U31" s="2"/>
      <c r="V31" s="6">
        <f t="shared" si="13"/>
        <v>0</v>
      </c>
      <c r="W31" s="2"/>
      <c r="X31" s="7">
        <f t="shared" si="14"/>
        <v>-24382.649999999998</v>
      </c>
      <c r="Y31" s="2"/>
      <c r="Z31" s="6">
        <f t="shared" si="15"/>
        <v>-0.92139865055087078</v>
      </c>
    </row>
    <row r="32" spans="1:26" s="24" customFormat="1" hidden="1" outlineLevel="2" x14ac:dyDescent="0.25">
      <c r="A32" s="27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1730.4</v>
      </c>
      <c r="I32" s="2"/>
      <c r="J32" s="6">
        <f t="shared" si="9"/>
        <v>0</v>
      </c>
      <c r="K32" s="2"/>
      <c r="L32" s="7">
        <f t="shared" si="10"/>
        <v>-1730.4</v>
      </c>
      <c r="M32" s="2"/>
      <c r="N32" s="6">
        <f t="shared" si="11"/>
        <v>-1</v>
      </c>
      <c r="O32" s="11"/>
      <c r="P32" s="7"/>
      <c r="Q32" s="2"/>
      <c r="R32" s="6">
        <f t="shared" si="12"/>
        <v>0</v>
      </c>
      <c r="S32" s="2"/>
      <c r="T32" s="7">
        <v>13727.84</v>
      </c>
      <c r="U32" s="2"/>
      <c r="V32" s="6">
        <f t="shared" si="13"/>
        <v>0</v>
      </c>
      <c r="W32" s="2"/>
      <c r="X32" s="7">
        <f t="shared" si="14"/>
        <v>-13727.84</v>
      </c>
      <c r="Y32" s="2"/>
      <c r="Z32" s="6">
        <f t="shared" si="15"/>
        <v>-1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10087.86</v>
      </c>
      <c r="I33" s="2"/>
      <c r="J33" s="6">
        <f t="shared" si="9"/>
        <v>0</v>
      </c>
      <c r="K33" s="2"/>
      <c r="L33" s="7">
        <f t="shared" si="10"/>
        <v>-10087.86</v>
      </c>
      <c r="M33" s="2"/>
      <c r="N33" s="6">
        <f t="shared" si="11"/>
        <v>-1</v>
      </c>
      <c r="O33" s="11"/>
      <c r="P33" s="7">
        <v>305</v>
      </c>
      <c r="Q33" s="2"/>
      <c r="R33" s="6">
        <f t="shared" si="12"/>
        <v>0</v>
      </c>
      <c r="S33" s="2"/>
      <c r="T33" s="7">
        <v>63646.749999999993</v>
      </c>
      <c r="U33" s="2"/>
      <c r="V33" s="6">
        <f t="shared" si="13"/>
        <v>0</v>
      </c>
      <c r="W33" s="2"/>
      <c r="X33" s="7">
        <f t="shared" si="14"/>
        <v>-63341.749999999993</v>
      </c>
      <c r="Y33" s="2"/>
      <c r="Z33" s="6">
        <f t="shared" si="15"/>
        <v>-0.99520792499224231</v>
      </c>
    </row>
    <row r="34" spans="1:26" s="24" customFormat="1" hidden="1" outlineLevel="2" x14ac:dyDescent="0.25">
      <c r="A34" s="27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1236.8800000000001</v>
      </c>
      <c r="U34" s="2"/>
      <c r="V34" s="6">
        <f t="shared" si="13"/>
        <v>0</v>
      </c>
      <c r="W34" s="2"/>
      <c r="X34" s="7">
        <f t="shared" si="14"/>
        <v>-1236.8800000000001</v>
      </c>
      <c r="Y34" s="2"/>
      <c r="Z34" s="6">
        <f t="shared" si="15"/>
        <v>-1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1280.5</v>
      </c>
      <c r="I35" s="2"/>
      <c r="J35" s="6">
        <f t="shared" si="9"/>
        <v>0</v>
      </c>
      <c r="K35" s="2"/>
      <c r="L35" s="7">
        <f t="shared" si="10"/>
        <v>-1280.5</v>
      </c>
      <c r="M35" s="2"/>
      <c r="N35" s="6">
        <f t="shared" si="11"/>
        <v>-1</v>
      </c>
      <c r="O35" s="11"/>
      <c r="P35" s="7"/>
      <c r="Q35" s="2"/>
      <c r="R35" s="6">
        <f t="shared" si="12"/>
        <v>0</v>
      </c>
      <c r="S35" s="2"/>
      <c r="T35" s="7">
        <v>10614.44</v>
      </c>
      <c r="U35" s="2"/>
      <c r="V35" s="6">
        <f t="shared" si="13"/>
        <v>0</v>
      </c>
      <c r="W35" s="2"/>
      <c r="X35" s="7">
        <f t="shared" si="14"/>
        <v>-10614.44</v>
      </c>
      <c r="Y35" s="2"/>
      <c r="Z35" s="6">
        <f t="shared" si="15"/>
        <v>-1</v>
      </c>
    </row>
    <row r="36" spans="1:26" s="25" customFormat="1" outlineLevel="1" collapsed="1" x14ac:dyDescent="0.25">
      <c r="A36" s="26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3" si="16">IF(D$12=0,0,D36/D$12)</f>
        <v>0</v>
      </c>
      <c r="G36" s="1"/>
      <c r="H36" s="1">
        <f>SUM(OSRRefH22_2x_0)</f>
        <v>443.49</v>
      </c>
      <c r="I36" s="1"/>
      <c r="J36" s="5">
        <f t="shared" ref="J36:J43" si="17">IF(H$12=0,0,H36/H$12)</f>
        <v>0</v>
      </c>
      <c r="K36" s="1"/>
      <c r="L36" s="1">
        <f t="shared" ref="L36:L43" si="18">+D36-H36</f>
        <v>-443.49</v>
      </c>
      <c r="M36" s="1"/>
      <c r="N36" s="5">
        <f t="shared" ref="N36:N43" si="19">IF(H36=0,0,L36/H36)</f>
        <v>-1</v>
      </c>
      <c r="O36" s="13"/>
      <c r="P36" s="1">
        <f>SUM(OSRRefP22_2x_0)</f>
        <v>0</v>
      </c>
      <c r="Q36" s="1"/>
      <c r="R36" s="5">
        <f t="shared" ref="R36:R43" si="20">IF(P$12=0,0,P36/P$12)</f>
        <v>0</v>
      </c>
      <c r="S36" s="1"/>
      <c r="T36" s="1">
        <f>SUM(OSRRefT22_2x_0)</f>
        <v>3117.4</v>
      </c>
      <c r="U36" s="1"/>
      <c r="V36" s="5">
        <f t="shared" ref="V36:V43" si="21">IF(T$12=0,0,T36/T$12)</f>
        <v>0</v>
      </c>
      <c r="W36" s="1"/>
      <c r="X36" s="1">
        <f t="shared" ref="X36:X43" si="22">+P36-T36</f>
        <v>-3117.4</v>
      </c>
      <c r="Y36" s="1"/>
      <c r="Z36" s="5">
        <f t="shared" ref="Z36:Z43" si="23">IF(T36=0,0,X36/T36)</f>
        <v>-1</v>
      </c>
    </row>
    <row r="37" spans="1:26" s="24" customFormat="1" hidden="1" outlineLevel="2" x14ac:dyDescent="0.25">
      <c r="A37" s="27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16"/>
        <v>0</v>
      </c>
      <c r="G37" s="2"/>
      <c r="H37" s="7">
        <v>443.49</v>
      </c>
      <c r="I37" s="2"/>
      <c r="J37" s="6">
        <f t="shared" si="17"/>
        <v>0</v>
      </c>
      <c r="K37" s="2"/>
      <c r="L37" s="7">
        <f t="shared" si="18"/>
        <v>-443.49</v>
      </c>
      <c r="M37" s="2"/>
      <c r="N37" s="6">
        <f t="shared" si="19"/>
        <v>-1</v>
      </c>
      <c r="O37" s="11"/>
      <c r="P37" s="7"/>
      <c r="Q37" s="2"/>
      <c r="R37" s="6">
        <f t="shared" si="20"/>
        <v>0</v>
      </c>
      <c r="S37" s="2"/>
      <c r="T37" s="7">
        <v>3117.4</v>
      </c>
      <c r="U37" s="2"/>
      <c r="V37" s="6">
        <f t="shared" si="21"/>
        <v>0</v>
      </c>
      <c r="W37" s="2"/>
      <c r="X37" s="7">
        <f t="shared" si="22"/>
        <v>-3117.4</v>
      </c>
      <c r="Y37" s="2"/>
      <c r="Z37" s="6">
        <f t="shared" si="23"/>
        <v>-1</v>
      </c>
    </row>
    <row r="38" spans="1:26" s="25" customFormat="1" outlineLevel="1" collapsed="1" x14ac:dyDescent="0.25">
      <c r="A38" s="26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361.96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361.96</v>
      </c>
      <c r="M38" s="1"/>
      <c r="N38" s="5">
        <f t="shared" si="19"/>
        <v>0</v>
      </c>
      <c r="O38" s="13"/>
      <c r="P38" s="1">
        <f>SUM(OSRRefP22_3x_0)</f>
        <v>2187.91</v>
      </c>
      <c r="Q38" s="1"/>
      <c r="R38" s="5">
        <f t="shared" si="20"/>
        <v>0</v>
      </c>
      <c r="S38" s="1"/>
      <c r="T38" s="1">
        <f>SUM(OSRRefT22_3x_0)</f>
        <v>0</v>
      </c>
      <c r="U38" s="1"/>
      <c r="V38" s="5">
        <f t="shared" si="21"/>
        <v>0</v>
      </c>
      <c r="W38" s="1"/>
      <c r="X38" s="1">
        <f t="shared" si="22"/>
        <v>2187.91</v>
      </c>
      <c r="Y38" s="1"/>
      <c r="Z38" s="5">
        <f t="shared" si="23"/>
        <v>0</v>
      </c>
    </row>
    <row r="39" spans="1:26" s="24" customFormat="1" hidden="1" outlineLevel="2" x14ac:dyDescent="0.25">
      <c r="A39" s="27"/>
      <c r="B39" s="11" t="str">
        <f>CONCATENATE("          ", "6381", " - ", "BANK/CREDIT CARD FEES")</f>
        <v xml:space="preserve">          6381 - BANK/CREDIT CARD FEES</v>
      </c>
      <c r="C39" s="11"/>
      <c r="D39" s="7">
        <v>361.96</v>
      </c>
      <c r="E39" s="2"/>
      <c r="F39" s="6">
        <f t="shared" si="16"/>
        <v>0</v>
      </c>
      <c r="G39" s="2"/>
      <c r="H39" s="7"/>
      <c r="I39" s="2"/>
      <c r="J39" s="6">
        <f t="shared" si="17"/>
        <v>0</v>
      </c>
      <c r="K39" s="2"/>
      <c r="L39" s="7">
        <f t="shared" si="18"/>
        <v>361.96</v>
      </c>
      <c r="M39" s="2"/>
      <c r="N39" s="6">
        <f t="shared" si="19"/>
        <v>0</v>
      </c>
      <c r="O39" s="11"/>
      <c r="P39" s="7">
        <v>2187.91</v>
      </c>
      <c r="Q39" s="2"/>
      <c r="R39" s="6">
        <f t="shared" si="20"/>
        <v>0</v>
      </c>
      <c r="S39" s="2"/>
      <c r="T39" s="7"/>
      <c r="U39" s="2"/>
      <c r="V39" s="6">
        <f t="shared" si="21"/>
        <v>0</v>
      </c>
      <c r="W39" s="2"/>
      <c r="X39" s="7">
        <f t="shared" si="22"/>
        <v>2187.91</v>
      </c>
      <c r="Y39" s="2"/>
      <c r="Z39" s="6">
        <f t="shared" si="23"/>
        <v>0</v>
      </c>
    </row>
    <row r="40" spans="1:26" s="25" customFormat="1" outlineLevel="1" collapsed="1" x14ac:dyDescent="0.25">
      <c r="A40" s="26"/>
      <c r="B40" s="13" t="str">
        <f>CONCATENATE("     ","Depreciation                                      ")</f>
        <v xml:space="preserve">     Depreciation                                      </v>
      </c>
      <c r="C40" s="13"/>
      <c r="D40" s="1">
        <f>SUM(OSRRefD22_4x_0)</f>
        <v>6779.8600000000006</v>
      </c>
      <c r="E40" s="1"/>
      <c r="F40" s="5">
        <f t="shared" si="16"/>
        <v>0</v>
      </c>
      <c r="G40" s="1"/>
      <c r="H40" s="1">
        <f>SUM(OSRRefH22_4x_0)</f>
        <v>7262.6799999999994</v>
      </c>
      <c r="I40" s="1"/>
      <c r="J40" s="5">
        <f t="shared" si="17"/>
        <v>0</v>
      </c>
      <c r="K40" s="1"/>
      <c r="L40" s="1">
        <f t="shared" si="18"/>
        <v>-482.8199999999988</v>
      </c>
      <c r="M40" s="1"/>
      <c r="N40" s="5">
        <f t="shared" si="19"/>
        <v>-6.6479591555734088E-2</v>
      </c>
      <c r="O40" s="13"/>
      <c r="P40" s="1">
        <f>SUM(OSRRefP22_4x_0)</f>
        <v>41463.350000000006</v>
      </c>
      <c r="Q40" s="1"/>
      <c r="R40" s="5">
        <f t="shared" si="20"/>
        <v>0</v>
      </c>
      <c r="S40" s="1"/>
      <c r="T40" s="1">
        <f>SUM(OSRRefT22_4x_0)</f>
        <v>41370.880000000005</v>
      </c>
      <c r="U40" s="1"/>
      <c r="V40" s="5">
        <f t="shared" si="21"/>
        <v>0</v>
      </c>
      <c r="W40" s="1"/>
      <c r="X40" s="1">
        <f t="shared" si="22"/>
        <v>92.470000000001164</v>
      </c>
      <c r="Y40" s="1"/>
      <c r="Z40" s="5">
        <f t="shared" si="23"/>
        <v>2.2351470406237711E-3</v>
      </c>
    </row>
    <row r="41" spans="1:26" s="24" customFormat="1" hidden="1" outlineLevel="2" x14ac:dyDescent="0.25">
      <c r="A41" s="27"/>
      <c r="B41" s="11" t="str">
        <f>CONCATENATE("          ", "6321", " - ", "BUILDING DEPRECIATION")</f>
        <v xml:space="preserve">          6321 - BUILDING DEPRECIATION</v>
      </c>
      <c r="C41" s="11"/>
      <c r="D41" s="7">
        <v>1822.68</v>
      </c>
      <c r="E41" s="2"/>
      <c r="F41" s="6">
        <f t="shared" si="16"/>
        <v>0</v>
      </c>
      <c r="G41" s="2"/>
      <c r="H41" s="7">
        <v>2266.9499999999998</v>
      </c>
      <c r="I41" s="2"/>
      <c r="J41" s="6">
        <f t="shared" si="17"/>
        <v>0</v>
      </c>
      <c r="K41" s="2"/>
      <c r="L41" s="7">
        <f t="shared" si="18"/>
        <v>-444.26999999999975</v>
      </c>
      <c r="M41" s="2"/>
      <c r="N41" s="6">
        <f t="shared" si="19"/>
        <v>-0.19597697346655188</v>
      </c>
      <c r="O41" s="11"/>
      <c r="P41" s="7">
        <v>11720.27</v>
      </c>
      <c r="Q41" s="2"/>
      <c r="R41" s="6">
        <f t="shared" si="20"/>
        <v>0</v>
      </c>
      <c r="S41" s="2"/>
      <c r="T41" s="7">
        <v>13601.7</v>
      </c>
      <c r="U41" s="2"/>
      <c r="V41" s="6">
        <f t="shared" si="21"/>
        <v>0</v>
      </c>
      <c r="W41" s="2"/>
      <c r="X41" s="7">
        <f t="shared" si="22"/>
        <v>-1881.4300000000003</v>
      </c>
      <c r="Y41" s="2"/>
      <c r="Z41" s="6">
        <f t="shared" si="23"/>
        <v>-0.13832315078262278</v>
      </c>
    </row>
    <row r="42" spans="1:26" s="24" customFormat="1" hidden="1" outlineLevel="2" x14ac:dyDescent="0.25">
      <c r="A42" s="27"/>
      <c r="B42" s="11" t="str">
        <f>CONCATENATE("          ", "6322", " - ", "EQUIPMENT DEPRECIATION EXPENSE")</f>
        <v xml:space="preserve">          6322 - EQUIPMENT DEPRECIATION EXPENSE</v>
      </c>
      <c r="C42" s="11"/>
      <c r="D42" s="7">
        <v>4957.18</v>
      </c>
      <c r="E42" s="2"/>
      <c r="F42" s="6">
        <f t="shared" si="16"/>
        <v>0</v>
      </c>
      <c r="G42" s="2"/>
      <c r="H42" s="7">
        <v>4571.4799999999996</v>
      </c>
      <c r="I42" s="2"/>
      <c r="J42" s="6">
        <f t="shared" si="17"/>
        <v>0</v>
      </c>
      <c r="K42" s="2"/>
      <c r="L42" s="7">
        <f t="shared" si="18"/>
        <v>385.70000000000073</v>
      </c>
      <c r="M42" s="2"/>
      <c r="N42" s="6">
        <f t="shared" si="19"/>
        <v>8.4370925827084609E-2</v>
      </c>
      <c r="O42" s="11"/>
      <c r="P42" s="7">
        <v>29743.08</v>
      </c>
      <c r="Q42" s="2"/>
      <c r="R42" s="6">
        <f t="shared" si="20"/>
        <v>0</v>
      </c>
      <c r="S42" s="2"/>
      <c r="T42" s="7">
        <v>25223.68</v>
      </c>
      <c r="U42" s="2"/>
      <c r="V42" s="6">
        <f t="shared" si="21"/>
        <v>0</v>
      </c>
      <c r="W42" s="2"/>
      <c r="X42" s="7">
        <f t="shared" si="22"/>
        <v>4519.4000000000015</v>
      </c>
      <c r="Y42" s="2"/>
      <c r="Z42" s="6">
        <f t="shared" si="23"/>
        <v>0.17917290419161683</v>
      </c>
    </row>
    <row r="43" spans="1:26" s="24" customFormat="1" hidden="1" outlineLevel="2" x14ac:dyDescent="0.25">
      <c r="A43" s="27"/>
      <c r="B43" s="11" t="str">
        <f>CONCATENATE("          ", "6326", " - ", "VEHICLES DEPRECIATION EXPENSE")</f>
        <v xml:space="preserve">          6326 - VEHICLES DEPRECIATION EXPENSE</v>
      </c>
      <c r="C43" s="11"/>
      <c r="D43" s="7"/>
      <c r="E43" s="2"/>
      <c r="F43" s="6">
        <f t="shared" si="16"/>
        <v>0</v>
      </c>
      <c r="G43" s="2"/>
      <c r="H43" s="7">
        <v>424.25</v>
      </c>
      <c r="I43" s="2"/>
      <c r="J43" s="6">
        <f t="shared" si="17"/>
        <v>0</v>
      </c>
      <c r="K43" s="2"/>
      <c r="L43" s="7">
        <f t="shared" si="18"/>
        <v>-424.25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2545.5</v>
      </c>
      <c r="U43" s="2"/>
      <c r="V43" s="6">
        <f t="shared" si="21"/>
        <v>0</v>
      </c>
      <c r="W43" s="2"/>
      <c r="X43" s="7">
        <f t="shared" si="22"/>
        <v>-2545.5</v>
      </c>
      <c r="Y43" s="2"/>
      <c r="Z43" s="6">
        <f t="shared" si="23"/>
        <v>-1</v>
      </c>
    </row>
    <row r="44" spans="1:26" s="25" customFormat="1" outlineLevel="1" collapsed="1" x14ac:dyDescent="0.25">
      <c r="A44" s="26"/>
      <c r="B44" s="13" t="str">
        <f>CONCATENATE("     ","Donations                                         ")</f>
        <v xml:space="preserve">     Donations                                         </v>
      </c>
      <c r="C44" s="13"/>
      <c r="D44" s="1">
        <f>SUM(OSRRefD22_5x_0)</f>
        <v>0</v>
      </c>
      <c r="E44" s="1"/>
      <c r="F44" s="5">
        <f t="shared" ref="F44:F60" si="24">IF(D$12=0,0,D44/D$12)</f>
        <v>0</v>
      </c>
      <c r="G44" s="1"/>
      <c r="H44" s="1">
        <f>SUM(OSRRefH22_5x_0)</f>
        <v>0</v>
      </c>
      <c r="I44" s="1"/>
      <c r="J44" s="5">
        <f t="shared" ref="J44:J60" si="25">IF(H$12=0,0,H44/H$12)</f>
        <v>0</v>
      </c>
      <c r="K44" s="1"/>
      <c r="L44" s="1">
        <f t="shared" ref="L44:L60" si="26">+D44-H44</f>
        <v>0</v>
      </c>
      <c r="M44" s="1"/>
      <c r="N44" s="5">
        <f t="shared" ref="N44:N60" si="27">IF(H44=0,0,L44/H44)</f>
        <v>0</v>
      </c>
      <c r="O44" s="13"/>
      <c r="P44" s="1">
        <f>SUM(OSRRefP22_5x_0)</f>
        <v>0</v>
      </c>
      <c r="Q44" s="1"/>
      <c r="R44" s="5">
        <f t="shared" ref="R44:R60" si="28">IF(P$12=0,0,P44/P$12)</f>
        <v>0</v>
      </c>
      <c r="S44" s="1"/>
      <c r="T44" s="1">
        <f>SUM(OSRRefT22_5x_0)</f>
        <v>163.68</v>
      </c>
      <c r="U44" s="1"/>
      <c r="V44" s="5">
        <f t="shared" ref="V44:V60" si="29">IF(T$12=0,0,T44/T$12)</f>
        <v>0</v>
      </c>
      <c r="W44" s="1"/>
      <c r="X44" s="1">
        <f t="shared" ref="X44:X60" si="30">+P44-T44</f>
        <v>-163.68</v>
      </c>
      <c r="Y44" s="1"/>
      <c r="Z44" s="5">
        <f t="shared" ref="Z44:Z60" si="31">IF(T44=0,0,X44/T44)</f>
        <v>-1</v>
      </c>
    </row>
    <row r="45" spans="1:26" s="24" customFormat="1" hidden="1" outlineLevel="2" x14ac:dyDescent="0.25">
      <c r="A45" s="27"/>
      <c r="B45" s="11" t="str">
        <f>CONCATENATE("          ", "6399", " - ", "DONATION-ON CAMPUS")</f>
        <v xml:space="preserve">          6399 - DONATION-ON CAMPUS</v>
      </c>
      <c r="C45" s="11"/>
      <c r="D45" s="7"/>
      <c r="E45" s="2"/>
      <c r="F45" s="6">
        <f t="shared" si="24"/>
        <v>0</v>
      </c>
      <c r="G45" s="2"/>
      <c r="H45" s="7"/>
      <c r="I45" s="2"/>
      <c r="J45" s="6">
        <f t="shared" si="25"/>
        <v>0</v>
      </c>
      <c r="K45" s="2"/>
      <c r="L45" s="7">
        <f t="shared" si="26"/>
        <v>0</v>
      </c>
      <c r="M45" s="2"/>
      <c r="N45" s="6">
        <f t="shared" si="27"/>
        <v>0</v>
      </c>
      <c r="O45" s="11"/>
      <c r="P45" s="7"/>
      <c r="Q45" s="2"/>
      <c r="R45" s="6">
        <f t="shared" si="28"/>
        <v>0</v>
      </c>
      <c r="S45" s="2"/>
      <c r="T45" s="7">
        <v>163.68</v>
      </c>
      <c r="U45" s="2"/>
      <c r="V45" s="6">
        <f t="shared" si="29"/>
        <v>0</v>
      </c>
      <c r="W45" s="2"/>
      <c r="X45" s="7">
        <f t="shared" si="30"/>
        <v>-163.68</v>
      </c>
      <c r="Y45" s="2"/>
      <c r="Z45" s="6">
        <f t="shared" si="31"/>
        <v>-1</v>
      </c>
    </row>
    <row r="46" spans="1:26" s="25" customFormat="1" outlineLevel="1" collapsed="1" x14ac:dyDescent="0.25">
      <c r="A46" s="26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4"/>
        <v>0</v>
      </c>
      <c r="G46" s="1"/>
      <c r="H46" s="1">
        <f>SUM(OSRRefH22_6x_0)</f>
        <v>47.01</v>
      </c>
      <c r="I46" s="1"/>
      <c r="J46" s="5">
        <f t="shared" si="25"/>
        <v>0</v>
      </c>
      <c r="K46" s="1"/>
      <c r="L46" s="1">
        <f t="shared" si="26"/>
        <v>-47.01</v>
      </c>
      <c r="M46" s="1"/>
      <c r="N46" s="5">
        <f t="shared" si="27"/>
        <v>-1</v>
      </c>
      <c r="O46" s="13"/>
      <c r="P46" s="1">
        <f>SUM(OSRRefP22_6x_0)</f>
        <v>0</v>
      </c>
      <c r="Q46" s="1"/>
      <c r="R46" s="5">
        <f t="shared" si="28"/>
        <v>0</v>
      </c>
      <c r="S46" s="1"/>
      <c r="T46" s="1">
        <f>SUM(OSRRefT22_6x_0)</f>
        <v>366.16</v>
      </c>
      <c r="U46" s="1"/>
      <c r="V46" s="5">
        <f t="shared" si="29"/>
        <v>0</v>
      </c>
      <c r="W46" s="1"/>
      <c r="X46" s="1">
        <f t="shared" si="30"/>
        <v>-366.16</v>
      </c>
      <c r="Y46" s="1"/>
      <c r="Z46" s="5">
        <f t="shared" si="31"/>
        <v>-1</v>
      </c>
    </row>
    <row r="47" spans="1:26" s="24" customFormat="1" hidden="1" outlineLevel="2" x14ac:dyDescent="0.25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4"/>
        <v>0</v>
      </c>
      <c r="G47" s="2"/>
      <c r="H47" s="7">
        <v>47.01</v>
      </c>
      <c r="I47" s="2"/>
      <c r="J47" s="6">
        <f t="shared" si="25"/>
        <v>0</v>
      </c>
      <c r="K47" s="2"/>
      <c r="L47" s="7">
        <f t="shared" si="26"/>
        <v>-47.01</v>
      </c>
      <c r="M47" s="2"/>
      <c r="N47" s="6">
        <f t="shared" si="27"/>
        <v>-1</v>
      </c>
      <c r="O47" s="11"/>
      <c r="P47" s="7"/>
      <c r="Q47" s="2"/>
      <c r="R47" s="6">
        <f t="shared" si="28"/>
        <v>0</v>
      </c>
      <c r="S47" s="2"/>
      <c r="T47" s="7">
        <v>366.16</v>
      </c>
      <c r="U47" s="2"/>
      <c r="V47" s="6">
        <f t="shared" si="29"/>
        <v>0</v>
      </c>
      <c r="W47" s="2"/>
      <c r="X47" s="7">
        <f t="shared" si="30"/>
        <v>-366.16</v>
      </c>
      <c r="Y47" s="2"/>
      <c r="Z47" s="6">
        <f t="shared" si="31"/>
        <v>-1</v>
      </c>
    </row>
    <row r="48" spans="1:26" s="25" customFormat="1" outlineLevel="1" collapsed="1" x14ac:dyDescent="0.25">
      <c r="A48" s="26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91.26</v>
      </c>
      <c r="E48" s="1"/>
      <c r="F48" s="5">
        <f t="shared" si="24"/>
        <v>0</v>
      </c>
      <c r="G48" s="1"/>
      <c r="H48" s="1">
        <f>SUM(OSRRefH22_7x_0)</f>
        <v>1085.58</v>
      </c>
      <c r="I48" s="1"/>
      <c r="J48" s="5">
        <f t="shared" si="25"/>
        <v>0</v>
      </c>
      <c r="K48" s="1"/>
      <c r="L48" s="1">
        <f t="shared" si="26"/>
        <v>-994.31999999999994</v>
      </c>
      <c r="M48" s="1"/>
      <c r="N48" s="5">
        <f t="shared" si="27"/>
        <v>-0.91593433924722267</v>
      </c>
      <c r="O48" s="13"/>
      <c r="P48" s="1">
        <f>SUM(OSRRefP22_7x_0)</f>
        <v>2836.97</v>
      </c>
      <c r="Q48" s="1"/>
      <c r="R48" s="5">
        <f t="shared" si="28"/>
        <v>0</v>
      </c>
      <c r="S48" s="1"/>
      <c r="T48" s="1">
        <f>SUM(OSRRefT22_7x_0)</f>
        <v>6596.19</v>
      </c>
      <c r="U48" s="1"/>
      <c r="V48" s="5">
        <f t="shared" si="29"/>
        <v>0</v>
      </c>
      <c r="W48" s="1"/>
      <c r="X48" s="1">
        <f t="shared" si="30"/>
        <v>-3759.22</v>
      </c>
      <c r="Y48" s="1"/>
      <c r="Z48" s="5">
        <f t="shared" si="31"/>
        <v>-0.56990778009729859</v>
      </c>
    </row>
    <row r="49" spans="1:26" s="24" customFormat="1" hidden="1" outlineLevel="2" x14ac:dyDescent="0.25">
      <c r="A49" s="27"/>
      <c r="B49" s="11" t="str">
        <f>CONCATENATE("          ", "6351", " - ", "EQUIPMENT RENTAL")</f>
        <v xml:space="preserve">          6351 - EQUIPMENT RENTAL</v>
      </c>
      <c r="C49" s="11"/>
      <c r="D49" s="7">
        <v>91.26</v>
      </c>
      <c r="E49" s="2"/>
      <c r="F49" s="6">
        <f t="shared" si="24"/>
        <v>0</v>
      </c>
      <c r="G49" s="2"/>
      <c r="H49" s="7">
        <v>1085.58</v>
      </c>
      <c r="I49" s="2"/>
      <c r="J49" s="6">
        <f t="shared" si="25"/>
        <v>0</v>
      </c>
      <c r="K49" s="2"/>
      <c r="L49" s="7">
        <f t="shared" si="26"/>
        <v>-994.31999999999994</v>
      </c>
      <c r="M49" s="2"/>
      <c r="N49" s="6">
        <f t="shared" si="27"/>
        <v>-0.91593433924722267</v>
      </c>
      <c r="O49" s="11"/>
      <c r="P49" s="7">
        <v>2836.97</v>
      </c>
      <c r="Q49" s="2"/>
      <c r="R49" s="6">
        <f t="shared" si="28"/>
        <v>0</v>
      </c>
      <c r="S49" s="2"/>
      <c r="T49" s="7">
        <v>6596.19</v>
      </c>
      <c r="U49" s="2"/>
      <c r="V49" s="6">
        <f t="shared" si="29"/>
        <v>0</v>
      </c>
      <c r="W49" s="2"/>
      <c r="X49" s="7">
        <f t="shared" si="30"/>
        <v>-3759.22</v>
      </c>
      <c r="Y49" s="2"/>
      <c r="Z49" s="6">
        <f t="shared" si="31"/>
        <v>-0.56990778009729859</v>
      </c>
    </row>
    <row r="50" spans="1:26" s="25" customFormat="1" outlineLevel="1" collapsed="1" x14ac:dyDescent="0.25">
      <c r="A50" s="26"/>
      <c r="B50" s="13" t="str">
        <f>CONCATENATE("     ","Freight out/Postage                               ")</f>
        <v xml:space="preserve">     Freight out/Postage                               </v>
      </c>
      <c r="C50" s="13"/>
      <c r="D50" s="1">
        <f>SUM(OSRRefD22_8x_0)</f>
        <v>0</v>
      </c>
      <c r="E50" s="1"/>
      <c r="F50" s="5">
        <f t="shared" si="24"/>
        <v>0</v>
      </c>
      <c r="G50" s="1"/>
      <c r="H50" s="1">
        <f>SUM(OSRRefH22_8x_0)</f>
        <v>0</v>
      </c>
      <c r="I50" s="1"/>
      <c r="J50" s="5">
        <f t="shared" si="25"/>
        <v>0</v>
      </c>
      <c r="K50" s="1"/>
      <c r="L50" s="1">
        <f t="shared" si="26"/>
        <v>0</v>
      </c>
      <c r="M50" s="1"/>
      <c r="N50" s="5">
        <f t="shared" si="27"/>
        <v>0</v>
      </c>
      <c r="O50" s="13"/>
      <c r="P50" s="1">
        <f>SUM(OSRRefP22_8x_0)</f>
        <v>-5.41</v>
      </c>
      <c r="Q50" s="1"/>
      <c r="R50" s="5">
        <f t="shared" si="28"/>
        <v>0</v>
      </c>
      <c r="S50" s="1"/>
      <c r="T50" s="1">
        <f>SUM(OSRRefT22_8x_0)</f>
        <v>0</v>
      </c>
      <c r="U50" s="1"/>
      <c r="V50" s="5">
        <f t="shared" si="29"/>
        <v>0</v>
      </c>
      <c r="W50" s="1"/>
      <c r="X50" s="1">
        <f t="shared" si="30"/>
        <v>-5.41</v>
      </c>
      <c r="Y50" s="1"/>
      <c r="Z50" s="5">
        <f t="shared" si="31"/>
        <v>0</v>
      </c>
    </row>
    <row r="51" spans="1:26" s="24" customFormat="1" hidden="1" outlineLevel="2" x14ac:dyDescent="0.25">
      <c r="A51" s="27"/>
      <c r="B51" s="11" t="str">
        <f>CONCATENATE("          ", "6307", " - ", "POSTAGE")</f>
        <v xml:space="preserve">          6307 - POSTAGE</v>
      </c>
      <c r="C51" s="11"/>
      <c r="D51" s="7"/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>
        <v>-5.41</v>
      </c>
      <c r="Q51" s="2"/>
      <c r="R51" s="6">
        <f t="shared" si="28"/>
        <v>0</v>
      </c>
      <c r="S51" s="2"/>
      <c r="T51" s="7"/>
      <c r="U51" s="2"/>
      <c r="V51" s="6">
        <f t="shared" si="29"/>
        <v>0</v>
      </c>
      <c r="W51" s="2"/>
      <c r="X51" s="7">
        <f t="shared" si="30"/>
        <v>-5.41</v>
      </c>
      <c r="Y51" s="2"/>
      <c r="Z51" s="6">
        <f t="shared" si="31"/>
        <v>0</v>
      </c>
    </row>
    <row r="52" spans="1:26" s="25" customFormat="1" outlineLevel="1" collapsed="1" x14ac:dyDescent="0.25">
      <c r="A52" s="26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SUM(OSRRefD22_9x_0)</f>
        <v>0</v>
      </c>
      <c r="E52" s="1"/>
      <c r="F52" s="5">
        <f t="shared" si="24"/>
        <v>0</v>
      </c>
      <c r="G52" s="1"/>
      <c r="H52" s="1">
        <f>SUM(OSRRefH22_9x_0)</f>
        <v>43.9</v>
      </c>
      <c r="I52" s="1"/>
      <c r="J52" s="5">
        <f t="shared" si="25"/>
        <v>0</v>
      </c>
      <c r="K52" s="1"/>
      <c r="L52" s="1">
        <f t="shared" si="26"/>
        <v>-43.9</v>
      </c>
      <c r="M52" s="1"/>
      <c r="N52" s="5">
        <f t="shared" si="27"/>
        <v>-1</v>
      </c>
      <c r="O52" s="13"/>
      <c r="P52" s="1">
        <f>SUM(OSRRefP22_9x_0)</f>
        <v>0</v>
      </c>
      <c r="Q52" s="1"/>
      <c r="R52" s="5">
        <f t="shared" si="28"/>
        <v>0</v>
      </c>
      <c r="S52" s="1"/>
      <c r="T52" s="1">
        <f>SUM(OSRRefT22_9x_0)</f>
        <v>20070.129999999997</v>
      </c>
      <c r="U52" s="1"/>
      <c r="V52" s="5">
        <f t="shared" si="29"/>
        <v>0</v>
      </c>
      <c r="W52" s="1"/>
      <c r="X52" s="1">
        <f t="shared" si="30"/>
        <v>-20070.129999999997</v>
      </c>
      <c r="Y52" s="1"/>
      <c r="Z52" s="5">
        <f t="shared" si="31"/>
        <v>-1</v>
      </c>
    </row>
    <row r="53" spans="1:26" s="24" customFormat="1" hidden="1" outlineLevel="2" x14ac:dyDescent="0.25">
      <c r="A53" s="27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24"/>
        <v>0</v>
      </c>
      <c r="G53" s="2"/>
      <c r="H53" s="7">
        <v>43.9</v>
      </c>
      <c r="I53" s="2"/>
      <c r="J53" s="6">
        <f t="shared" si="25"/>
        <v>0</v>
      </c>
      <c r="K53" s="2"/>
      <c r="L53" s="7">
        <f t="shared" si="26"/>
        <v>-43.9</v>
      </c>
      <c r="M53" s="2"/>
      <c r="N53" s="6">
        <f t="shared" si="27"/>
        <v>-1</v>
      </c>
      <c r="O53" s="11"/>
      <c r="P53" s="7"/>
      <c r="Q53" s="2"/>
      <c r="R53" s="6">
        <f t="shared" si="28"/>
        <v>0</v>
      </c>
      <c r="S53" s="2"/>
      <c r="T53" s="7">
        <v>20070.129999999997</v>
      </c>
      <c r="U53" s="2"/>
      <c r="V53" s="6">
        <f t="shared" si="29"/>
        <v>0</v>
      </c>
      <c r="W53" s="2"/>
      <c r="X53" s="7">
        <f t="shared" si="30"/>
        <v>-20070.129999999997</v>
      </c>
      <c r="Y53" s="2"/>
      <c r="Z53" s="6">
        <f t="shared" si="31"/>
        <v>-1</v>
      </c>
    </row>
    <row r="54" spans="1:26" s="25" customFormat="1" outlineLevel="1" collapsed="1" x14ac:dyDescent="0.25">
      <c r="A54" s="26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SUM(OSRRefD22_10x_0)</f>
        <v>3598.85</v>
      </c>
      <c r="E54" s="1"/>
      <c r="F54" s="5">
        <f t="shared" si="24"/>
        <v>0</v>
      </c>
      <c r="G54" s="1"/>
      <c r="H54" s="1">
        <f>SUM(OSRRefH22_10x_0)</f>
        <v>3598.85</v>
      </c>
      <c r="I54" s="1"/>
      <c r="J54" s="5">
        <f t="shared" si="25"/>
        <v>0</v>
      </c>
      <c r="K54" s="1"/>
      <c r="L54" s="1">
        <f t="shared" si="26"/>
        <v>0</v>
      </c>
      <c r="M54" s="1"/>
      <c r="N54" s="5">
        <f t="shared" si="27"/>
        <v>0</v>
      </c>
      <c r="O54" s="13"/>
      <c r="P54" s="1">
        <f>SUM(OSRRefP22_10x_0)</f>
        <v>27705.1</v>
      </c>
      <c r="Q54" s="1"/>
      <c r="R54" s="5">
        <f t="shared" si="28"/>
        <v>0</v>
      </c>
      <c r="S54" s="1"/>
      <c r="T54" s="1">
        <f>SUM(OSRRefT22_10x_0)</f>
        <v>21593.1</v>
      </c>
      <c r="U54" s="1"/>
      <c r="V54" s="5">
        <f t="shared" si="29"/>
        <v>0</v>
      </c>
      <c r="W54" s="1"/>
      <c r="X54" s="1">
        <f t="shared" si="30"/>
        <v>6112</v>
      </c>
      <c r="Y54" s="1"/>
      <c r="Z54" s="5">
        <f t="shared" si="31"/>
        <v>0.28305338279357761</v>
      </c>
    </row>
    <row r="55" spans="1:26" s="24" customFormat="1" hidden="1" outlineLevel="2" x14ac:dyDescent="0.25">
      <c r="A55" s="27"/>
      <c r="B55" s="11" t="str">
        <f>CONCATENATE("          ", "6314", " - ", "LIABILITY INSURANCE")</f>
        <v xml:space="preserve">          6314 - LIABILITY INSURANCE</v>
      </c>
      <c r="C55" s="11"/>
      <c r="D55" s="7">
        <v>3598.85</v>
      </c>
      <c r="E55" s="2"/>
      <c r="F55" s="6">
        <f t="shared" si="24"/>
        <v>0</v>
      </c>
      <c r="G55" s="2"/>
      <c r="H55" s="7">
        <v>3598.85</v>
      </c>
      <c r="I55" s="2"/>
      <c r="J55" s="6">
        <f t="shared" si="25"/>
        <v>0</v>
      </c>
      <c r="K55" s="2"/>
      <c r="L55" s="7">
        <f t="shared" si="26"/>
        <v>0</v>
      </c>
      <c r="M55" s="2"/>
      <c r="N55" s="6">
        <f t="shared" si="27"/>
        <v>0</v>
      </c>
      <c r="O55" s="11"/>
      <c r="P55" s="7">
        <v>27705.1</v>
      </c>
      <c r="Q55" s="2"/>
      <c r="R55" s="6">
        <f t="shared" si="28"/>
        <v>0</v>
      </c>
      <c r="S55" s="2"/>
      <c r="T55" s="7">
        <v>21593.1</v>
      </c>
      <c r="U55" s="2"/>
      <c r="V55" s="6">
        <f t="shared" si="29"/>
        <v>0</v>
      </c>
      <c r="W55" s="2"/>
      <c r="X55" s="7">
        <f t="shared" si="30"/>
        <v>6112</v>
      </c>
      <c r="Y55" s="2"/>
      <c r="Z55" s="6">
        <f t="shared" si="31"/>
        <v>0.28305338279357761</v>
      </c>
    </row>
    <row r="56" spans="1:26" s="25" customFormat="1" outlineLevel="1" collapsed="1" x14ac:dyDescent="0.25">
      <c r="A56" s="26"/>
      <c r="B56" s="13" t="str">
        <f>CONCATENATE("     ","Professional Services                             ")</f>
        <v xml:space="preserve">     Professional Services                             </v>
      </c>
      <c r="C56" s="13"/>
      <c r="D56" s="1">
        <f>SUM(OSRRefD22_11x_0)</f>
        <v>0</v>
      </c>
      <c r="E56" s="1"/>
      <c r="F56" s="5">
        <f t="shared" si="24"/>
        <v>0</v>
      </c>
      <c r="G56" s="1"/>
      <c r="H56" s="1">
        <f>SUM(OSRRefH22_11x_0)</f>
        <v>0</v>
      </c>
      <c r="I56" s="1"/>
      <c r="J56" s="5">
        <f t="shared" si="25"/>
        <v>0</v>
      </c>
      <c r="K56" s="1"/>
      <c r="L56" s="1">
        <f t="shared" si="26"/>
        <v>0</v>
      </c>
      <c r="M56" s="1"/>
      <c r="N56" s="5">
        <f t="shared" si="27"/>
        <v>0</v>
      </c>
      <c r="O56" s="13"/>
      <c r="P56" s="1">
        <f>SUM(OSRRefP22_11x_0)</f>
        <v>0</v>
      </c>
      <c r="Q56" s="1"/>
      <c r="R56" s="5">
        <f t="shared" si="28"/>
        <v>0</v>
      </c>
      <c r="S56" s="1"/>
      <c r="T56" s="1">
        <f>SUM(OSRRefT22_11x_0)</f>
        <v>125</v>
      </c>
      <c r="U56" s="1"/>
      <c r="V56" s="5">
        <f t="shared" si="29"/>
        <v>0</v>
      </c>
      <c r="W56" s="1"/>
      <c r="X56" s="1">
        <f t="shared" si="30"/>
        <v>-125</v>
      </c>
      <c r="Y56" s="1"/>
      <c r="Z56" s="5">
        <f t="shared" si="31"/>
        <v>-1</v>
      </c>
    </row>
    <row r="57" spans="1:26" s="24" customFormat="1" hidden="1" outlineLevel="2" x14ac:dyDescent="0.25">
      <c r="A57" s="27"/>
      <c r="B57" s="11" t="str">
        <f>CONCATENATE("          ", "6336", " - ", "PROFESSIONAL SERVICES")</f>
        <v xml:space="preserve">          6336 - PROFESSIONAL SERVICES</v>
      </c>
      <c r="C57" s="11"/>
      <c r="D57" s="7"/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0</v>
      </c>
      <c r="M57" s="2"/>
      <c r="N57" s="6">
        <f t="shared" si="27"/>
        <v>0</v>
      </c>
      <c r="O57" s="11"/>
      <c r="P57" s="7"/>
      <c r="Q57" s="2"/>
      <c r="R57" s="6">
        <f t="shared" si="28"/>
        <v>0</v>
      </c>
      <c r="S57" s="2"/>
      <c r="T57" s="7">
        <v>125</v>
      </c>
      <c r="U57" s="2"/>
      <c r="V57" s="6">
        <f t="shared" si="29"/>
        <v>0</v>
      </c>
      <c r="W57" s="2"/>
      <c r="X57" s="7">
        <f t="shared" si="30"/>
        <v>-125</v>
      </c>
      <c r="Y57" s="2"/>
      <c r="Z57" s="6">
        <f t="shared" si="31"/>
        <v>-1</v>
      </c>
    </row>
    <row r="58" spans="1:26" s="25" customFormat="1" outlineLevel="1" collapsed="1" x14ac:dyDescent="0.25">
      <c r="A58" s="26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SUM(OSRRefD22_12x_0)</f>
        <v>602.77</v>
      </c>
      <c r="E58" s="1"/>
      <c r="F58" s="5">
        <f t="shared" si="24"/>
        <v>0</v>
      </c>
      <c r="G58" s="1"/>
      <c r="H58" s="1">
        <f>SUM(OSRRefH22_12x_0)</f>
        <v>14738.580000000002</v>
      </c>
      <c r="I58" s="1"/>
      <c r="J58" s="5">
        <f t="shared" si="25"/>
        <v>0</v>
      </c>
      <c r="K58" s="1"/>
      <c r="L58" s="1">
        <f t="shared" si="26"/>
        <v>-14135.810000000001</v>
      </c>
      <c r="M58" s="1"/>
      <c r="N58" s="5">
        <f t="shared" si="27"/>
        <v>-0.95910257297514412</v>
      </c>
      <c r="O58" s="13"/>
      <c r="P58" s="1">
        <f>SUM(OSRRefP22_12x_0)</f>
        <v>2907.1299999999997</v>
      </c>
      <c r="Q58" s="1"/>
      <c r="R58" s="5">
        <f t="shared" si="28"/>
        <v>0</v>
      </c>
      <c r="S58" s="1"/>
      <c r="T58" s="1">
        <f>SUM(OSRRefT22_12x_0)</f>
        <v>63656.14</v>
      </c>
      <c r="U58" s="1"/>
      <c r="V58" s="5">
        <f t="shared" si="29"/>
        <v>0</v>
      </c>
      <c r="W58" s="1"/>
      <c r="X58" s="1">
        <f t="shared" si="30"/>
        <v>-60749.01</v>
      </c>
      <c r="Y58" s="1"/>
      <c r="Z58" s="5">
        <f t="shared" si="31"/>
        <v>-0.95433072127841878</v>
      </c>
    </row>
    <row r="59" spans="1:26" s="24" customFormat="1" hidden="1" outlineLevel="2" x14ac:dyDescent="0.25">
      <c r="A59" s="27"/>
      <c r="B59" s="11" t="str">
        <f>CONCATENATE("          ", "6373", " - ", "MAINTENANCE CONTRACTS")</f>
        <v xml:space="preserve">          6373 - MAINTENANCE CONTRACTS</v>
      </c>
      <c r="C59" s="11"/>
      <c r="D59" s="7">
        <v>439.3</v>
      </c>
      <c r="E59" s="2"/>
      <c r="F59" s="6">
        <f t="shared" si="24"/>
        <v>0</v>
      </c>
      <c r="G59" s="2"/>
      <c r="H59" s="7">
        <v>9288.44</v>
      </c>
      <c r="I59" s="2"/>
      <c r="J59" s="6">
        <f t="shared" si="25"/>
        <v>0</v>
      </c>
      <c r="K59" s="2"/>
      <c r="L59" s="7">
        <f t="shared" si="26"/>
        <v>-8849.1400000000012</v>
      </c>
      <c r="M59" s="2"/>
      <c r="N59" s="6">
        <f t="shared" si="27"/>
        <v>-0.95270465223439038</v>
      </c>
      <c r="O59" s="11"/>
      <c r="P59" s="7">
        <v>2131.1999999999998</v>
      </c>
      <c r="Q59" s="2"/>
      <c r="R59" s="6">
        <f t="shared" si="28"/>
        <v>0</v>
      </c>
      <c r="S59" s="2"/>
      <c r="T59" s="7">
        <v>38499.58</v>
      </c>
      <c r="U59" s="2"/>
      <c r="V59" s="6">
        <f t="shared" si="29"/>
        <v>0</v>
      </c>
      <c r="W59" s="2"/>
      <c r="X59" s="7">
        <f t="shared" si="30"/>
        <v>-36368.380000000005</v>
      </c>
      <c r="Y59" s="2"/>
      <c r="Z59" s="6">
        <f t="shared" si="31"/>
        <v>-0.94464355195563177</v>
      </c>
    </row>
    <row r="60" spans="1:26" s="24" customFormat="1" hidden="1" outlineLevel="2" x14ac:dyDescent="0.25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7">
        <v>163.47</v>
      </c>
      <c r="E60" s="2"/>
      <c r="F60" s="6">
        <f t="shared" si="24"/>
        <v>0</v>
      </c>
      <c r="G60" s="2"/>
      <c r="H60" s="7">
        <v>5450.14</v>
      </c>
      <c r="I60" s="2"/>
      <c r="J60" s="6">
        <f t="shared" si="25"/>
        <v>0</v>
      </c>
      <c r="K60" s="2"/>
      <c r="L60" s="7">
        <f t="shared" si="26"/>
        <v>-5286.67</v>
      </c>
      <c r="M60" s="2"/>
      <c r="N60" s="6">
        <f t="shared" si="27"/>
        <v>-0.97000627506816339</v>
      </c>
      <c r="O60" s="11"/>
      <c r="P60" s="7">
        <v>775.93</v>
      </c>
      <c r="Q60" s="2"/>
      <c r="R60" s="6">
        <f t="shared" si="28"/>
        <v>0</v>
      </c>
      <c r="S60" s="2"/>
      <c r="T60" s="7">
        <v>25156.560000000001</v>
      </c>
      <c r="U60" s="2"/>
      <c r="V60" s="6">
        <f t="shared" si="29"/>
        <v>0</v>
      </c>
      <c r="W60" s="2"/>
      <c r="X60" s="7">
        <f t="shared" si="30"/>
        <v>-24380.63</v>
      </c>
      <c r="Y60" s="2"/>
      <c r="Z60" s="6">
        <f t="shared" si="31"/>
        <v>-0.96915595773030971</v>
      </c>
    </row>
    <row r="61" spans="1:26" s="25" customFormat="1" outlineLevel="1" collapsed="1" x14ac:dyDescent="0.25">
      <c r="A61" s="26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SUM(OSRRefD22_13x_0)</f>
        <v>6759.04</v>
      </c>
      <c r="E61" s="1"/>
      <c r="F61" s="5">
        <f t="shared" ref="F61:F66" si="32">IF(D$12=0,0,D61/D$12)</f>
        <v>0</v>
      </c>
      <c r="G61" s="1"/>
      <c r="H61" s="1">
        <f>SUM(OSRRefH22_13x_0)</f>
        <v>18900.55</v>
      </c>
      <c r="I61" s="1"/>
      <c r="J61" s="5">
        <f t="shared" ref="J61:J66" si="33">IF(H$12=0,0,H61/H$12)</f>
        <v>0</v>
      </c>
      <c r="K61" s="1"/>
      <c r="L61" s="1">
        <f t="shared" ref="L61:L66" si="34">+D61-H61</f>
        <v>-12141.509999999998</v>
      </c>
      <c r="M61" s="1"/>
      <c r="N61" s="5">
        <f t="shared" ref="N61:N66" si="35">IF(H61=0,0,L61/H61)</f>
        <v>-0.6423892426410871</v>
      </c>
      <c r="O61" s="13"/>
      <c r="P61" s="1">
        <f>SUM(OSRRefP22_13x_0)</f>
        <v>15267.04</v>
      </c>
      <c r="Q61" s="1"/>
      <c r="R61" s="5">
        <f t="shared" ref="R61:R66" si="36">IF(P$12=0,0,P61/P$12)</f>
        <v>0</v>
      </c>
      <c r="S61" s="1"/>
      <c r="T61" s="1">
        <f>SUM(OSRRefT22_13x_0)</f>
        <v>83470.039999999994</v>
      </c>
      <c r="U61" s="1"/>
      <c r="V61" s="5">
        <f t="shared" ref="V61:V66" si="37">IF(T$12=0,0,T61/T$12)</f>
        <v>0</v>
      </c>
      <c r="W61" s="1"/>
      <c r="X61" s="1">
        <f t="shared" ref="X61:X66" si="38">+P61-T61</f>
        <v>-68203</v>
      </c>
      <c r="Y61" s="1"/>
      <c r="Z61" s="5">
        <f t="shared" ref="Z61:Z66" si="39">IF(T61=0,0,X61/T61)</f>
        <v>-0.81709557105759145</v>
      </c>
    </row>
    <row r="62" spans="1:26" s="24" customFormat="1" hidden="1" outlineLevel="2" x14ac:dyDescent="0.25">
      <c r="A62" s="27"/>
      <c r="B62" s="11" t="str">
        <f>CONCATENATE("          ", "6282", " - ", "JANITORIAL/EXTERMINATOR EXPENS")</f>
        <v xml:space="preserve">          6282 - JANITORIAL/EXTERMINATOR EXPENS</v>
      </c>
      <c r="C62" s="11"/>
      <c r="D62" s="7">
        <v>2505.04</v>
      </c>
      <c r="E62" s="2"/>
      <c r="F62" s="6">
        <f t="shared" si="32"/>
        <v>0</v>
      </c>
      <c r="G62" s="2"/>
      <c r="H62" s="7">
        <v>1252.52</v>
      </c>
      <c r="I62" s="2"/>
      <c r="J62" s="6">
        <f t="shared" si="33"/>
        <v>0</v>
      </c>
      <c r="K62" s="2"/>
      <c r="L62" s="7">
        <f t="shared" si="34"/>
        <v>1252.52</v>
      </c>
      <c r="M62" s="2"/>
      <c r="N62" s="6">
        <f t="shared" si="35"/>
        <v>1</v>
      </c>
      <c r="O62" s="11"/>
      <c r="P62" s="7">
        <v>2505.04</v>
      </c>
      <c r="Q62" s="2"/>
      <c r="R62" s="6">
        <f t="shared" si="36"/>
        <v>0</v>
      </c>
      <c r="S62" s="2"/>
      <c r="T62" s="7">
        <v>4383.82</v>
      </c>
      <c r="U62" s="2"/>
      <c r="V62" s="6">
        <f t="shared" si="37"/>
        <v>0</v>
      </c>
      <c r="W62" s="2"/>
      <c r="X62" s="7">
        <f t="shared" si="38"/>
        <v>-1878.7799999999997</v>
      </c>
      <c r="Y62" s="2"/>
      <c r="Z62" s="6">
        <f t="shared" si="39"/>
        <v>-0.42857142857142855</v>
      </c>
    </row>
    <row r="63" spans="1:26" s="24" customFormat="1" hidden="1" outlineLevel="2" x14ac:dyDescent="0.25">
      <c r="A63" s="27"/>
      <c r="B63" s="11" t="str">
        <f>CONCATENATE("          ", "6283", " - ", "PLANT SERVICE")</f>
        <v xml:space="preserve">          6283 - PLANT SERVICE</v>
      </c>
      <c r="C63" s="11"/>
      <c r="D63" s="7"/>
      <c r="E63" s="2"/>
      <c r="F63" s="6">
        <f t="shared" si="32"/>
        <v>0</v>
      </c>
      <c r="G63" s="2"/>
      <c r="H63" s="7"/>
      <c r="I63" s="2"/>
      <c r="J63" s="6">
        <f t="shared" si="33"/>
        <v>0</v>
      </c>
      <c r="K63" s="2"/>
      <c r="L63" s="7">
        <f t="shared" si="34"/>
        <v>0</v>
      </c>
      <c r="M63" s="2"/>
      <c r="N63" s="6">
        <f t="shared" si="35"/>
        <v>0</v>
      </c>
      <c r="O63" s="11"/>
      <c r="P63" s="7"/>
      <c r="Q63" s="2"/>
      <c r="R63" s="6">
        <f t="shared" si="36"/>
        <v>0</v>
      </c>
      <c r="S63" s="2"/>
      <c r="T63" s="7">
        <v>142.12</v>
      </c>
      <c r="U63" s="2"/>
      <c r="V63" s="6">
        <f t="shared" si="37"/>
        <v>0</v>
      </c>
      <c r="W63" s="2"/>
      <c r="X63" s="7">
        <f t="shared" si="38"/>
        <v>-142.12</v>
      </c>
      <c r="Y63" s="2"/>
      <c r="Z63" s="6">
        <f t="shared" si="39"/>
        <v>-1</v>
      </c>
    </row>
    <row r="64" spans="1:26" s="24" customFormat="1" hidden="1" outlineLevel="2" x14ac:dyDescent="0.25">
      <c r="A64" s="27"/>
      <c r="B64" s="11" t="str">
        <f>CONCATENATE("          ", "6284", " - ", "TRASH REMOVAL EXPENSE")</f>
        <v xml:space="preserve">          6284 - TRASH REMOVAL EXPENSE</v>
      </c>
      <c r="C64" s="11"/>
      <c r="D64" s="7">
        <v>4254</v>
      </c>
      <c r="E64" s="2"/>
      <c r="F64" s="6">
        <f t="shared" si="32"/>
        <v>0</v>
      </c>
      <c r="G64" s="2"/>
      <c r="H64" s="7">
        <v>7295</v>
      </c>
      <c r="I64" s="2"/>
      <c r="J64" s="6">
        <f t="shared" si="33"/>
        <v>0</v>
      </c>
      <c r="K64" s="2"/>
      <c r="L64" s="7">
        <f t="shared" si="34"/>
        <v>-3041</v>
      </c>
      <c r="M64" s="2"/>
      <c r="N64" s="6">
        <f t="shared" si="35"/>
        <v>-0.41686086360520902</v>
      </c>
      <c r="O64" s="11"/>
      <c r="P64" s="7">
        <v>12762</v>
      </c>
      <c r="Q64" s="2"/>
      <c r="R64" s="6">
        <f t="shared" si="36"/>
        <v>0</v>
      </c>
      <c r="S64" s="2"/>
      <c r="T64" s="7">
        <v>17741</v>
      </c>
      <c r="U64" s="2"/>
      <c r="V64" s="6">
        <f t="shared" si="37"/>
        <v>0</v>
      </c>
      <c r="W64" s="2"/>
      <c r="X64" s="7">
        <f t="shared" si="38"/>
        <v>-4979</v>
      </c>
      <c r="Y64" s="2"/>
      <c r="Z64" s="6">
        <f t="shared" si="39"/>
        <v>-0.28064934332901187</v>
      </c>
    </row>
    <row r="65" spans="1:26" s="24" customFormat="1" hidden="1" outlineLevel="2" x14ac:dyDescent="0.25">
      <c r="A65" s="27"/>
      <c r="B65" s="11" t="str">
        <f>CONCATENATE("          ", "6285", " - ", "JANITORIAL SERVICES")</f>
        <v xml:space="preserve">          6285 - JANITORIAL SERVICES</v>
      </c>
      <c r="C65" s="11"/>
      <c r="D65" s="7"/>
      <c r="E65" s="2"/>
      <c r="F65" s="6">
        <f t="shared" si="32"/>
        <v>0</v>
      </c>
      <c r="G65" s="2"/>
      <c r="H65" s="7">
        <v>10278.51</v>
      </c>
      <c r="I65" s="2"/>
      <c r="J65" s="6">
        <f t="shared" si="33"/>
        <v>0</v>
      </c>
      <c r="K65" s="2"/>
      <c r="L65" s="7">
        <f t="shared" si="34"/>
        <v>-10278.51</v>
      </c>
      <c r="M65" s="2"/>
      <c r="N65" s="6">
        <f t="shared" si="35"/>
        <v>-1</v>
      </c>
      <c r="O65" s="11"/>
      <c r="P65" s="7"/>
      <c r="Q65" s="2"/>
      <c r="R65" s="6">
        <f t="shared" si="36"/>
        <v>0</v>
      </c>
      <c r="S65" s="2"/>
      <c r="T65" s="7">
        <v>60751.06</v>
      </c>
      <c r="U65" s="2"/>
      <c r="V65" s="6">
        <f t="shared" si="37"/>
        <v>0</v>
      </c>
      <c r="W65" s="2"/>
      <c r="X65" s="7">
        <f t="shared" si="38"/>
        <v>-60751.06</v>
      </c>
      <c r="Y65" s="2"/>
      <c r="Z65" s="6">
        <f t="shared" si="39"/>
        <v>-1</v>
      </c>
    </row>
    <row r="66" spans="1:26" s="24" customFormat="1" hidden="1" outlineLevel="2" x14ac:dyDescent="0.25">
      <c r="A66" s="27"/>
      <c r="B66" s="11" t="str">
        <f>CONCATENATE("          ", "6286", " - ", "LAUNDRY EXPENSE")</f>
        <v xml:space="preserve">          6286 - LAUNDRY EXPENSE</v>
      </c>
      <c r="C66" s="11"/>
      <c r="D66" s="7"/>
      <c r="E66" s="2"/>
      <c r="F66" s="6">
        <f t="shared" si="32"/>
        <v>0</v>
      </c>
      <c r="G66" s="2"/>
      <c r="H66" s="7">
        <v>74.52</v>
      </c>
      <c r="I66" s="2"/>
      <c r="J66" s="6">
        <f t="shared" si="33"/>
        <v>0</v>
      </c>
      <c r="K66" s="2"/>
      <c r="L66" s="7">
        <f t="shared" si="34"/>
        <v>-74.52</v>
      </c>
      <c r="M66" s="2"/>
      <c r="N66" s="6">
        <f t="shared" si="35"/>
        <v>-1</v>
      </c>
      <c r="O66" s="11"/>
      <c r="P66" s="7"/>
      <c r="Q66" s="2"/>
      <c r="R66" s="6">
        <f t="shared" si="36"/>
        <v>0</v>
      </c>
      <c r="S66" s="2"/>
      <c r="T66" s="7">
        <v>452.04</v>
      </c>
      <c r="U66" s="2"/>
      <c r="V66" s="6">
        <f t="shared" si="37"/>
        <v>0</v>
      </c>
      <c r="W66" s="2"/>
      <c r="X66" s="7">
        <f t="shared" si="38"/>
        <v>-452.04</v>
      </c>
      <c r="Y66" s="2"/>
      <c r="Z66" s="6">
        <f t="shared" si="39"/>
        <v>-1</v>
      </c>
    </row>
    <row r="67" spans="1:26" s="25" customFormat="1" outlineLevel="1" collapsed="1" x14ac:dyDescent="0.25">
      <c r="A67" s="26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SUM(OSRRefD22_14x_0)</f>
        <v>0</v>
      </c>
      <c r="E67" s="1"/>
      <c r="F67" s="5">
        <f t="shared" ref="F67:F75" si="40">IF(D$12=0,0,D67/D$12)</f>
        <v>0</v>
      </c>
      <c r="G67" s="1"/>
      <c r="H67" s="1">
        <f>SUM(OSRRefH22_14x_0)</f>
        <v>795</v>
      </c>
      <c r="I67" s="1"/>
      <c r="J67" s="5">
        <f t="shared" ref="J67:J75" si="41">IF(H$12=0,0,H67/H$12)</f>
        <v>0</v>
      </c>
      <c r="K67" s="1"/>
      <c r="L67" s="1">
        <f t="shared" ref="L67:L75" si="42">+D67-H67</f>
        <v>-795</v>
      </c>
      <c r="M67" s="1"/>
      <c r="N67" s="5">
        <f t="shared" ref="N67:N75" si="43">IF(H67=0,0,L67/H67)</f>
        <v>-1</v>
      </c>
      <c r="O67" s="13"/>
      <c r="P67" s="1">
        <f>SUM(OSRRefP22_14x_0)</f>
        <v>0</v>
      </c>
      <c r="Q67" s="1"/>
      <c r="R67" s="5">
        <f t="shared" ref="R67:R75" si="44">IF(P$12=0,0,P67/P$12)</f>
        <v>0</v>
      </c>
      <c r="S67" s="1"/>
      <c r="T67" s="1">
        <f>SUM(OSRRefT22_14x_0)</f>
        <v>795</v>
      </c>
      <c r="U67" s="1"/>
      <c r="V67" s="5">
        <f t="shared" ref="V67:V75" si="45">IF(T$12=0,0,T67/T$12)</f>
        <v>0</v>
      </c>
      <c r="W67" s="1"/>
      <c r="X67" s="1">
        <f t="shared" ref="X67:X75" si="46">+P67-T67</f>
        <v>-795</v>
      </c>
      <c r="Y67" s="1"/>
      <c r="Z67" s="5">
        <f t="shared" ref="Z67:Z75" si="47">IF(T67=0,0,X67/T67)</f>
        <v>-1</v>
      </c>
    </row>
    <row r="68" spans="1:26" s="24" customFormat="1" hidden="1" outlineLevel="2" x14ac:dyDescent="0.25">
      <c r="A68" s="27"/>
      <c r="B68" s="11" t="str">
        <f>CONCATENATE("          ", "6258", " - ", "MEMBERSHIP DUES")</f>
        <v xml:space="preserve">          6258 - MEMBERSHIP DUES</v>
      </c>
      <c r="C68" s="11"/>
      <c r="D68" s="7"/>
      <c r="E68" s="2"/>
      <c r="F68" s="6">
        <f t="shared" si="40"/>
        <v>0</v>
      </c>
      <c r="G68" s="2"/>
      <c r="H68" s="7">
        <v>795</v>
      </c>
      <c r="I68" s="2"/>
      <c r="J68" s="6">
        <f t="shared" si="41"/>
        <v>0</v>
      </c>
      <c r="K68" s="2"/>
      <c r="L68" s="7">
        <f t="shared" si="42"/>
        <v>-795</v>
      </c>
      <c r="M68" s="2"/>
      <c r="N68" s="6">
        <f t="shared" si="43"/>
        <v>-1</v>
      </c>
      <c r="O68" s="11"/>
      <c r="P68" s="7"/>
      <c r="Q68" s="2"/>
      <c r="R68" s="6">
        <f t="shared" si="44"/>
        <v>0</v>
      </c>
      <c r="S68" s="2"/>
      <c r="T68" s="7">
        <v>795</v>
      </c>
      <c r="U68" s="2"/>
      <c r="V68" s="6">
        <f t="shared" si="45"/>
        <v>0</v>
      </c>
      <c r="W68" s="2"/>
      <c r="X68" s="7">
        <f t="shared" si="46"/>
        <v>-795</v>
      </c>
      <c r="Y68" s="2"/>
      <c r="Z68" s="6">
        <f t="shared" si="47"/>
        <v>-1</v>
      </c>
    </row>
    <row r="69" spans="1:26" s="25" customFormat="1" outlineLevel="1" collapsed="1" x14ac:dyDescent="0.25">
      <c r="A69" s="26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SUM(OSRRefD22_15x_0)</f>
        <v>0</v>
      </c>
      <c r="E69" s="1"/>
      <c r="F69" s="5">
        <f t="shared" si="40"/>
        <v>0</v>
      </c>
      <c r="G69" s="1"/>
      <c r="H69" s="1">
        <f>SUM(OSRRefH22_15x_0)</f>
        <v>4910.25</v>
      </c>
      <c r="I69" s="1"/>
      <c r="J69" s="5">
        <f t="shared" si="41"/>
        <v>0</v>
      </c>
      <c r="K69" s="1"/>
      <c r="L69" s="1">
        <f t="shared" si="42"/>
        <v>-4910.25</v>
      </c>
      <c r="M69" s="1"/>
      <c r="N69" s="5">
        <f t="shared" si="43"/>
        <v>-1</v>
      </c>
      <c r="O69" s="13"/>
      <c r="P69" s="1">
        <f>SUM(OSRRefP22_15x_0)</f>
        <v>-29072.879999999997</v>
      </c>
      <c r="Q69" s="1"/>
      <c r="R69" s="5">
        <f t="shared" si="44"/>
        <v>0</v>
      </c>
      <c r="S69" s="1"/>
      <c r="T69" s="1">
        <f>SUM(OSRRefT22_15x_0)</f>
        <v>45672.08</v>
      </c>
      <c r="U69" s="1"/>
      <c r="V69" s="5">
        <f t="shared" si="45"/>
        <v>0</v>
      </c>
      <c r="W69" s="1"/>
      <c r="X69" s="1">
        <f t="shared" si="46"/>
        <v>-74744.959999999992</v>
      </c>
      <c r="Y69" s="1"/>
      <c r="Z69" s="5">
        <f t="shared" si="47"/>
        <v>-1.6365569512052001</v>
      </c>
    </row>
    <row r="70" spans="1:26" s="24" customFormat="1" hidden="1" outlineLevel="2" x14ac:dyDescent="0.25">
      <c r="A70" s="27"/>
      <c r="B70" s="11" t="str">
        <f>CONCATENATE("          ", "6234", " - ", "EXPENDABLE SUPPLIES &amp; EQUIPMEN")</f>
        <v xml:space="preserve">          6234 - EXPENDABLE SUPPLIES &amp; EQUIPMEN</v>
      </c>
      <c r="C70" s="11"/>
      <c r="D70" s="7"/>
      <c r="E70" s="2"/>
      <c r="F70" s="6">
        <f t="shared" si="40"/>
        <v>0</v>
      </c>
      <c r="G70" s="2"/>
      <c r="H70" s="7"/>
      <c r="I70" s="2"/>
      <c r="J70" s="6">
        <f t="shared" si="41"/>
        <v>0</v>
      </c>
      <c r="K70" s="2"/>
      <c r="L70" s="7">
        <f t="shared" si="42"/>
        <v>0</v>
      </c>
      <c r="M70" s="2"/>
      <c r="N70" s="6">
        <f t="shared" si="43"/>
        <v>0</v>
      </c>
      <c r="O70" s="11"/>
      <c r="P70" s="7"/>
      <c r="Q70" s="2"/>
      <c r="R70" s="6">
        <f t="shared" si="44"/>
        <v>0</v>
      </c>
      <c r="S70" s="2"/>
      <c r="T70" s="7">
        <v>8091.25</v>
      </c>
      <c r="U70" s="2"/>
      <c r="V70" s="6">
        <f t="shared" si="45"/>
        <v>0</v>
      </c>
      <c r="W70" s="2"/>
      <c r="X70" s="7">
        <f t="shared" si="46"/>
        <v>-8091.25</v>
      </c>
      <c r="Y70" s="2"/>
      <c r="Z70" s="6">
        <f t="shared" si="47"/>
        <v>-1</v>
      </c>
    </row>
    <row r="71" spans="1:26" s="24" customFormat="1" hidden="1" outlineLevel="2" x14ac:dyDescent="0.25">
      <c r="A71" s="27"/>
      <c r="B71" s="11" t="str">
        <f>CONCATENATE("          ", "6235", " - ", "COVID-19 EXPENSES")</f>
        <v xml:space="preserve">          6235 - COVID-19 EXPENSES</v>
      </c>
      <c r="C71" s="11"/>
      <c r="D71" s="7"/>
      <c r="E71" s="2"/>
      <c r="F71" s="6">
        <f t="shared" si="40"/>
        <v>0</v>
      </c>
      <c r="G71" s="2"/>
      <c r="H71" s="7"/>
      <c r="I71" s="2"/>
      <c r="J71" s="6">
        <f t="shared" si="41"/>
        <v>0</v>
      </c>
      <c r="K71" s="2"/>
      <c r="L71" s="7">
        <f t="shared" si="42"/>
        <v>0</v>
      </c>
      <c r="M71" s="2"/>
      <c r="N71" s="6">
        <f t="shared" si="43"/>
        <v>0</v>
      </c>
      <c r="O71" s="11"/>
      <c r="P71" s="7">
        <v>127.89</v>
      </c>
      <c r="Q71" s="2"/>
      <c r="R71" s="6">
        <f t="shared" si="44"/>
        <v>0</v>
      </c>
      <c r="S71" s="2"/>
      <c r="T71" s="7"/>
      <c r="U71" s="2"/>
      <c r="V71" s="6">
        <f t="shared" si="45"/>
        <v>0</v>
      </c>
      <c r="W71" s="2"/>
      <c r="X71" s="7">
        <f t="shared" si="46"/>
        <v>127.89</v>
      </c>
      <c r="Y71" s="2"/>
      <c r="Z71" s="6">
        <f t="shared" si="47"/>
        <v>0</v>
      </c>
    </row>
    <row r="72" spans="1:26" s="24" customFormat="1" hidden="1" outlineLevel="2" x14ac:dyDescent="0.25">
      <c r="A72" s="27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40"/>
        <v>0</v>
      </c>
      <c r="G72" s="2"/>
      <c r="H72" s="7">
        <v>3139.65</v>
      </c>
      <c r="I72" s="2"/>
      <c r="J72" s="6">
        <f t="shared" si="41"/>
        <v>0</v>
      </c>
      <c r="K72" s="2"/>
      <c r="L72" s="7">
        <f t="shared" si="42"/>
        <v>-3139.65</v>
      </c>
      <c r="M72" s="2"/>
      <c r="N72" s="6">
        <f t="shared" si="43"/>
        <v>-1</v>
      </c>
      <c r="O72" s="11"/>
      <c r="P72" s="7"/>
      <c r="Q72" s="2"/>
      <c r="R72" s="6">
        <f t="shared" si="44"/>
        <v>0</v>
      </c>
      <c r="S72" s="2"/>
      <c r="T72" s="7">
        <v>22280.62</v>
      </c>
      <c r="U72" s="2"/>
      <c r="V72" s="6">
        <f t="shared" si="45"/>
        <v>0</v>
      </c>
      <c r="W72" s="2"/>
      <c r="X72" s="7">
        <f t="shared" si="46"/>
        <v>-22280.62</v>
      </c>
      <c r="Y72" s="2"/>
      <c r="Z72" s="6">
        <f t="shared" si="47"/>
        <v>-1</v>
      </c>
    </row>
    <row r="73" spans="1:26" s="24" customFormat="1" hidden="1" outlineLevel="2" x14ac:dyDescent="0.25">
      <c r="A73" s="27"/>
      <c r="B73" s="11" t="str">
        <f>CONCATENATE("          ", "6239", " - ", "KITCHEN SUPPLIES")</f>
        <v xml:space="preserve">          6239 - KITCHEN SUPPLIES</v>
      </c>
      <c r="C73" s="11"/>
      <c r="D73" s="7"/>
      <c r="E73" s="2"/>
      <c r="F73" s="6">
        <f t="shared" si="40"/>
        <v>0</v>
      </c>
      <c r="G73" s="2"/>
      <c r="H73" s="7">
        <v>1538.72</v>
      </c>
      <c r="I73" s="2"/>
      <c r="J73" s="6">
        <f t="shared" si="41"/>
        <v>0</v>
      </c>
      <c r="K73" s="2"/>
      <c r="L73" s="7">
        <f t="shared" si="42"/>
        <v>-1538.72</v>
      </c>
      <c r="M73" s="2"/>
      <c r="N73" s="6">
        <f t="shared" si="43"/>
        <v>-1</v>
      </c>
      <c r="O73" s="11"/>
      <c r="P73" s="7"/>
      <c r="Q73" s="2"/>
      <c r="R73" s="6">
        <f t="shared" si="44"/>
        <v>0</v>
      </c>
      <c r="S73" s="2"/>
      <c r="T73" s="7">
        <v>14003.06</v>
      </c>
      <c r="U73" s="2"/>
      <c r="V73" s="6">
        <f t="shared" si="45"/>
        <v>0</v>
      </c>
      <c r="W73" s="2"/>
      <c r="X73" s="7">
        <f t="shared" si="46"/>
        <v>-14003.06</v>
      </c>
      <c r="Y73" s="2"/>
      <c r="Z73" s="6">
        <f t="shared" si="47"/>
        <v>-1</v>
      </c>
    </row>
    <row r="74" spans="1:26" s="24" customFormat="1" hidden="1" outlineLevel="2" x14ac:dyDescent="0.25">
      <c r="A74" s="27"/>
      <c r="B74" s="11" t="str">
        <f>CONCATENATE("          ", "6241", " - ", "OFFICE EXPENSE")</f>
        <v xml:space="preserve">          6241 - OFFICE EXPENSE</v>
      </c>
      <c r="C74" s="11"/>
      <c r="D74" s="7"/>
      <c r="E74" s="2"/>
      <c r="F74" s="6">
        <f t="shared" si="40"/>
        <v>0</v>
      </c>
      <c r="G74" s="2"/>
      <c r="H74" s="7">
        <v>231.88</v>
      </c>
      <c r="I74" s="2"/>
      <c r="J74" s="6">
        <f t="shared" si="41"/>
        <v>0</v>
      </c>
      <c r="K74" s="2"/>
      <c r="L74" s="7">
        <f t="shared" si="42"/>
        <v>-231.88</v>
      </c>
      <c r="M74" s="2"/>
      <c r="N74" s="6">
        <f t="shared" si="43"/>
        <v>-1</v>
      </c>
      <c r="O74" s="11"/>
      <c r="P74" s="7">
        <v>-29200.769999999997</v>
      </c>
      <c r="Q74" s="2"/>
      <c r="R74" s="6">
        <f t="shared" si="44"/>
        <v>0</v>
      </c>
      <c r="S74" s="2"/>
      <c r="T74" s="7">
        <v>998.25</v>
      </c>
      <c r="U74" s="2"/>
      <c r="V74" s="6">
        <f t="shared" si="45"/>
        <v>0</v>
      </c>
      <c r="W74" s="2"/>
      <c r="X74" s="7">
        <f t="shared" si="46"/>
        <v>-30199.019999999997</v>
      </c>
      <c r="Y74" s="2"/>
      <c r="Z74" s="6">
        <f t="shared" si="47"/>
        <v>-30.25196093163035</v>
      </c>
    </row>
    <row r="75" spans="1:26" s="24" customFormat="1" hidden="1" outlineLevel="2" x14ac:dyDescent="0.25">
      <c r="A75" s="27"/>
      <c r="B75" s="11" t="str">
        <f>CONCATENATE("          ", "6248", " - ", "UNIFORMS")</f>
        <v xml:space="preserve">          6248 - UNIFORMS</v>
      </c>
      <c r="C75" s="11"/>
      <c r="D75" s="7"/>
      <c r="E75" s="2"/>
      <c r="F75" s="6">
        <f t="shared" si="40"/>
        <v>0</v>
      </c>
      <c r="G75" s="2"/>
      <c r="H75" s="7"/>
      <c r="I75" s="2"/>
      <c r="J75" s="6">
        <f t="shared" si="41"/>
        <v>0</v>
      </c>
      <c r="K75" s="2"/>
      <c r="L75" s="7">
        <f t="shared" si="42"/>
        <v>0</v>
      </c>
      <c r="M75" s="2"/>
      <c r="N75" s="6">
        <f t="shared" si="43"/>
        <v>0</v>
      </c>
      <c r="O75" s="11"/>
      <c r="P75" s="7"/>
      <c r="Q75" s="2"/>
      <c r="R75" s="6">
        <f t="shared" si="44"/>
        <v>0</v>
      </c>
      <c r="S75" s="2"/>
      <c r="T75" s="7">
        <v>298.89999999999998</v>
      </c>
      <c r="U75" s="2"/>
      <c r="V75" s="6">
        <f t="shared" si="45"/>
        <v>0</v>
      </c>
      <c r="W75" s="2"/>
      <c r="X75" s="7">
        <f t="shared" si="46"/>
        <v>-298.89999999999998</v>
      </c>
      <c r="Y75" s="2"/>
      <c r="Z75" s="6">
        <f t="shared" si="47"/>
        <v>-1</v>
      </c>
    </row>
    <row r="76" spans="1:26" s="25" customFormat="1" outlineLevel="1" collapsed="1" x14ac:dyDescent="0.25">
      <c r="A76" s="26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SUM(OSRRefD22_16x_0)</f>
        <v>143.1</v>
      </c>
      <c r="E76" s="1"/>
      <c r="F76" s="5">
        <f t="shared" ref="F76:F83" si="48">IF(D$12=0,0,D76/D$12)</f>
        <v>0</v>
      </c>
      <c r="G76" s="1"/>
      <c r="H76" s="1">
        <f>SUM(OSRRefH22_16x_0)</f>
        <v>553</v>
      </c>
      <c r="I76" s="1"/>
      <c r="J76" s="5">
        <f t="shared" ref="J76:J83" si="49">IF(H$12=0,0,H76/H$12)</f>
        <v>0</v>
      </c>
      <c r="K76" s="1"/>
      <c r="L76" s="1">
        <f t="shared" ref="L76:L83" si="50">+D76-H76</f>
        <v>-409.9</v>
      </c>
      <c r="M76" s="1"/>
      <c r="N76" s="5">
        <f t="shared" ref="N76:N83" si="51">IF(H76=0,0,L76/H76)</f>
        <v>-0.74122965641952976</v>
      </c>
      <c r="O76" s="13"/>
      <c r="P76" s="1">
        <f>SUM(OSRRefP22_16x_0)</f>
        <v>1386.53</v>
      </c>
      <c r="Q76" s="1"/>
      <c r="R76" s="5">
        <f t="shared" ref="R76:R83" si="52">IF(P$12=0,0,P76/P$12)</f>
        <v>0</v>
      </c>
      <c r="S76" s="1"/>
      <c r="T76" s="1">
        <f>SUM(OSRRefT22_16x_0)</f>
        <v>2335.8000000000002</v>
      </c>
      <c r="U76" s="1"/>
      <c r="V76" s="5">
        <f t="shared" ref="V76:V83" si="53">IF(T$12=0,0,T76/T$12)</f>
        <v>0</v>
      </c>
      <c r="W76" s="1"/>
      <c r="X76" s="1">
        <f t="shared" ref="X76:X83" si="54">+P76-T76</f>
        <v>-949.27000000000021</v>
      </c>
      <c r="Y76" s="1"/>
      <c r="Z76" s="5">
        <f t="shared" ref="Z76:Z83" si="55">IF(T76=0,0,X76/T76)</f>
        <v>-0.40640037674458435</v>
      </c>
    </row>
    <row r="77" spans="1:26" s="24" customFormat="1" hidden="1" outlineLevel="2" x14ac:dyDescent="0.25">
      <c r="A77" s="27"/>
      <c r="B77" s="11" t="str">
        <f>CONCATENATE("          ", "6309", " - ", "TELEPHONE")</f>
        <v xml:space="preserve">          6309 - TELEPHONE</v>
      </c>
      <c r="C77" s="11"/>
      <c r="D77" s="7">
        <v>143.1</v>
      </c>
      <c r="E77" s="2"/>
      <c r="F77" s="6">
        <f t="shared" si="48"/>
        <v>0</v>
      </c>
      <c r="G77" s="2"/>
      <c r="H77" s="7">
        <v>553</v>
      </c>
      <c r="I77" s="2"/>
      <c r="J77" s="6">
        <f t="shared" si="49"/>
        <v>0</v>
      </c>
      <c r="K77" s="2"/>
      <c r="L77" s="7">
        <f t="shared" si="50"/>
        <v>-409.9</v>
      </c>
      <c r="M77" s="2"/>
      <c r="N77" s="6">
        <f t="shared" si="51"/>
        <v>-0.74122965641952976</v>
      </c>
      <c r="O77" s="11"/>
      <c r="P77" s="7">
        <v>1386.53</v>
      </c>
      <c r="Q77" s="2"/>
      <c r="R77" s="6">
        <f t="shared" si="52"/>
        <v>0</v>
      </c>
      <c r="S77" s="2"/>
      <c r="T77" s="7">
        <v>2335.8000000000002</v>
      </c>
      <c r="U77" s="2"/>
      <c r="V77" s="6">
        <f t="shared" si="53"/>
        <v>0</v>
      </c>
      <c r="W77" s="2"/>
      <c r="X77" s="7">
        <f t="shared" si="54"/>
        <v>-949.27000000000021</v>
      </c>
      <c r="Y77" s="2"/>
      <c r="Z77" s="6">
        <f t="shared" si="55"/>
        <v>-0.40640037674458435</v>
      </c>
    </row>
    <row r="78" spans="1:26" s="25" customFormat="1" outlineLevel="1" collapsed="1" x14ac:dyDescent="0.25">
      <c r="A78" s="26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SUM(OSRRefD22_17x_0)</f>
        <v>0</v>
      </c>
      <c r="E78" s="1"/>
      <c r="F78" s="5">
        <f t="shared" si="48"/>
        <v>0</v>
      </c>
      <c r="G78" s="1"/>
      <c r="H78" s="1">
        <f>SUM(OSRRefH22_17x_0)</f>
        <v>0</v>
      </c>
      <c r="I78" s="1"/>
      <c r="J78" s="5">
        <f t="shared" si="49"/>
        <v>0</v>
      </c>
      <c r="K78" s="1"/>
      <c r="L78" s="1">
        <f t="shared" si="50"/>
        <v>0</v>
      </c>
      <c r="M78" s="1"/>
      <c r="N78" s="5">
        <f t="shared" si="51"/>
        <v>0</v>
      </c>
      <c r="O78" s="13"/>
      <c r="P78" s="1">
        <f>SUM(OSRRefP22_17x_0)</f>
        <v>0</v>
      </c>
      <c r="Q78" s="1"/>
      <c r="R78" s="5">
        <f t="shared" si="52"/>
        <v>0</v>
      </c>
      <c r="S78" s="1"/>
      <c r="T78" s="1">
        <f>SUM(OSRRefT22_17x_0)</f>
        <v>240</v>
      </c>
      <c r="U78" s="1"/>
      <c r="V78" s="5">
        <f t="shared" si="53"/>
        <v>0</v>
      </c>
      <c r="W78" s="1"/>
      <c r="X78" s="1">
        <f t="shared" si="54"/>
        <v>-240</v>
      </c>
      <c r="Y78" s="1"/>
      <c r="Z78" s="5">
        <f t="shared" si="55"/>
        <v>-1</v>
      </c>
    </row>
    <row r="79" spans="1:26" s="24" customFormat="1" hidden="1" outlineLevel="2" x14ac:dyDescent="0.25">
      <c r="A79" s="27"/>
      <c r="B79" s="11" t="str">
        <f>CONCATENATE("          ", "6376", " - ", "TRAINING")</f>
        <v xml:space="preserve">          6376 - TRAINING</v>
      </c>
      <c r="C79" s="11"/>
      <c r="D79" s="7"/>
      <c r="E79" s="2"/>
      <c r="F79" s="6">
        <f t="shared" si="48"/>
        <v>0</v>
      </c>
      <c r="G79" s="2"/>
      <c r="H79" s="7"/>
      <c r="I79" s="2"/>
      <c r="J79" s="6">
        <f t="shared" si="49"/>
        <v>0</v>
      </c>
      <c r="K79" s="2"/>
      <c r="L79" s="7">
        <f t="shared" si="50"/>
        <v>0</v>
      </c>
      <c r="M79" s="2"/>
      <c r="N79" s="6">
        <f t="shared" si="51"/>
        <v>0</v>
      </c>
      <c r="O79" s="11"/>
      <c r="P79" s="7"/>
      <c r="Q79" s="2"/>
      <c r="R79" s="6">
        <f t="shared" si="52"/>
        <v>0</v>
      </c>
      <c r="S79" s="2"/>
      <c r="T79" s="7">
        <v>240</v>
      </c>
      <c r="U79" s="2"/>
      <c r="V79" s="6">
        <f t="shared" si="53"/>
        <v>0</v>
      </c>
      <c r="W79" s="2"/>
      <c r="X79" s="7">
        <f t="shared" si="54"/>
        <v>-240</v>
      </c>
      <c r="Y79" s="2"/>
      <c r="Z79" s="6">
        <f t="shared" si="55"/>
        <v>-1</v>
      </c>
    </row>
    <row r="80" spans="1:26" s="25" customFormat="1" outlineLevel="1" collapsed="1" x14ac:dyDescent="0.25">
      <c r="A80" s="26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SUM(OSRRefD22_18x_0)</f>
        <v>0</v>
      </c>
      <c r="E80" s="1"/>
      <c r="F80" s="5">
        <f t="shared" si="48"/>
        <v>0</v>
      </c>
      <c r="G80" s="1"/>
      <c r="H80" s="1">
        <f>SUM(OSRRefH22_18x_0)</f>
        <v>271.76</v>
      </c>
      <c r="I80" s="1"/>
      <c r="J80" s="5">
        <f t="shared" si="49"/>
        <v>0</v>
      </c>
      <c r="K80" s="1"/>
      <c r="L80" s="1">
        <f t="shared" si="50"/>
        <v>-271.76</v>
      </c>
      <c r="M80" s="1"/>
      <c r="N80" s="5">
        <f t="shared" si="51"/>
        <v>-1</v>
      </c>
      <c r="O80" s="13"/>
      <c r="P80" s="1">
        <f>SUM(OSRRefP22_18x_0)</f>
        <v>332.21</v>
      </c>
      <c r="Q80" s="1"/>
      <c r="R80" s="5">
        <f t="shared" si="52"/>
        <v>0</v>
      </c>
      <c r="S80" s="1"/>
      <c r="T80" s="1">
        <f>SUM(OSRRefT22_18x_0)</f>
        <v>1674.67</v>
      </c>
      <c r="U80" s="1"/>
      <c r="V80" s="5">
        <f t="shared" si="53"/>
        <v>0</v>
      </c>
      <c r="W80" s="1"/>
      <c r="X80" s="1">
        <f t="shared" si="54"/>
        <v>-1342.46</v>
      </c>
      <c r="Y80" s="1"/>
      <c r="Z80" s="5">
        <f t="shared" si="55"/>
        <v>-0.80162658911905027</v>
      </c>
    </row>
    <row r="81" spans="1:26" s="24" customFormat="1" hidden="1" outlineLevel="2" x14ac:dyDescent="0.25">
      <c r="A81" s="27"/>
      <c r="B81" s="11" t="str">
        <f>CONCATENATE("          ", "6292", " - ", "TRAVEL/CONFERENCE")</f>
        <v xml:space="preserve">          6292 - TRAVEL/CONFERENCE</v>
      </c>
      <c r="C81" s="11"/>
      <c r="D81" s="7"/>
      <c r="E81" s="2"/>
      <c r="F81" s="6">
        <f t="shared" si="48"/>
        <v>0</v>
      </c>
      <c r="G81" s="2"/>
      <c r="H81" s="7">
        <v>157.08000000000001</v>
      </c>
      <c r="I81" s="2"/>
      <c r="J81" s="6">
        <f t="shared" si="49"/>
        <v>0</v>
      </c>
      <c r="K81" s="2"/>
      <c r="L81" s="7">
        <f t="shared" si="50"/>
        <v>-157.08000000000001</v>
      </c>
      <c r="M81" s="2"/>
      <c r="N81" s="6">
        <f t="shared" si="51"/>
        <v>-1</v>
      </c>
      <c r="O81" s="11"/>
      <c r="P81" s="7"/>
      <c r="Q81" s="2"/>
      <c r="R81" s="6">
        <f t="shared" si="52"/>
        <v>0</v>
      </c>
      <c r="S81" s="2"/>
      <c r="T81" s="7">
        <v>856.45</v>
      </c>
      <c r="U81" s="2"/>
      <c r="V81" s="6">
        <f t="shared" si="53"/>
        <v>0</v>
      </c>
      <c r="W81" s="2"/>
      <c r="X81" s="7">
        <f t="shared" si="54"/>
        <v>-856.45</v>
      </c>
      <c r="Y81" s="2"/>
      <c r="Z81" s="6">
        <f t="shared" si="55"/>
        <v>-1</v>
      </c>
    </row>
    <row r="82" spans="1:26" s="24" customFormat="1" hidden="1" outlineLevel="2" x14ac:dyDescent="0.25">
      <c r="A82" s="27"/>
      <c r="B82" s="11" t="str">
        <f>CONCATENATE("          ", "6294", " - ", "TRAVEL OPERATIONAL")</f>
        <v xml:space="preserve">          6294 - TRAVEL OPERATIONAL</v>
      </c>
      <c r="C82" s="11"/>
      <c r="D82" s="7"/>
      <c r="E82" s="2"/>
      <c r="F82" s="6">
        <f t="shared" si="48"/>
        <v>0</v>
      </c>
      <c r="G82" s="2"/>
      <c r="H82" s="7"/>
      <c r="I82" s="2"/>
      <c r="J82" s="6">
        <f t="shared" si="49"/>
        <v>0</v>
      </c>
      <c r="K82" s="2"/>
      <c r="L82" s="7">
        <f t="shared" si="50"/>
        <v>0</v>
      </c>
      <c r="M82" s="2"/>
      <c r="N82" s="6">
        <f t="shared" si="51"/>
        <v>0</v>
      </c>
      <c r="O82" s="11"/>
      <c r="P82" s="7"/>
      <c r="Q82" s="2"/>
      <c r="R82" s="6">
        <f t="shared" si="52"/>
        <v>0</v>
      </c>
      <c r="S82" s="2"/>
      <c r="T82" s="7">
        <v>45.49</v>
      </c>
      <c r="U82" s="2"/>
      <c r="V82" s="6">
        <f t="shared" si="53"/>
        <v>0</v>
      </c>
      <c r="W82" s="2"/>
      <c r="X82" s="7">
        <f t="shared" si="54"/>
        <v>-45.49</v>
      </c>
      <c r="Y82" s="2"/>
      <c r="Z82" s="6">
        <f t="shared" si="55"/>
        <v>-1</v>
      </c>
    </row>
    <row r="83" spans="1:26" s="24" customFormat="1" hidden="1" outlineLevel="2" x14ac:dyDescent="0.25">
      <c r="A83" s="27"/>
      <c r="B83" s="11" t="str">
        <f>CONCATENATE("          ", "6298", " - ", "VEHICLE MILEAGE")</f>
        <v xml:space="preserve">          6298 - VEHICLE MILEAGE</v>
      </c>
      <c r="C83" s="11"/>
      <c r="D83" s="7"/>
      <c r="E83" s="2"/>
      <c r="F83" s="6">
        <f t="shared" si="48"/>
        <v>0</v>
      </c>
      <c r="G83" s="2"/>
      <c r="H83" s="7">
        <v>114.68</v>
      </c>
      <c r="I83" s="2"/>
      <c r="J83" s="6">
        <f t="shared" si="49"/>
        <v>0</v>
      </c>
      <c r="K83" s="2"/>
      <c r="L83" s="7">
        <f t="shared" si="50"/>
        <v>-114.68</v>
      </c>
      <c r="M83" s="2"/>
      <c r="N83" s="6">
        <f t="shared" si="51"/>
        <v>-1</v>
      </c>
      <c r="O83" s="11"/>
      <c r="P83" s="7">
        <v>332.21</v>
      </c>
      <c r="Q83" s="2"/>
      <c r="R83" s="6">
        <f t="shared" si="52"/>
        <v>0</v>
      </c>
      <c r="S83" s="2"/>
      <c r="T83" s="7">
        <v>772.73</v>
      </c>
      <c r="U83" s="2"/>
      <c r="V83" s="6">
        <f t="shared" si="53"/>
        <v>0</v>
      </c>
      <c r="W83" s="2"/>
      <c r="X83" s="7">
        <f t="shared" si="54"/>
        <v>-440.52000000000004</v>
      </c>
      <c r="Y83" s="2"/>
      <c r="Z83" s="6">
        <f t="shared" si="55"/>
        <v>-0.57008269382578658</v>
      </c>
    </row>
    <row r="84" spans="1:26" s="25" customFormat="1" outlineLevel="1" collapsed="1" x14ac:dyDescent="0.25">
      <c r="A84" s="26"/>
      <c r="B84" s="13" t="str">
        <f>CONCATENATE("     ","Utilities                                         ")</f>
        <v xml:space="preserve">     Utilities                                         </v>
      </c>
      <c r="C84" s="13"/>
      <c r="D84" s="1">
        <f>SUM(OSRRefD22_19x_0)</f>
        <v>1000</v>
      </c>
      <c r="E84" s="1"/>
      <c r="F84" s="5">
        <f t="shared" ref="F84:F85" si="56">IF(D$12=0,0,D84/D$12)</f>
        <v>0</v>
      </c>
      <c r="G84" s="1"/>
      <c r="H84" s="1">
        <f>SUM(OSRRefH22_19x_0)</f>
        <v>32693</v>
      </c>
      <c r="I84" s="1"/>
      <c r="J84" s="5">
        <f t="shared" ref="J84:J85" si="57">IF(H$12=0,0,H84/H$12)</f>
        <v>0</v>
      </c>
      <c r="K84" s="1"/>
      <c r="L84" s="1">
        <f t="shared" ref="L84:L85" si="58">+D84-H84</f>
        <v>-31693</v>
      </c>
      <c r="M84" s="1"/>
      <c r="N84" s="5">
        <f t="shared" ref="N84:N85" si="59">IF(H84=0,0,L84/H84)</f>
        <v>-0.96941241244303067</v>
      </c>
      <c r="O84" s="13"/>
      <c r="P84" s="1">
        <f>SUM(OSRRefP22_19x_0)</f>
        <v>-13876</v>
      </c>
      <c r="Q84" s="1"/>
      <c r="R84" s="5">
        <f t="shared" ref="R84:R85" si="60">IF(P$12=0,0,P84/P$12)</f>
        <v>0</v>
      </c>
      <c r="S84" s="1"/>
      <c r="T84" s="1">
        <f>SUM(OSRRefT22_19x_0)</f>
        <v>81591</v>
      </c>
      <c r="U84" s="1"/>
      <c r="V84" s="5">
        <f t="shared" ref="V84:V85" si="61">IF(T$12=0,0,T84/T$12)</f>
        <v>0</v>
      </c>
      <c r="W84" s="1"/>
      <c r="X84" s="1">
        <f t="shared" ref="X84:X85" si="62">+P84-T84</f>
        <v>-95467</v>
      </c>
      <c r="Y84" s="1"/>
      <c r="Z84" s="5">
        <f t="shared" ref="Z84:Z85" si="63">IF(T84=0,0,X84/T84)</f>
        <v>-1.1700677770832568</v>
      </c>
    </row>
    <row r="85" spans="1:26" s="24" customFormat="1" hidden="1" outlineLevel="2" x14ac:dyDescent="0.25">
      <c r="A85" s="27"/>
      <c r="B85" s="11" t="str">
        <f>CONCATENATE("          ", "6274", " - ", "UTILITIES")</f>
        <v xml:space="preserve">          6274 - UTILITIES</v>
      </c>
      <c r="C85" s="11"/>
      <c r="D85" s="7">
        <v>1000</v>
      </c>
      <c r="E85" s="2"/>
      <c r="F85" s="6">
        <f t="shared" si="56"/>
        <v>0</v>
      </c>
      <c r="G85" s="2"/>
      <c r="H85" s="7">
        <v>32693</v>
      </c>
      <c r="I85" s="2"/>
      <c r="J85" s="6">
        <f t="shared" si="57"/>
        <v>0</v>
      </c>
      <c r="K85" s="2"/>
      <c r="L85" s="7">
        <f t="shared" si="58"/>
        <v>-31693</v>
      </c>
      <c r="M85" s="2"/>
      <c r="N85" s="6">
        <f t="shared" si="59"/>
        <v>-0.96941241244303067</v>
      </c>
      <c r="O85" s="11"/>
      <c r="P85" s="7">
        <v>-13876</v>
      </c>
      <c r="Q85" s="2"/>
      <c r="R85" s="6">
        <f t="shared" si="60"/>
        <v>0</v>
      </c>
      <c r="S85" s="2"/>
      <c r="T85" s="7">
        <v>81591</v>
      </c>
      <c r="U85" s="2"/>
      <c r="V85" s="6">
        <f t="shared" si="61"/>
        <v>0</v>
      </c>
      <c r="W85" s="2"/>
      <c r="X85" s="7">
        <f t="shared" si="62"/>
        <v>-95467</v>
      </c>
      <c r="Y85" s="2"/>
      <c r="Z85" s="6">
        <f t="shared" si="63"/>
        <v>-1.1700677770832568</v>
      </c>
    </row>
    <row r="86" spans="1:26" s="55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9" t="s">
        <v>0</v>
      </c>
      <c r="C87" s="10"/>
      <c r="D87" s="4">
        <f>SUM(OSRRefD25x_0)</f>
        <v>804.28</v>
      </c>
      <c r="E87" s="4"/>
      <c r="F87" s="12">
        <f t="shared" ref="F87:F89" si="64">IF(D$12=0,0,D87/D$12)</f>
        <v>0</v>
      </c>
      <c r="G87" s="4"/>
      <c r="H87" s="4">
        <f>SUM(OSRRefH25x_0)</f>
        <v>10079.92</v>
      </c>
      <c r="I87" s="4"/>
      <c r="J87" s="12">
        <f t="shared" ref="J87:J89" si="65">IF(H$12=0,0,H87/H$12)</f>
        <v>0</v>
      </c>
      <c r="K87" s="4"/>
      <c r="L87" s="4">
        <f t="shared" ref="L87:L89" si="66">+D87-H87</f>
        <v>-9275.64</v>
      </c>
      <c r="M87" s="4"/>
      <c r="N87" s="12">
        <f t="shared" ref="N87:N89" si="67">IF(H87=0,0,L87/H87)</f>
        <v>-0.92020968420384286</v>
      </c>
      <c r="O87" s="10"/>
      <c r="P87" s="4">
        <f>SUM(OSRRefP25x_0)</f>
        <v>2243.06</v>
      </c>
      <c r="Q87" s="4"/>
      <c r="R87" s="12">
        <f t="shared" ref="R87:R89" si="68">IF(P$12=0,0,P87/P$12)</f>
        <v>0</v>
      </c>
      <c r="S87" s="4"/>
      <c r="T87" s="4">
        <f>SUM(OSRRefT25x_0)</f>
        <v>66938.959999999992</v>
      </c>
      <c r="U87" s="4"/>
      <c r="V87" s="12">
        <f t="shared" ref="V87:V89" si="69">IF(T$12=0,0,T87/T$12)</f>
        <v>0</v>
      </c>
      <c r="W87" s="4"/>
      <c r="X87" s="4">
        <f t="shared" ref="X87:X89" si="70">+P87-T87</f>
        <v>-64695.899999999994</v>
      </c>
      <c r="Y87" s="4"/>
      <c r="Z87" s="12">
        <f t="shared" ref="Z87:Z89" si="71">IF(T87=0,0,X87/T87)</f>
        <v>-0.96649096430539105</v>
      </c>
    </row>
    <row r="88" spans="1:26" s="24" customFormat="1" hidden="1" outlineLevel="1" x14ac:dyDescent="0.25">
      <c r="A88" s="44"/>
      <c r="B88" s="11" t="str">
        <f>CONCATENATE("          ", "9150", " - ", "MISC. INCOME")</f>
        <v xml:space="preserve">          9150 - MISC. INCOME</v>
      </c>
      <c r="C88" s="11"/>
      <c r="D88" s="2">
        <f>--804.28</f>
        <v>804.28</v>
      </c>
      <c r="E88" s="2"/>
      <c r="F88" s="19">
        <f t="shared" si="64"/>
        <v>0</v>
      </c>
      <c r="G88" s="2"/>
      <c r="H88" s="2">
        <f>--10079.92</f>
        <v>10079.92</v>
      </c>
      <c r="I88" s="2"/>
      <c r="J88" s="19">
        <f t="shared" si="65"/>
        <v>0</v>
      </c>
      <c r="K88" s="2"/>
      <c r="L88" s="2">
        <f t="shared" si="66"/>
        <v>-9275.64</v>
      </c>
      <c r="M88" s="2"/>
      <c r="N88" s="19">
        <f t="shared" si="67"/>
        <v>-0.92020968420384286</v>
      </c>
      <c r="O88" s="11"/>
      <c r="P88" s="2">
        <f>--1616.63</f>
        <v>1616.63</v>
      </c>
      <c r="Q88" s="2"/>
      <c r="R88" s="19">
        <f t="shared" si="68"/>
        <v>0</v>
      </c>
      <c r="S88" s="2"/>
      <c r="T88" s="2">
        <f>--65928.03</f>
        <v>65928.03</v>
      </c>
      <c r="U88" s="2"/>
      <c r="V88" s="19">
        <f t="shared" si="69"/>
        <v>0</v>
      </c>
      <c r="W88" s="2"/>
      <c r="X88" s="2">
        <f t="shared" si="70"/>
        <v>-64311.4</v>
      </c>
      <c r="Y88" s="2"/>
      <c r="Z88" s="19">
        <f t="shared" si="71"/>
        <v>-0.97547886687953522</v>
      </c>
    </row>
    <row r="89" spans="1:26" s="24" customFormat="1" hidden="1" outlineLevel="1" x14ac:dyDescent="0.25">
      <c r="A89" s="44"/>
      <c r="B89" s="11" t="str">
        <f>CONCATENATE("          ", "9160", " - ", "MISC. INCOME")</f>
        <v xml:space="preserve">          9160 - MISC. INCOME</v>
      </c>
      <c r="C89" s="11"/>
      <c r="D89" s="2">
        <f>0</f>
        <v>0</v>
      </c>
      <c r="E89" s="2"/>
      <c r="F89" s="19">
        <f t="shared" si="64"/>
        <v>0</v>
      </c>
      <c r="G89" s="2"/>
      <c r="H89" s="2">
        <f>0</f>
        <v>0</v>
      </c>
      <c r="I89" s="2"/>
      <c r="J89" s="19">
        <f t="shared" si="65"/>
        <v>0</v>
      </c>
      <c r="K89" s="2"/>
      <c r="L89" s="2">
        <f t="shared" si="66"/>
        <v>0</v>
      </c>
      <c r="M89" s="2"/>
      <c r="N89" s="19">
        <f t="shared" si="67"/>
        <v>0</v>
      </c>
      <c r="O89" s="11"/>
      <c r="P89" s="2">
        <f>--626.43</f>
        <v>626.42999999999995</v>
      </c>
      <c r="Q89" s="2"/>
      <c r="R89" s="19">
        <f t="shared" si="68"/>
        <v>0</v>
      </c>
      <c r="S89" s="2"/>
      <c r="T89" s="2">
        <f>--1010.93</f>
        <v>1010.93</v>
      </c>
      <c r="U89" s="2"/>
      <c r="V89" s="19">
        <f t="shared" si="69"/>
        <v>0</v>
      </c>
      <c r="W89" s="2"/>
      <c r="X89" s="2">
        <f t="shared" si="70"/>
        <v>-384.5</v>
      </c>
      <c r="Y89" s="2"/>
      <c r="Z89" s="19">
        <f t="shared" si="71"/>
        <v>-0.3803428526208541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8" t="s">
        <v>3</v>
      </c>
      <c r="C91" s="28"/>
      <c r="D91" s="20">
        <f>+D16-D18+D87</f>
        <v>-32392.589999999997</v>
      </c>
      <c r="E91" s="14"/>
      <c r="F91" s="21">
        <f>IF(D$12=0,0,D91/D$12)</f>
        <v>0</v>
      </c>
      <c r="G91" s="14"/>
      <c r="H91" s="20">
        <f>+H16-H18+H87</f>
        <v>-110994.83</v>
      </c>
      <c r="I91" s="14"/>
      <c r="J91" s="21">
        <f>IF(H$12=0,0,H91/H$12)</f>
        <v>0</v>
      </c>
      <c r="K91" s="15"/>
      <c r="L91" s="20">
        <f>+D91-H91</f>
        <v>78602.240000000005</v>
      </c>
      <c r="M91" s="15"/>
      <c r="N91" s="21">
        <f>IF(H91=0,0,L91/H91)</f>
        <v>-0.70816127201600299</v>
      </c>
      <c r="O91" s="29"/>
      <c r="P91" s="20">
        <f>+P16-P18+P87</f>
        <v>-150153.20000000004</v>
      </c>
      <c r="Q91" s="14"/>
      <c r="R91" s="21">
        <f>IF(P$12=0,0,P91/P$12)</f>
        <v>0</v>
      </c>
      <c r="S91" s="14"/>
      <c r="T91" s="20">
        <f>+T16-T18+T87</f>
        <v>-537483.51</v>
      </c>
      <c r="U91" s="14"/>
      <c r="V91" s="21">
        <f>IF(T$12=0,0,T91/T$12)</f>
        <v>0</v>
      </c>
      <c r="W91" s="15"/>
      <c r="X91" s="20">
        <f>+P91-T91</f>
        <v>387330.30999999994</v>
      </c>
      <c r="Y91" s="15"/>
      <c r="Z91" s="21">
        <f>IF(T91=0,0,X91/T91)</f>
        <v>-0.72063663869427352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13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4</v>
      </c>
      <c r="C95" s="28"/>
      <c r="D95" s="33">
        <f>+D91-D93</f>
        <v>-32392.589999999997</v>
      </c>
      <c r="E95" s="14"/>
      <c r="F95" s="34">
        <f>IF(D$12=0,0,D95/D$12)</f>
        <v>0</v>
      </c>
      <c r="G95" s="14"/>
      <c r="H95" s="33">
        <f>+H91-H93</f>
        <v>-110994.83</v>
      </c>
      <c r="I95" s="14"/>
      <c r="J95" s="34">
        <f>IF(H$12=0,0,H95/H$12)</f>
        <v>0</v>
      </c>
      <c r="K95" s="15"/>
      <c r="L95" s="33">
        <f>D95-H95</f>
        <v>78602.240000000005</v>
      </c>
      <c r="M95" s="15"/>
      <c r="N95" s="34">
        <f>IF(H95=0,0,L95/H95)</f>
        <v>-0.70816127201600299</v>
      </c>
      <c r="O95" s="29"/>
      <c r="P95" s="33">
        <f>+P91-P93</f>
        <v>-150153.20000000004</v>
      </c>
      <c r="Q95" s="14"/>
      <c r="R95" s="34">
        <f>IF(P$12=0,0,P95/P$12)</f>
        <v>0</v>
      </c>
      <c r="S95" s="14"/>
      <c r="T95" s="33">
        <f>+T91-T93</f>
        <v>-537483.51</v>
      </c>
      <c r="U95" s="14"/>
      <c r="V95" s="34">
        <f>IF(T$12=0,0,T95/T$12)</f>
        <v>0</v>
      </c>
      <c r="W95" s="15"/>
      <c r="X95" s="33">
        <f>P95-T95</f>
        <v>387330.30999999994</v>
      </c>
      <c r="Y95" s="15"/>
      <c r="Z95" s="34">
        <f>IF(T95=0,0,X95/T95)</f>
        <v>-0.72063663869427352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5</v>
      </c>
      <c r="C98" s="28"/>
      <c r="D98" s="30">
        <f>SUM(D95:D97)</f>
        <v>-32392.589999999997</v>
      </c>
      <c r="E98" s="14"/>
      <c r="F98" s="32">
        <f>IF(D$12=0,0,D98/D$12)</f>
        <v>0</v>
      </c>
      <c r="G98" s="14"/>
      <c r="H98" s="30">
        <f>SUM(H95:H97)</f>
        <v>-110994.83</v>
      </c>
      <c r="I98" s="14"/>
      <c r="J98" s="32">
        <f>IF(H$12=0,0,H98/H$12)</f>
        <v>0</v>
      </c>
      <c r="K98" s="15"/>
      <c r="L98" s="30">
        <f>+D98-H98</f>
        <v>78602.240000000005</v>
      </c>
      <c r="M98" s="15"/>
      <c r="N98" s="32">
        <f>IF(H98=0,0,L98/H98)</f>
        <v>-0.70816127201600299</v>
      </c>
      <c r="O98" s="29"/>
      <c r="P98" s="30">
        <f>SUM(P95:P97)</f>
        <v>-150153.20000000004</v>
      </c>
      <c r="Q98" s="14"/>
      <c r="R98" s="32">
        <f>IF(P$12=0,0,P98/P$12)</f>
        <v>0</v>
      </c>
      <c r="S98" s="14"/>
      <c r="T98" s="30">
        <f>SUM(T95:T97)</f>
        <v>-537483.51</v>
      </c>
      <c r="U98" s="14"/>
      <c r="V98" s="32">
        <f>IF(T$12=0,0,T98/T$12)</f>
        <v>0</v>
      </c>
      <c r="W98" s="15"/>
      <c r="X98" s="30">
        <f>+P98-T98</f>
        <v>387330.30999999994</v>
      </c>
      <c r="Y98" s="15"/>
      <c r="Z98" s="32">
        <f>IF(T98=0,0,X98/T98)</f>
        <v>-0.72063663869427352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25">
      <c r="A100" s="9"/>
      <c r="B100" s="58">
        <v>44209.522038159725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61" t="s">
        <v>313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7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","412", " - ", "Chartroom")</f>
        <v>Department 412 - Chartroom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17857.580000000002</v>
      </c>
      <c r="I12" s="4"/>
      <c r="J12" s="12"/>
      <c r="K12" s="4"/>
      <c r="L12" s="4">
        <f t="shared" ref="L12:L14" si="0">+D12-H12</f>
        <v>-17857.580000000002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327912.18</v>
      </c>
      <c r="U12" s="4"/>
      <c r="V12" s="12"/>
      <c r="W12" s="4"/>
      <c r="X12" s="4">
        <f t="shared" ref="X12:X14" si="2">+P12-T12</f>
        <v>-327912.18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>
        <f>--13780.11</f>
        <v>13780.11</v>
      </c>
      <c r="I13" s="2"/>
      <c r="J13" s="19"/>
      <c r="K13" s="2"/>
      <c r="L13" s="2">
        <f t="shared" si="0"/>
        <v>-13780.11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--293626</f>
        <v>293626</v>
      </c>
      <c r="U13" s="2"/>
      <c r="V13" s="19"/>
      <c r="W13" s="2"/>
      <c r="X13" s="2">
        <f t="shared" si="2"/>
        <v>-293626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 t="shared" si="4"/>
        <v>0</v>
      </c>
      <c r="E14" s="2"/>
      <c r="F14" s="19"/>
      <c r="G14" s="2"/>
      <c r="H14" s="2">
        <f>--4077.47</f>
        <v>4077.47</v>
      </c>
      <c r="I14" s="2"/>
      <c r="J14" s="19"/>
      <c r="K14" s="2"/>
      <c r="L14" s="2">
        <f t="shared" si="0"/>
        <v>-4077.47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--34286.18</f>
        <v>34286.18</v>
      </c>
      <c r="U14" s="2"/>
      <c r="V14" s="19"/>
      <c r="W14" s="2"/>
      <c r="X14" s="2">
        <f t="shared" si="2"/>
        <v>-34286.18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22777.279999999999</v>
      </c>
      <c r="I16" s="4"/>
      <c r="J16" s="12">
        <f t="shared" ref="J16:J17" si="7">IF(H$12=0,0,H16/H$12)</f>
        <v>1.2754964558467607</v>
      </c>
      <c r="K16" s="4"/>
      <c r="L16" s="4">
        <f t="shared" ref="L16:L17" si="8">+D16-H16</f>
        <v>-22777.279999999999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140186.66999999998</v>
      </c>
      <c r="U16" s="4"/>
      <c r="V16" s="12">
        <f t="shared" ref="V16:V17" si="11">IF(T$12=0,0,T16/T$12)</f>
        <v>0.4275128481046358</v>
      </c>
      <c r="W16" s="4"/>
      <c r="X16" s="4">
        <f t="shared" ref="X16:X17" si="12">+P16-T16</f>
        <v>-140186.66999999998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22777.279999999999</v>
      </c>
      <c r="I17" s="2"/>
      <c r="J17" s="19">
        <f t="shared" si="7"/>
        <v>1.2754964558467607</v>
      </c>
      <c r="K17" s="2"/>
      <c r="L17" s="2">
        <f t="shared" si="8"/>
        <v>-22777.279999999999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140186.66999999998</v>
      </c>
      <c r="U17" s="2"/>
      <c r="V17" s="19">
        <f t="shared" si="11"/>
        <v>0.4275128481046358</v>
      </c>
      <c r="W17" s="2"/>
      <c r="X17" s="2">
        <f t="shared" si="12"/>
        <v>-140186.66999999998</v>
      </c>
      <c r="Y17" s="2"/>
      <c r="Z17" s="19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6</v>
      </c>
      <c r="C19" s="28"/>
      <c r="D19" s="20">
        <f>D12-D16</f>
        <v>0</v>
      </c>
      <c r="E19" s="14"/>
      <c r="F19" s="21">
        <f>IF(D$12=0,0,D19/D$12)</f>
        <v>0</v>
      </c>
      <c r="G19" s="14"/>
      <c r="H19" s="20">
        <f>H12-H16</f>
        <v>-4919.6999999999971</v>
      </c>
      <c r="I19" s="14"/>
      <c r="J19" s="21">
        <f>IF(H$12=0,0,H19/H$12)</f>
        <v>-0.27549645584676069</v>
      </c>
      <c r="K19" s="15"/>
      <c r="L19" s="20">
        <f>+D19-H19</f>
        <v>4919.6999999999971</v>
      </c>
      <c r="M19" s="15"/>
      <c r="N19" s="21">
        <f>IF(H19=0,0,L19/H19)</f>
        <v>-1</v>
      </c>
      <c r="O19" s="29"/>
      <c r="P19" s="20">
        <f>P12-P16</f>
        <v>0</v>
      </c>
      <c r="Q19" s="14"/>
      <c r="R19" s="21">
        <f>IF(P$12=0,0,P19/P$12)</f>
        <v>0</v>
      </c>
      <c r="S19" s="14"/>
      <c r="T19" s="20">
        <f>T12-T16</f>
        <v>187725.51</v>
      </c>
      <c r="U19" s="14"/>
      <c r="V19" s="21">
        <f>IF(T$12=0,0,T19/T$12)</f>
        <v>0.57248715189536425</v>
      </c>
      <c r="W19" s="15"/>
      <c r="X19" s="20">
        <f>+P19-T19</f>
        <v>-187725.51</v>
      </c>
      <c r="Y19" s="15"/>
      <c r="Z19" s="21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9</v>
      </c>
      <c r="C21" s="10"/>
      <c r="D21" s="22">
        <f>SUM(OSRRefD22x_0)</f>
        <v>673.96</v>
      </c>
      <c r="E21" s="22"/>
      <c r="F21" s="36">
        <f t="shared" ref="F21:F30" si="14">IF(D$12=0,0,D21/D$12)</f>
        <v>0</v>
      </c>
      <c r="G21" s="22"/>
      <c r="H21" s="22">
        <f>SUM(OSRRefH22x_0)</f>
        <v>28555.040000000001</v>
      </c>
      <c r="I21" s="22"/>
      <c r="J21" s="36">
        <f t="shared" ref="J21:J30" si="15">IF(H$12=0,0,H21/H$12)</f>
        <v>1.5990430954250239</v>
      </c>
      <c r="K21" s="4"/>
      <c r="L21" s="22">
        <f t="shared" ref="L21:L30" si="16">+D21-H21</f>
        <v>-27881.08</v>
      </c>
      <c r="M21" s="4"/>
      <c r="N21" s="36">
        <f t="shared" ref="N21:N30" si="17">IF(H21=0,0,L21/H21)</f>
        <v>-0.97639786181353627</v>
      </c>
      <c r="O21" s="10"/>
      <c r="P21" s="22">
        <f>SUM(OSRRefP22x_0)</f>
        <v>6049.53</v>
      </c>
      <c r="Q21" s="22"/>
      <c r="R21" s="36">
        <f t="shared" ref="R21:R30" si="18">IF(P$12=0,0,P21/P$12)</f>
        <v>0</v>
      </c>
      <c r="S21" s="22"/>
      <c r="T21" s="22">
        <f>SUM(OSRRefT22x_0)</f>
        <v>257711.46</v>
      </c>
      <c r="U21" s="22"/>
      <c r="V21" s="36">
        <f t="shared" ref="V21:V30" si="19">IF(T$12=0,0,T21/T$12)</f>
        <v>0.78591609497396531</v>
      </c>
      <c r="W21" s="4"/>
      <c r="X21" s="22">
        <f t="shared" ref="X21:X30" si="20">+P21-T21</f>
        <v>-251661.93</v>
      </c>
      <c r="Y21" s="4"/>
      <c r="Z21" s="36">
        <f t="shared" ref="Z21:Z30" si="21">IF(T21=0,0,X21/T21)</f>
        <v>-0.97652595658726238</v>
      </c>
    </row>
    <row r="22" spans="1:26" s="25" customFormat="1" outlineLevel="1" collapsed="1" x14ac:dyDescent="0.25">
      <c r="A22" s="26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8245.15</v>
      </c>
      <c r="I22" s="1"/>
      <c r="J22" s="5">
        <f t="shared" si="15"/>
        <v>0.46171709716546133</v>
      </c>
      <c r="K22" s="1"/>
      <c r="L22" s="1">
        <f t="shared" si="16"/>
        <v>-8245.15</v>
      </c>
      <c r="M22" s="1"/>
      <c r="N22" s="5">
        <f t="shared" si="17"/>
        <v>-1</v>
      </c>
      <c r="O22" s="13"/>
      <c r="P22" s="1">
        <f>SUM(OSRRefP22_0x_0)</f>
        <v>0</v>
      </c>
      <c r="Q22" s="1"/>
      <c r="R22" s="5">
        <f t="shared" si="18"/>
        <v>0</v>
      </c>
      <c r="S22" s="1"/>
      <c r="T22" s="1">
        <f>SUM(OSRRefT22_0x_0)</f>
        <v>69185.59</v>
      </c>
      <c r="U22" s="1"/>
      <c r="V22" s="5">
        <f t="shared" si="19"/>
        <v>0.21098816762463657</v>
      </c>
      <c r="W22" s="1"/>
      <c r="X22" s="1">
        <f t="shared" si="20"/>
        <v>-69185.59</v>
      </c>
      <c r="Y22" s="1"/>
      <c r="Z22" s="5">
        <f t="shared" si="21"/>
        <v>-1</v>
      </c>
    </row>
    <row r="23" spans="1:26" s="24" customFormat="1" hidden="1" outlineLevel="2" x14ac:dyDescent="0.25">
      <c r="A23" s="27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852.44</v>
      </c>
      <c r="I23" s="2"/>
      <c r="J23" s="6">
        <f t="shared" si="15"/>
        <v>4.7735471435659253E-2</v>
      </c>
      <c r="K23" s="2"/>
      <c r="L23" s="7">
        <f t="shared" si="16"/>
        <v>-852.44</v>
      </c>
      <c r="M23" s="2"/>
      <c r="N23" s="6">
        <f t="shared" si="17"/>
        <v>-1</v>
      </c>
      <c r="O23" s="11"/>
      <c r="P23" s="7"/>
      <c r="Q23" s="2"/>
      <c r="R23" s="6">
        <f t="shared" si="18"/>
        <v>0</v>
      </c>
      <c r="S23" s="2"/>
      <c r="T23" s="7">
        <v>10084.65</v>
      </c>
      <c r="U23" s="2"/>
      <c r="V23" s="6">
        <f t="shared" si="19"/>
        <v>3.0754118374010993E-2</v>
      </c>
      <c r="W23" s="2"/>
      <c r="X23" s="7">
        <f t="shared" si="20"/>
        <v>-10084.65</v>
      </c>
      <c r="Y23" s="2"/>
      <c r="Z23" s="6">
        <f t="shared" si="21"/>
        <v>-1</v>
      </c>
    </row>
    <row r="24" spans="1:26" s="24" customFormat="1" hidden="1" outlineLevel="2" x14ac:dyDescent="0.25">
      <c r="A24" s="27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661.75</v>
      </c>
      <c r="I24" s="2"/>
      <c r="J24" s="6">
        <f t="shared" si="15"/>
        <v>3.7057092842367217E-2</v>
      </c>
      <c r="K24" s="2"/>
      <c r="L24" s="7">
        <f t="shared" si="16"/>
        <v>-661.75</v>
      </c>
      <c r="M24" s="2"/>
      <c r="N24" s="6">
        <f t="shared" si="17"/>
        <v>-1</v>
      </c>
      <c r="O24" s="11"/>
      <c r="P24" s="7"/>
      <c r="Q24" s="2"/>
      <c r="R24" s="6">
        <f t="shared" si="18"/>
        <v>0</v>
      </c>
      <c r="S24" s="2"/>
      <c r="T24" s="7">
        <v>3070.79</v>
      </c>
      <c r="U24" s="2"/>
      <c r="V24" s="6">
        <f t="shared" si="19"/>
        <v>9.3646719679641062E-3</v>
      </c>
      <c r="W24" s="2"/>
      <c r="X24" s="7">
        <f t="shared" si="20"/>
        <v>-3070.79</v>
      </c>
      <c r="Y24" s="2"/>
      <c r="Z24" s="6">
        <f t="shared" si="21"/>
        <v>-1</v>
      </c>
    </row>
    <row r="25" spans="1:26" s="24" customFormat="1" hidden="1" outlineLevel="2" x14ac:dyDescent="0.25">
      <c r="A25" s="27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5223.3</v>
      </c>
      <c r="I25" s="2"/>
      <c r="J25" s="6">
        <f t="shared" si="15"/>
        <v>0.29249763965778114</v>
      </c>
      <c r="K25" s="2"/>
      <c r="L25" s="7">
        <f t="shared" si="16"/>
        <v>-5223.3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31716.940000000002</v>
      </c>
      <c r="U25" s="2"/>
      <c r="V25" s="6">
        <f t="shared" si="19"/>
        <v>9.6723885035316481E-2</v>
      </c>
      <c r="W25" s="2"/>
      <c r="X25" s="7">
        <f t="shared" si="20"/>
        <v>-31716.940000000002</v>
      </c>
      <c r="Y25" s="2"/>
      <c r="Z25" s="6">
        <f t="shared" si="21"/>
        <v>-1</v>
      </c>
    </row>
    <row r="26" spans="1:26" s="24" customFormat="1" hidden="1" outlineLevel="2" x14ac:dyDescent="0.25">
      <c r="A26" s="27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49.33</v>
      </c>
      <c r="I26" s="2"/>
      <c r="J26" s="6">
        <f t="shared" si="15"/>
        <v>2.7624123761450315E-3</v>
      </c>
      <c r="K26" s="2"/>
      <c r="L26" s="7">
        <f t="shared" si="16"/>
        <v>-49.33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377.72</v>
      </c>
      <c r="U26" s="2"/>
      <c r="V26" s="6">
        <f t="shared" si="19"/>
        <v>1.1518937783890797E-3</v>
      </c>
      <c r="W26" s="2"/>
      <c r="X26" s="7">
        <f t="shared" si="20"/>
        <v>-377.72</v>
      </c>
      <c r="Y26" s="2"/>
      <c r="Z26" s="6">
        <f t="shared" si="21"/>
        <v>-1</v>
      </c>
    </row>
    <row r="27" spans="1:26" s="24" customFormat="1" hidden="1" outlineLevel="2" x14ac:dyDescent="0.25">
      <c r="A27" s="27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214.92</v>
      </c>
      <c r="I27" s="2"/>
      <c r="J27" s="6">
        <f t="shared" si="15"/>
        <v>1.2035225377682753E-2</v>
      </c>
      <c r="K27" s="2"/>
      <c r="L27" s="7">
        <f t="shared" si="16"/>
        <v>-214.92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5463.33</v>
      </c>
      <c r="U27" s="2"/>
      <c r="V27" s="6">
        <f t="shared" si="19"/>
        <v>1.6660954771487903E-2</v>
      </c>
      <c r="W27" s="2"/>
      <c r="X27" s="7">
        <f t="shared" si="20"/>
        <v>-5463.33</v>
      </c>
      <c r="Y27" s="2"/>
      <c r="Z27" s="6">
        <f t="shared" si="21"/>
        <v>-1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4"/>
        <v>0</v>
      </c>
      <c r="G28" s="2"/>
      <c r="H28" s="7">
        <v>382.61</v>
      </c>
      <c r="I28" s="2"/>
      <c r="J28" s="6">
        <f t="shared" si="15"/>
        <v>2.1425635500442949E-2</v>
      </c>
      <c r="K28" s="2"/>
      <c r="L28" s="7">
        <f t="shared" si="16"/>
        <v>-382.61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6570.88</v>
      </c>
      <c r="U28" s="2"/>
      <c r="V28" s="6">
        <f t="shared" si="19"/>
        <v>2.0038535927515717E-2</v>
      </c>
      <c r="W28" s="2"/>
      <c r="X28" s="7">
        <f t="shared" si="20"/>
        <v>-6570.88</v>
      </c>
      <c r="Y28" s="2"/>
      <c r="Z28" s="6">
        <f t="shared" si="21"/>
        <v>-1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4"/>
        <v>0</v>
      </c>
      <c r="G29" s="2"/>
      <c r="H29" s="7">
        <v>353.36</v>
      </c>
      <c r="I29" s="2"/>
      <c r="J29" s="6">
        <f t="shared" si="15"/>
        <v>1.9787675597701369E-2</v>
      </c>
      <c r="K29" s="2"/>
      <c r="L29" s="7">
        <f t="shared" si="16"/>
        <v>-353.36</v>
      </c>
      <c r="M29" s="2"/>
      <c r="N29" s="6">
        <f t="shared" si="17"/>
        <v>-1</v>
      </c>
      <c r="O29" s="11"/>
      <c r="P29" s="7"/>
      <c r="Q29" s="2"/>
      <c r="R29" s="6">
        <f t="shared" si="18"/>
        <v>0</v>
      </c>
      <c r="S29" s="2"/>
      <c r="T29" s="7">
        <v>8888.9699999999993</v>
      </c>
      <c r="U29" s="2"/>
      <c r="V29" s="6">
        <f t="shared" si="19"/>
        <v>2.7107776234478388E-2</v>
      </c>
      <c r="W29" s="2"/>
      <c r="X29" s="7">
        <f t="shared" si="20"/>
        <v>-8888.9699999999993</v>
      </c>
      <c r="Y29" s="2"/>
      <c r="Z29" s="6">
        <f t="shared" si="21"/>
        <v>-1</v>
      </c>
    </row>
    <row r="30" spans="1:26" s="24" customFormat="1" hidden="1" outlineLevel="2" x14ac:dyDescent="0.25">
      <c r="A30" s="27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14"/>
        <v>0</v>
      </c>
      <c r="G30" s="2"/>
      <c r="H30" s="7">
        <v>507.44</v>
      </c>
      <c r="I30" s="2"/>
      <c r="J30" s="6">
        <f t="shared" si="15"/>
        <v>2.8415944377681631E-2</v>
      </c>
      <c r="K30" s="2"/>
      <c r="L30" s="7">
        <f t="shared" si="16"/>
        <v>-507.44</v>
      </c>
      <c r="M30" s="2"/>
      <c r="N30" s="6">
        <f t="shared" si="17"/>
        <v>-1</v>
      </c>
      <c r="O30" s="11"/>
      <c r="P30" s="7"/>
      <c r="Q30" s="2"/>
      <c r="R30" s="6">
        <f t="shared" si="18"/>
        <v>0</v>
      </c>
      <c r="S30" s="2"/>
      <c r="T30" s="7">
        <v>3012.31</v>
      </c>
      <c r="U30" s="2"/>
      <c r="V30" s="6">
        <f t="shared" si="19"/>
        <v>9.1863315354739194E-3</v>
      </c>
      <c r="W30" s="2"/>
      <c r="X30" s="7">
        <f t="shared" si="20"/>
        <v>-3012.31</v>
      </c>
      <c r="Y30" s="2"/>
      <c r="Z30" s="6">
        <f t="shared" si="21"/>
        <v>-1</v>
      </c>
    </row>
    <row r="31" spans="1:26" s="25" customFormat="1" outlineLevel="1" collapsed="1" x14ac:dyDescent="0.25">
      <c r="A31" s="26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0</v>
      </c>
      <c r="E31" s="1"/>
      <c r="F31" s="5">
        <f t="shared" ref="F31:F37" si="22">IF(D$12=0,0,D31/D$12)</f>
        <v>0</v>
      </c>
      <c r="G31" s="1"/>
      <c r="H31" s="1">
        <f>SUM(OSRRefH22_1x_0)</f>
        <v>15356.220000000001</v>
      </c>
      <c r="I31" s="1"/>
      <c r="J31" s="5">
        <f t="shared" ref="J31:J37" si="23">IF(H$12=0,0,H31/H$12)</f>
        <v>0.85992726898045535</v>
      </c>
      <c r="K31" s="1"/>
      <c r="L31" s="1">
        <f t="shared" ref="L31:L37" si="24">+D31-H31</f>
        <v>-15356.220000000001</v>
      </c>
      <c r="M31" s="1"/>
      <c r="N31" s="5">
        <f t="shared" ref="N31:N37" si="25">IF(H31=0,0,L31/H31)</f>
        <v>-1</v>
      </c>
      <c r="O31" s="13"/>
      <c r="P31" s="1">
        <f>SUM(OSRRefP22_1x_0)</f>
        <v>0</v>
      </c>
      <c r="Q31" s="1"/>
      <c r="R31" s="5">
        <f t="shared" ref="R31:R37" si="26">IF(P$12=0,0,P31/P$12)</f>
        <v>0</v>
      </c>
      <c r="S31" s="1"/>
      <c r="T31" s="1">
        <f>SUM(OSRRefT22_1x_0)</f>
        <v>149543.99</v>
      </c>
      <c r="U31" s="1"/>
      <c r="V31" s="5">
        <f t="shared" ref="V31:V37" si="27">IF(T$12=0,0,T31/T$12)</f>
        <v>0.4560489030935051</v>
      </c>
      <c r="W31" s="1"/>
      <c r="X31" s="1">
        <f t="shared" ref="X31:X37" si="28">+P31-T31</f>
        <v>-149543.99</v>
      </c>
      <c r="Y31" s="1"/>
      <c r="Z31" s="5">
        <f t="shared" ref="Z31:Z37" si="29">IF(T31=0,0,X31/T31)</f>
        <v>-1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2"/>
        <v>0</v>
      </c>
      <c r="G32" s="2"/>
      <c r="H32" s="7">
        <v>3076.94</v>
      </c>
      <c r="I32" s="2"/>
      <c r="J32" s="6">
        <f t="shared" si="23"/>
        <v>0.17230442198774973</v>
      </c>
      <c r="K32" s="2"/>
      <c r="L32" s="7">
        <f t="shared" si="24"/>
        <v>-3076.94</v>
      </c>
      <c r="M32" s="2"/>
      <c r="N32" s="6">
        <f t="shared" si="25"/>
        <v>-1</v>
      </c>
      <c r="O32" s="11"/>
      <c r="P32" s="7"/>
      <c r="Q32" s="2"/>
      <c r="R32" s="6">
        <f t="shared" si="26"/>
        <v>0</v>
      </c>
      <c r="S32" s="2"/>
      <c r="T32" s="7">
        <v>50284.009999999995</v>
      </c>
      <c r="U32" s="2"/>
      <c r="V32" s="6">
        <f t="shared" si="27"/>
        <v>0.15334596598394118</v>
      </c>
      <c r="W32" s="2"/>
      <c r="X32" s="7">
        <f t="shared" si="28"/>
        <v>-50284.009999999995</v>
      </c>
      <c r="Y32" s="2"/>
      <c r="Z32" s="6">
        <f t="shared" si="29"/>
        <v>-1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22"/>
        <v>0</v>
      </c>
      <c r="G33" s="2"/>
      <c r="H33" s="7">
        <v>4365.18</v>
      </c>
      <c r="I33" s="2"/>
      <c r="J33" s="6">
        <f t="shared" si="23"/>
        <v>0.2444440960085297</v>
      </c>
      <c r="K33" s="2"/>
      <c r="L33" s="7">
        <f t="shared" si="24"/>
        <v>-4365.18</v>
      </c>
      <c r="M33" s="2"/>
      <c r="N33" s="6">
        <f t="shared" si="25"/>
        <v>-1</v>
      </c>
      <c r="O33" s="11"/>
      <c r="P33" s="7"/>
      <c r="Q33" s="2"/>
      <c r="R33" s="6">
        <f t="shared" si="26"/>
        <v>0</v>
      </c>
      <c r="S33" s="2"/>
      <c r="T33" s="7">
        <v>31641.929999999997</v>
      </c>
      <c r="U33" s="2"/>
      <c r="V33" s="6">
        <f t="shared" si="27"/>
        <v>9.6495134764436011E-2</v>
      </c>
      <c r="W33" s="2"/>
      <c r="X33" s="7">
        <f t="shared" si="28"/>
        <v>-31641.929999999997</v>
      </c>
      <c r="Y33" s="2"/>
      <c r="Z33" s="6">
        <f t="shared" si="29"/>
        <v>-1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3540.22</v>
      </c>
      <c r="I34" s="2"/>
      <c r="J34" s="6">
        <f t="shared" si="23"/>
        <v>0.1982474669020102</v>
      </c>
      <c r="K34" s="2"/>
      <c r="L34" s="7">
        <f t="shared" si="24"/>
        <v>-3540.22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32738.83</v>
      </c>
      <c r="U34" s="2"/>
      <c r="V34" s="6">
        <f t="shared" si="27"/>
        <v>9.9840237712426547E-2</v>
      </c>
      <c r="W34" s="2"/>
      <c r="X34" s="7">
        <f t="shared" si="28"/>
        <v>-32738.83</v>
      </c>
      <c r="Y34" s="2"/>
      <c r="Z34" s="6">
        <f t="shared" si="29"/>
        <v>-1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2"/>
        <v>0</v>
      </c>
      <c r="G35" s="2"/>
      <c r="H35" s="7"/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1299.6300000000001</v>
      </c>
      <c r="U35" s="2"/>
      <c r="V35" s="6">
        <f t="shared" si="27"/>
        <v>3.963347747558508E-3</v>
      </c>
      <c r="W35" s="2"/>
      <c r="X35" s="7">
        <f t="shared" si="28"/>
        <v>-1299.6300000000001</v>
      </c>
      <c r="Y35" s="2"/>
      <c r="Z35" s="6">
        <f t="shared" si="29"/>
        <v>-1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2"/>
        <v>0</v>
      </c>
      <c r="G36" s="2"/>
      <c r="H36" s="7">
        <v>4373.88</v>
      </c>
      <c r="I36" s="2"/>
      <c r="J36" s="6">
        <f t="shared" si="23"/>
        <v>0.24493128408216566</v>
      </c>
      <c r="K36" s="2"/>
      <c r="L36" s="7">
        <f t="shared" si="24"/>
        <v>-4373.88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30174.37</v>
      </c>
      <c r="U36" s="2"/>
      <c r="V36" s="6">
        <f t="shared" si="27"/>
        <v>9.2019668192867984E-2</v>
      </c>
      <c r="W36" s="2"/>
      <c r="X36" s="7">
        <f t="shared" si="28"/>
        <v>-30174.37</v>
      </c>
      <c r="Y36" s="2"/>
      <c r="Z36" s="6">
        <f t="shared" si="29"/>
        <v>-1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2"/>
        <v>0</v>
      </c>
      <c r="G37" s="2"/>
      <c r="H37" s="7"/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3405.22</v>
      </c>
      <c r="U37" s="2"/>
      <c r="V37" s="6">
        <f t="shared" si="27"/>
        <v>1.0384548692274865E-2</v>
      </c>
      <c r="W37" s="2"/>
      <c r="X37" s="7">
        <f t="shared" si="28"/>
        <v>-3405.22</v>
      </c>
      <c r="Y37" s="2"/>
      <c r="Z37" s="6">
        <f t="shared" si="29"/>
        <v>-1</v>
      </c>
    </row>
    <row r="38" spans="1:26" s="25" customFormat="1" outlineLevel="1" collapsed="1" x14ac:dyDescent="0.25">
      <c r="A38" s="26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4" si="30">IF(D$12=0,0,D38/D$12)</f>
        <v>0</v>
      </c>
      <c r="G38" s="1"/>
      <c r="H38" s="1">
        <f>SUM(OSRRefH22_2x_0)</f>
        <v>0</v>
      </c>
      <c r="I38" s="1"/>
      <c r="J38" s="5">
        <f t="shared" ref="J38:J54" si="31">IF(H$12=0,0,H38/H$12)</f>
        <v>0</v>
      </c>
      <c r="K38" s="1"/>
      <c r="L38" s="1">
        <f t="shared" ref="L38:L54" si="32">+D38-H38</f>
        <v>0</v>
      </c>
      <c r="M38" s="1"/>
      <c r="N38" s="5">
        <f t="shared" ref="N38:N54" si="33">IF(H38=0,0,L38/H38)</f>
        <v>0</v>
      </c>
      <c r="O38" s="13"/>
      <c r="P38" s="1">
        <f>SUM(OSRRefP22_2x_0)</f>
        <v>0</v>
      </c>
      <c r="Q38" s="1"/>
      <c r="R38" s="5">
        <f t="shared" ref="R38:R54" si="34">IF(P$12=0,0,P38/P$12)</f>
        <v>0</v>
      </c>
      <c r="S38" s="1"/>
      <c r="T38" s="1">
        <f>SUM(OSRRefT22_2x_0)</f>
        <v>339.52</v>
      </c>
      <c r="U38" s="1"/>
      <c r="V38" s="5">
        <f t="shared" ref="V38:V54" si="35">IF(T$12=0,0,T38/T$12)</f>
        <v>1.0353991730346825E-3</v>
      </c>
      <c r="W38" s="1"/>
      <c r="X38" s="1">
        <f t="shared" ref="X38:X54" si="36">+P38-T38</f>
        <v>-339.52</v>
      </c>
      <c r="Y38" s="1"/>
      <c r="Z38" s="5">
        <f t="shared" ref="Z38:Z54" si="37">IF(T38=0,0,X38/T38)</f>
        <v>-1</v>
      </c>
    </row>
    <row r="39" spans="1:26" s="24" customFormat="1" hidden="1" outlineLevel="2" x14ac:dyDescent="0.25">
      <c r="A39" s="27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30"/>
        <v>0</v>
      </c>
      <c r="G39" s="2"/>
      <c r="H39" s="7"/>
      <c r="I39" s="2"/>
      <c r="J39" s="6">
        <f t="shared" si="31"/>
        <v>0</v>
      </c>
      <c r="K39" s="2"/>
      <c r="L39" s="7">
        <f t="shared" si="32"/>
        <v>0</v>
      </c>
      <c r="M39" s="2"/>
      <c r="N39" s="6">
        <f t="shared" si="33"/>
        <v>0</v>
      </c>
      <c r="O39" s="11"/>
      <c r="P39" s="7"/>
      <c r="Q39" s="2"/>
      <c r="R39" s="6">
        <f t="shared" si="34"/>
        <v>0</v>
      </c>
      <c r="S39" s="2"/>
      <c r="T39" s="7">
        <v>339.52</v>
      </c>
      <c r="U39" s="2"/>
      <c r="V39" s="6">
        <f t="shared" si="35"/>
        <v>1.0353991730346825E-3</v>
      </c>
      <c r="W39" s="2"/>
      <c r="X39" s="7">
        <f t="shared" si="36"/>
        <v>-339.52</v>
      </c>
      <c r="Y39" s="2"/>
      <c r="Z39" s="6">
        <f t="shared" si="37"/>
        <v>-1</v>
      </c>
    </row>
    <row r="40" spans="1:26" s="25" customFormat="1" outlineLevel="1" collapsed="1" x14ac:dyDescent="0.25">
      <c r="A40" s="26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0.56999999999999995</v>
      </c>
      <c r="I40" s="1"/>
      <c r="J40" s="5">
        <f t="shared" si="31"/>
        <v>3.1919218617528239E-5</v>
      </c>
      <c r="K40" s="1"/>
      <c r="L40" s="1">
        <f t="shared" si="32"/>
        <v>-0.56999999999999995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0.23</v>
      </c>
      <c r="U40" s="1"/>
      <c r="V40" s="5">
        <f t="shared" si="35"/>
        <v>7.0140730972542719E-7</v>
      </c>
      <c r="W40" s="1"/>
      <c r="X40" s="1">
        <f t="shared" si="36"/>
        <v>-0.23</v>
      </c>
      <c r="Y40" s="1"/>
      <c r="Z40" s="5">
        <f t="shared" si="37"/>
        <v>-1</v>
      </c>
    </row>
    <row r="41" spans="1:26" s="24" customFormat="1" hidden="1" outlineLevel="2" x14ac:dyDescent="0.25">
      <c r="A41" s="27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30"/>
        <v>0</v>
      </c>
      <c r="G41" s="2"/>
      <c r="H41" s="7">
        <v>0.56999999999999995</v>
      </c>
      <c r="I41" s="2"/>
      <c r="J41" s="6">
        <f t="shared" si="31"/>
        <v>3.1919218617528239E-5</v>
      </c>
      <c r="K41" s="2"/>
      <c r="L41" s="7">
        <f t="shared" si="32"/>
        <v>-0.56999999999999995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0.23</v>
      </c>
      <c r="U41" s="2"/>
      <c r="V41" s="6">
        <f t="shared" si="35"/>
        <v>7.0140730972542719E-7</v>
      </c>
      <c r="W41" s="2"/>
      <c r="X41" s="7">
        <f t="shared" si="36"/>
        <v>-0.23</v>
      </c>
      <c r="Y41" s="2"/>
      <c r="Z41" s="6">
        <f t="shared" si="37"/>
        <v>-1</v>
      </c>
    </row>
    <row r="42" spans="1:26" s="25" customFormat="1" outlineLevel="1" collapsed="1" x14ac:dyDescent="0.25">
      <c r="A42" s="26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452.6</v>
      </c>
      <c r="I42" s="1"/>
      <c r="J42" s="5">
        <f t="shared" si="31"/>
        <v>2.5344979554900494E-2</v>
      </c>
      <c r="K42" s="1"/>
      <c r="L42" s="1">
        <f t="shared" si="32"/>
        <v>-452.6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4559.67</v>
      </c>
      <c r="U42" s="1"/>
      <c r="V42" s="5">
        <f t="shared" si="35"/>
        <v>1.3905155947546688E-2</v>
      </c>
      <c r="W42" s="1"/>
      <c r="X42" s="1">
        <f t="shared" si="36"/>
        <v>-4559.67</v>
      </c>
      <c r="Y42" s="1"/>
      <c r="Z42" s="5">
        <f t="shared" si="37"/>
        <v>-1</v>
      </c>
    </row>
    <row r="43" spans="1:26" s="24" customFormat="1" hidden="1" outlineLevel="2" x14ac:dyDescent="0.25">
      <c r="A43" s="27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30"/>
        <v>0</v>
      </c>
      <c r="G43" s="2"/>
      <c r="H43" s="7">
        <v>452.6</v>
      </c>
      <c r="I43" s="2"/>
      <c r="J43" s="6">
        <f t="shared" si="31"/>
        <v>2.5344979554900494E-2</v>
      </c>
      <c r="K43" s="2"/>
      <c r="L43" s="7">
        <f t="shared" si="32"/>
        <v>-452.6</v>
      </c>
      <c r="M43" s="2"/>
      <c r="N43" s="6">
        <f t="shared" si="33"/>
        <v>-1</v>
      </c>
      <c r="O43" s="11"/>
      <c r="P43" s="7"/>
      <c r="Q43" s="2"/>
      <c r="R43" s="6">
        <f t="shared" si="34"/>
        <v>0</v>
      </c>
      <c r="S43" s="2"/>
      <c r="T43" s="7">
        <v>4559.67</v>
      </c>
      <c r="U43" s="2"/>
      <c r="V43" s="6">
        <f t="shared" si="35"/>
        <v>1.3905155947546688E-2</v>
      </c>
      <c r="W43" s="2"/>
      <c r="X43" s="7">
        <f t="shared" si="36"/>
        <v>-4559.67</v>
      </c>
      <c r="Y43" s="2"/>
      <c r="Z43" s="6">
        <f t="shared" si="37"/>
        <v>-1</v>
      </c>
    </row>
    <row r="44" spans="1:26" s="25" customFormat="1" outlineLevel="1" collapsed="1" x14ac:dyDescent="0.25">
      <c r="A44" s="26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577.36</v>
      </c>
      <c r="E44" s="1"/>
      <c r="F44" s="5">
        <f t="shared" si="30"/>
        <v>0</v>
      </c>
      <c r="G44" s="1"/>
      <c r="H44" s="1">
        <f>SUM(OSRRefH22_5x_0)</f>
        <v>297.99</v>
      </c>
      <c r="I44" s="1"/>
      <c r="J44" s="5">
        <f t="shared" si="31"/>
        <v>1.6687031501468844E-2</v>
      </c>
      <c r="K44" s="1"/>
      <c r="L44" s="1">
        <f t="shared" si="32"/>
        <v>279.37</v>
      </c>
      <c r="M44" s="1"/>
      <c r="N44" s="5">
        <f t="shared" si="33"/>
        <v>0.93751468170072816</v>
      </c>
      <c r="O44" s="13"/>
      <c r="P44" s="1">
        <f>SUM(OSRRefP22_5x_0)</f>
        <v>3803.15</v>
      </c>
      <c r="Q44" s="1"/>
      <c r="R44" s="5">
        <f t="shared" si="34"/>
        <v>0</v>
      </c>
      <c r="S44" s="1"/>
      <c r="T44" s="1">
        <f>SUM(OSRRefT22_5x_0)</f>
        <v>1787.94</v>
      </c>
      <c r="U44" s="1"/>
      <c r="V44" s="5">
        <f t="shared" si="35"/>
        <v>5.4524964580455661E-3</v>
      </c>
      <c r="W44" s="1"/>
      <c r="X44" s="1">
        <f t="shared" si="36"/>
        <v>2015.21</v>
      </c>
      <c r="Y44" s="1"/>
      <c r="Z44" s="5">
        <f t="shared" si="37"/>
        <v>1.1271127666476504</v>
      </c>
    </row>
    <row r="45" spans="1:26" s="24" customFormat="1" hidden="1" outlineLevel="2" x14ac:dyDescent="0.25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577.36</v>
      </c>
      <c r="E45" s="2"/>
      <c r="F45" s="6">
        <f t="shared" si="30"/>
        <v>0</v>
      </c>
      <c r="G45" s="2"/>
      <c r="H45" s="7">
        <v>297.99</v>
      </c>
      <c r="I45" s="2"/>
      <c r="J45" s="6">
        <f t="shared" si="31"/>
        <v>1.6687031501468844E-2</v>
      </c>
      <c r="K45" s="2"/>
      <c r="L45" s="7">
        <f t="shared" si="32"/>
        <v>279.37</v>
      </c>
      <c r="M45" s="2"/>
      <c r="N45" s="6">
        <f t="shared" si="33"/>
        <v>0.93751468170072816</v>
      </c>
      <c r="O45" s="11"/>
      <c r="P45" s="7">
        <v>3803.15</v>
      </c>
      <c r="Q45" s="2"/>
      <c r="R45" s="6">
        <f t="shared" si="34"/>
        <v>0</v>
      </c>
      <c r="S45" s="2"/>
      <c r="T45" s="7">
        <v>1787.94</v>
      </c>
      <c r="U45" s="2"/>
      <c r="V45" s="6">
        <f t="shared" si="35"/>
        <v>5.4524964580455661E-3</v>
      </c>
      <c r="W45" s="2"/>
      <c r="X45" s="7">
        <f t="shared" si="36"/>
        <v>2015.21</v>
      </c>
      <c r="Y45" s="2"/>
      <c r="Z45" s="6">
        <f t="shared" si="37"/>
        <v>1.1271127666476504</v>
      </c>
    </row>
    <row r="46" spans="1:26" s="25" customFormat="1" outlineLevel="1" collapsed="1" x14ac:dyDescent="0.25">
      <c r="A46" s="26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60</v>
      </c>
      <c r="I46" s="1"/>
      <c r="J46" s="5">
        <f t="shared" si="31"/>
        <v>3.359917749213499E-3</v>
      </c>
      <c r="K46" s="1"/>
      <c r="L46" s="1">
        <f t="shared" si="32"/>
        <v>-60</v>
      </c>
      <c r="M46" s="1"/>
      <c r="N46" s="5">
        <f t="shared" si="33"/>
        <v>-1</v>
      </c>
      <c r="O46" s="13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60</v>
      </c>
      <c r="U46" s="1"/>
      <c r="V46" s="5">
        <f t="shared" si="35"/>
        <v>1.8297581992837228E-4</v>
      </c>
      <c r="W46" s="1"/>
      <c r="X46" s="1">
        <f t="shared" si="36"/>
        <v>-60</v>
      </c>
      <c r="Y46" s="1"/>
      <c r="Z46" s="5">
        <f t="shared" si="37"/>
        <v>-1</v>
      </c>
    </row>
    <row r="47" spans="1:26" s="24" customFormat="1" hidden="1" outlineLevel="2" x14ac:dyDescent="0.25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30"/>
        <v>0</v>
      </c>
      <c r="G47" s="2"/>
      <c r="H47" s="7">
        <v>60</v>
      </c>
      <c r="I47" s="2"/>
      <c r="J47" s="6">
        <f t="shared" si="31"/>
        <v>3.359917749213499E-3</v>
      </c>
      <c r="K47" s="2"/>
      <c r="L47" s="7">
        <f t="shared" si="32"/>
        <v>-60</v>
      </c>
      <c r="M47" s="2"/>
      <c r="N47" s="6">
        <f t="shared" si="33"/>
        <v>-1</v>
      </c>
      <c r="O47" s="11"/>
      <c r="P47" s="7"/>
      <c r="Q47" s="2"/>
      <c r="R47" s="6">
        <f t="shared" si="34"/>
        <v>0</v>
      </c>
      <c r="S47" s="2"/>
      <c r="T47" s="7">
        <v>60</v>
      </c>
      <c r="U47" s="2"/>
      <c r="V47" s="6">
        <f t="shared" si="35"/>
        <v>1.8297581992837228E-4</v>
      </c>
      <c r="W47" s="2"/>
      <c r="X47" s="7">
        <f t="shared" si="36"/>
        <v>-60</v>
      </c>
      <c r="Y47" s="2"/>
      <c r="Z47" s="6">
        <f t="shared" si="37"/>
        <v>-1</v>
      </c>
    </row>
    <row r="48" spans="1:26" s="25" customFormat="1" outlineLevel="1" collapsed="1" x14ac:dyDescent="0.25">
      <c r="A48" s="26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126.35</v>
      </c>
      <c r="I48" s="1"/>
      <c r="J48" s="5">
        <f t="shared" si="31"/>
        <v>7.0754267935520931E-3</v>
      </c>
      <c r="K48" s="1"/>
      <c r="L48" s="1">
        <f t="shared" si="32"/>
        <v>-126.35</v>
      </c>
      <c r="M48" s="1"/>
      <c r="N48" s="5">
        <f t="shared" si="33"/>
        <v>-1</v>
      </c>
      <c r="O48" s="13"/>
      <c r="P48" s="1">
        <f>SUM(OSRRefP22_7x_0)</f>
        <v>16.239999999999998</v>
      </c>
      <c r="Q48" s="1"/>
      <c r="R48" s="5">
        <f t="shared" si="34"/>
        <v>0</v>
      </c>
      <c r="S48" s="1"/>
      <c r="T48" s="1">
        <f>SUM(OSRRefT22_7x_0)</f>
        <v>599.82000000000005</v>
      </c>
      <c r="U48" s="1"/>
      <c r="V48" s="5">
        <f t="shared" si="35"/>
        <v>1.829209271823938E-3</v>
      </c>
      <c r="W48" s="1"/>
      <c r="X48" s="1">
        <f t="shared" si="36"/>
        <v>-583.58000000000004</v>
      </c>
      <c r="Y48" s="1"/>
      <c r="Z48" s="5">
        <f t="shared" si="37"/>
        <v>-0.97292521089660233</v>
      </c>
    </row>
    <row r="49" spans="1:26" s="24" customFormat="1" hidden="1" outlineLevel="2" x14ac:dyDescent="0.25">
      <c r="A49" s="27"/>
      <c r="B49" s="11" t="str">
        <f>CONCATENATE("          ", "6351", " - ", "EQUIPMENT RENTAL")</f>
        <v xml:space="preserve">          6351 - EQUIPMENT RENTAL</v>
      </c>
      <c r="C49" s="11"/>
      <c r="D49" s="7"/>
      <c r="E49" s="2"/>
      <c r="F49" s="6">
        <f t="shared" si="30"/>
        <v>0</v>
      </c>
      <c r="G49" s="2"/>
      <c r="H49" s="7">
        <v>126.35</v>
      </c>
      <c r="I49" s="2"/>
      <c r="J49" s="6">
        <f t="shared" si="31"/>
        <v>7.0754267935520931E-3</v>
      </c>
      <c r="K49" s="2"/>
      <c r="L49" s="7">
        <f t="shared" si="32"/>
        <v>-126.35</v>
      </c>
      <c r="M49" s="2"/>
      <c r="N49" s="6">
        <f t="shared" si="33"/>
        <v>-1</v>
      </c>
      <c r="O49" s="11"/>
      <c r="P49" s="7">
        <v>16.239999999999998</v>
      </c>
      <c r="Q49" s="2"/>
      <c r="R49" s="6">
        <f t="shared" si="34"/>
        <v>0</v>
      </c>
      <c r="S49" s="2"/>
      <c r="T49" s="7">
        <v>599.82000000000005</v>
      </c>
      <c r="U49" s="2"/>
      <c r="V49" s="6">
        <f t="shared" si="35"/>
        <v>1.829209271823938E-3</v>
      </c>
      <c r="W49" s="2"/>
      <c r="X49" s="7">
        <f t="shared" si="36"/>
        <v>-583.58000000000004</v>
      </c>
      <c r="Y49" s="2"/>
      <c r="Z49" s="6">
        <f t="shared" si="37"/>
        <v>-0.97292521089660233</v>
      </c>
    </row>
    <row r="50" spans="1:26" s="25" customFormat="1" outlineLevel="1" collapsed="1" x14ac:dyDescent="0.25">
      <c r="A50" s="26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34.659999999999997</v>
      </c>
      <c r="I50" s="1"/>
      <c r="J50" s="5">
        <f t="shared" si="31"/>
        <v>1.9409124864623311E-3</v>
      </c>
      <c r="K50" s="1"/>
      <c r="L50" s="1">
        <f t="shared" si="32"/>
        <v>-34.659999999999997</v>
      </c>
      <c r="M50" s="1"/>
      <c r="N50" s="5">
        <f t="shared" si="33"/>
        <v>-1</v>
      </c>
      <c r="O50" s="13"/>
      <c r="P50" s="1">
        <f>SUM(OSRRefP22_8x_0)</f>
        <v>0</v>
      </c>
      <c r="Q50" s="1"/>
      <c r="R50" s="5">
        <f t="shared" si="34"/>
        <v>0</v>
      </c>
      <c r="S50" s="1"/>
      <c r="T50" s="1">
        <f>SUM(OSRRefT22_8x_0)</f>
        <v>2491.7399999999998</v>
      </c>
      <c r="U50" s="1"/>
      <c r="V50" s="5">
        <f t="shared" si="35"/>
        <v>7.598802825805372E-3</v>
      </c>
      <c r="W50" s="1"/>
      <c r="X50" s="1">
        <f t="shared" si="36"/>
        <v>-2491.7399999999998</v>
      </c>
      <c r="Y50" s="1"/>
      <c r="Z50" s="5">
        <f t="shared" si="37"/>
        <v>-1</v>
      </c>
    </row>
    <row r="51" spans="1:26" s="24" customFormat="1" hidden="1" outlineLevel="2" x14ac:dyDescent="0.25">
      <c r="A51" s="27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30"/>
        <v>0</v>
      </c>
      <c r="G51" s="2"/>
      <c r="H51" s="7">
        <v>34.659999999999997</v>
      </c>
      <c r="I51" s="2"/>
      <c r="J51" s="6">
        <f t="shared" si="31"/>
        <v>1.9409124864623311E-3</v>
      </c>
      <c r="K51" s="2"/>
      <c r="L51" s="7">
        <f t="shared" si="32"/>
        <v>-34.659999999999997</v>
      </c>
      <c r="M51" s="2"/>
      <c r="N51" s="6">
        <f t="shared" si="33"/>
        <v>-1</v>
      </c>
      <c r="O51" s="11"/>
      <c r="P51" s="7"/>
      <c r="Q51" s="2"/>
      <c r="R51" s="6">
        <f t="shared" si="34"/>
        <v>0</v>
      </c>
      <c r="S51" s="2"/>
      <c r="T51" s="7">
        <v>2491.7399999999998</v>
      </c>
      <c r="U51" s="2"/>
      <c r="V51" s="6">
        <f t="shared" si="35"/>
        <v>7.598802825805372E-3</v>
      </c>
      <c r="W51" s="2"/>
      <c r="X51" s="7">
        <f t="shared" si="36"/>
        <v>-2491.7399999999998</v>
      </c>
      <c r="Y51" s="2"/>
      <c r="Z51" s="6">
        <f t="shared" si="37"/>
        <v>-1</v>
      </c>
    </row>
    <row r="52" spans="1:26" s="25" customFormat="1" outlineLevel="1" collapsed="1" x14ac:dyDescent="0.25">
      <c r="A52" s="26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60.6</v>
      </c>
      <c r="E52" s="1"/>
      <c r="F52" s="5">
        <f t="shared" si="30"/>
        <v>0</v>
      </c>
      <c r="G52" s="1"/>
      <c r="H52" s="1">
        <f>SUM(OSRRefH22_9x_0)</f>
        <v>1408.73</v>
      </c>
      <c r="I52" s="1"/>
      <c r="J52" s="5">
        <f t="shared" si="31"/>
        <v>7.88869488474922E-2</v>
      </c>
      <c r="K52" s="1"/>
      <c r="L52" s="1">
        <f t="shared" si="32"/>
        <v>-1348.13</v>
      </c>
      <c r="M52" s="1"/>
      <c r="N52" s="5">
        <f t="shared" si="33"/>
        <v>-0.95698253036422887</v>
      </c>
      <c r="O52" s="13"/>
      <c r="P52" s="1">
        <f>SUM(OSRRefP22_9x_0)</f>
        <v>1616.5300000000002</v>
      </c>
      <c r="Q52" s="1"/>
      <c r="R52" s="5">
        <f t="shared" si="34"/>
        <v>0</v>
      </c>
      <c r="S52" s="1"/>
      <c r="T52" s="1">
        <f>SUM(OSRRefT22_9x_0)</f>
        <v>5041.6400000000003</v>
      </c>
      <c r="U52" s="1"/>
      <c r="V52" s="5">
        <f t="shared" si="35"/>
        <v>1.5374970213061315E-2</v>
      </c>
      <c r="W52" s="1"/>
      <c r="X52" s="1">
        <f t="shared" si="36"/>
        <v>-3425.11</v>
      </c>
      <c r="Y52" s="1"/>
      <c r="Z52" s="5">
        <f t="shared" si="37"/>
        <v>-0.67936425448861881</v>
      </c>
    </row>
    <row r="53" spans="1:26" s="24" customFormat="1" hidden="1" outlineLevel="2" x14ac:dyDescent="0.25">
      <c r="A53" s="27"/>
      <c r="B53" s="11" t="str">
        <f>CONCATENATE("          ", "6373", " - ", "MAINTENANCE CONTRACTS")</f>
        <v xml:space="preserve">          6373 - MAINTENANCE CONTRACTS</v>
      </c>
      <c r="C53" s="11"/>
      <c r="D53" s="7">
        <v>60.6</v>
      </c>
      <c r="E53" s="2"/>
      <c r="F53" s="6">
        <f t="shared" si="30"/>
        <v>0</v>
      </c>
      <c r="G53" s="2"/>
      <c r="H53" s="7">
        <v>995.26</v>
      </c>
      <c r="I53" s="2"/>
      <c r="J53" s="6">
        <f t="shared" si="31"/>
        <v>5.573319565137045E-2</v>
      </c>
      <c r="K53" s="2"/>
      <c r="L53" s="7">
        <f t="shared" si="32"/>
        <v>-934.66</v>
      </c>
      <c r="M53" s="2"/>
      <c r="N53" s="6">
        <f t="shared" si="33"/>
        <v>-0.9391113879790205</v>
      </c>
      <c r="O53" s="11"/>
      <c r="P53" s="7">
        <v>278.39999999999998</v>
      </c>
      <c r="Q53" s="2"/>
      <c r="R53" s="6">
        <f t="shared" si="34"/>
        <v>0</v>
      </c>
      <c r="S53" s="2"/>
      <c r="T53" s="7">
        <v>1071.28</v>
      </c>
      <c r="U53" s="2"/>
      <c r="V53" s="6">
        <f t="shared" si="35"/>
        <v>3.2669722728811109E-3</v>
      </c>
      <c r="W53" s="2"/>
      <c r="X53" s="7">
        <f t="shared" si="36"/>
        <v>-792.88</v>
      </c>
      <c r="Y53" s="2"/>
      <c r="Z53" s="6">
        <f t="shared" si="37"/>
        <v>-0.7401239638563214</v>
      </c>
    </row>
    <row r="54" spans="1:26" s="24" customFormat="1" hidden="1" outlineLevel="2" x14ac:dyDescent="0.25">
      <c r="A54" s="27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30"/>
        <v>0</v>
      </c>
      <c r="G54" s="2"/>
      <c r="H54" s="7">
        <v>413.47</v>
      </c>
      <c r="I54" s="2"/>
      <c r="J54" s="6">
        <f t="shared" si="31"/>
        <v>2.3153753196121757E-2</v>
      </c>
      <c r="K54" s="2"/>
      <c r="L54" s="7">
        <f t="shared" si="32"/>
        <v>-413.47</v>
      </c>
      <c r="M54" s="2"/>
      <c r="N54" s="6">
        <f t="shared" si="33"/>
        <v>-1</v>
      </c>
      <c r="O54" s="11"/>
      <c r="P54" s="7">
        <v>1338.13</v>
      </c>
      <c r="Q54" s="2"/>
      <c r="R54" s="6">
        <f t="shared" si="34"/>
        <v>0</v>
      </c>
      <c r="S54" s="2"/>
      <c r="T54" s="7">
        <v>3970.36</v>
      </c>
      <c r="U54" s="2"/>
      <c r="V54" s="6">
        <f t="shared" si="35"/>
        <v>1.2107997940180203E-2</v>
      </c>
      <c r="W54" s="2"/>
      <c r="X54" s="7">
        <f t="shared" si="36"/>
        <v>-2632.23</v>
      </c>
      <c r="Y54" s="2"/>
      <c r="Z54" s="6">
        <f t="shared" si="37"/>
        <v>-0.66297010850401472</v>
      </c>
    </row>
    <row r="55" spans="1:26" s="25" customFormat="1" outlineLevel="1" collapsed="1" x14ac:dyDescent="0.25">
      <c r="A55" s="26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SUM(OSRRefD22_10x_0)</f>
        <v>0</v>
      </c>
      <c r="E55" s="1"/>
      <c r="F55" s="5">
        <f t="shared" ref="F55:F57" si="38">IF(D$12=0,0,D55/D$12)</f>
        <v>0</v>
      </c>
      <c r="G55" s="1"/>
      <c r="H55" s="1">
        <f>SUM(OSRRefH22_10x_0)</f>
        <v>1970.45</v>
      </c>
      <c r="I55" s="1"/>
      <c r="J55" s="5">
        <f t="shared" ref="J55:J57" si="39">IF(H$12=0,0,H55/H$12)</f>
        <v>0.11034249881562899</v>
      </c>
      <c r="K55" s="1"/>
      <c r="L55" s="1">
        <f t="shared" ref="L55:L57" si="40">+D55-H55</f>
        <v>-1970.45</v>
      </c>
      <c r="M55" s="1"/>
      <c r="N55" s="5">
        <f t="shared" ref="N55:N57" si="41">IF(H55=0,0,L55/H55)</f>
        <v>-1</v>
      </c>
      <c r="O55" s="13"/>
      <c r="P55" s="1">
        <f>SUM(OSRRefP22_10x_0)</f>
        <v>320.58</v>
      </c>
      <c r="Q55" s="1"/>
      <c r="R55" s="5">
        <f t="shared" ref="R55:R57" si="42">IF(P$12=0,0,P55/P$12)</f>
        <v>0</v>
      </c>
      <c r="S55" s="1"/>
      <c r="T55" s="1">
        <f>SUM(OSRRefT22_10x_0)</f>
        <v>13933.66</v>
      </c>
      <c r="U55" s="1"/>
      <c r="V55" s="5">
        <f t="shared" ref="V55:V57" si="43">IF(T$12=0,0,T55/T$12)</f>
        <v>4.2492047718386064E-2</v>
      </c>
      <c r="W55" s="1"/>
      <c r="X55" s="1">
        <f t="shared" ref="X55:X57" si="44">+P55-T55</f>
        <v>-13613.08</v>
      </c>
      <c r="Y55" s="1"/>
      <c r="Z55" s="5">
        <f t="shared" ref="Z55:Z57" si="45">IF(T55=0,0,X55/T55)</f>
        <v>-0.97699240544121213</v>
      </c>
    </row>
    <row r="56" spans="1:26" s="24" customFormat="1" hidden="1" outlineLevel="2" x14ac:dyDescent="0.25">
      <c r="A56" s="27"/>
      <c r="B56" s="11" t="str">
        <f>CONCATENATE("          ", "6283", " - ", "PLANT SERVICE")</f>
        <v xml:space="preserve">          6283 - PLANT SERVICE</v>
      </c>
      <c r="C56" s="11"/>
      <c r="D56" s="7"/>
      <c r="E56" s="2"/>
      <c r="F56" s="6">
        <f t="shared" si="38"/>
        <v>0</v>
      </c>
      <c r="G56" s="2"/>
      <c r="H56" s="7"/>
      <c r="I56" s="2"/>
      <c r="J56" s="6">
        <f t="shared" si="39"/>
        <v>0</v>
      </c>
      <c r="K56" s="2"/>
      <c r="L56" s="7">
        <f t="shared" si="40"/>
        <v>0</v>
      </c>
      <c r="M56" s="2"/>
      <c r="N56" s="6">
        <f t="shared" si="41"/>
        <v>0</v>
      </c>
      <c r="O56" s="11"/>
      <c r="P56" s="7"/>
      <c r="Q56" s="2"/>
      <c r="R56" s="6">
        <f t="shared" si="42"/>
        <v>0</v>
      </c>
      <c r="S56" s="2"/>
      <c r="T56" s="7">
        <v>251.8</v>
      </c>
      <c r="U56" s="2"/>
      <c r="V56" s="6">
        <f t="shared" si="43"/>
        <v>7.6788852429940239E-4</v>
      </c>
      <c r="W56" s="2"/>
      <c r="X56" s="7">
        <f t="shared" si="44"/>
        <v>-251.8</v>
      </c>
      <c r="Y56" s="2"/>
      <c r="Z56" s="6">
        <f t="shared" si="45"/>
        <v>-1</v>
      </c>
    </row>
    <row r="57" spans="1:26" s="24" customFormat="1" hidden="1" outlineLevel="2" x14ac:dyDescent="0.25">
      <c r="A57" s="27"/>
      <c r="B57" s="11" t="str">
        <f>CONCATENATE("          ", "6286", " - ", "LAUNDRY EXPENSE")</f>
        <v xml:space="preserve">          6286 - LAUNDRY EXPENSE</v>
      </c>
      <c r="C57" s="11"/>
      <c r="D57" s="7"/>
      <c r="E57" s="2"/>
      <c r="F57" s="6">
        <f t="shared" si="38"/>
        <v>0</v>
      </c>
      <c r="G57" s="2"/>
      <c r="H57" s="7">
        <v>1970.45</v>
      </c>
      <c r="I57" s="2"/>
      <c r="J57" s="6">
        <f t="shared" si="39"/>
        <v>0.11034249881562899</v>
      </c>
      <c r="K57" s="2"/>
      <c r="L57" s="7">
        <f t="shared" si="40"/>
        <v>-1970.45</v>
      </c>
      <c r="M57" s="2"/>
      <c r="N57" s="6">
        <f t="shared" si="41"/>
        <v>-1</v>
      </c>
      <c r="O57" s="11"/>
      <c r="P57" s="7">
        <v>320.58</v>
      </c>
      <c r="Q57" s="2"/>
      <c r="R57" s="6">
        <f t="shared" si="42"/>
        <v>0</v>
      </c>
      <c r="S57" s="2"/>
      <c r="T57" s="7">
        <v>13681.86</v>
      </c>
      <c r="U57" s="2"/>
      <c r="V57" s="6">
        <f t="shared" si="43"/>
        <v>4.172415919408666E-2</v>
      </c>
      <c r="W57" s="2"/>
      <c r="X57" s="7">
        <f t="shared" si="44"/>
        <v>-13361.28</v>
      </c>
      <c r="Y57" s="2"/>
      <c r="Z57" s="6">
        <f t="shared" si="45"/>
        <v>-0.97656897527090614</v>
      </c>
    </row>
    <row r="58" spans="1:26" s="25" customFormat="1" outlineLevel="1" collapsed="1" x14ac:dyDescent="0.25">
      <c r="A58" s="26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SUM(OSRRefD22_11x_0)</f>
        <v>0</v>
      </c>
      <c r="E58" s="1"/>
      <c r="F58" s="5">
        <f t="shared" ref="F58:F64" si="46">IF(D$12=0,0,D58/D$12)</f>
        <v>0</v>
      </c>
      <c r="G58" s="1"/>
      <c r="H58" s="1">
        <f>SUM(OSRRefH22_11x_0)</f>
        <v>379.64000000000004</v>
      </c>
      <c r="I58" s="1"/>
      <c r="J58" s="5">
        <f t="shared" ref="J58:J64" si="47">IF(H$12=0,0,H58/H$12)</f>
        <v>2.125931957185688E-2</v>
      </c>
      <c r="K58" s="1"/>
      <c r="L58" s="1">
        <f t="shared" ref="L58:L64" si="48">+D58-H58</f>
        <v>-379.64000000000004</v>
      </c>
      <c r="M58" s="1"/>
      <c r="N58" s="5">
        <f t="shared" ref="N58:N64" si="49">IF(H58=0,0,L58/H58)</f>
        <v>-1</v>
      </c>
      <c r="O58" s="13"/>
      <c r="P58" s="1">
        <f>SUM(OSRRefP22_11x_0)</f>
        <v>0</v>
      </c>
      <c r="Q58" s="1"/>
      <c r="R58" s="5">
        <f t="shared" ref="R58:R64" si="50">IF(P$12=0,0,P58/P$12)</f>
        <v>0</v>
      </c>
      <c r="S58" s="1"/>
      <c r="T58" s="1">
        <f>SUM(OSRRefT22_11x_0)</f>
        <v>8813.67</v>
      </c>
      <c r="U58" s="1"/>
      <c r="V58" s="5">
        <f t="shared" ref="V58:V64" si="51">IF(T$12=0,0,T58/T$12)</f>
        <v>2.6878141580468282E-2</v>
      </c>
      <c r="W58" s="1"/>
      <c r="X58" s="1">
        <f t="shared" ref="X58:X64" si="52">+P58-T58</f>
        <v>-8813.67</v>
      </c>
      <c r="Y58" s="1"/>
      <c r="Z58" s="5">
        <f t="shared" ref="Z58:Z64" si="53">IF(T58=0,0,X58/T58)</f>
        <v>-1</v>
      </c>
    </row>
    <row r="59" spans="1:26" s="24" customFormat="1" hidden="1" outlineLevel="2" x14ac:dyDescent="0.25">
      <c r="A59" s="27"/>
      <c r="B59" s="11" t="str">
        <f>CONCATENATE("          ", "6234", " - ", "EXPENDABLE SUPPLIES &amp; EQUIPMEN")</f>
        <v xml:space="preserve">          6234 - EXPENDABLE SUPPLIES &amp; EQUIPMEN</v>
      </c>
      <c r="C59" s="11"/>
      <c r="D59" s="7"/>
      <c r="E59" s="2"/>
      <c r="F59" s="6">
        <f t="shared" si="46"/>
        <v>0</v>
      </c>
      <c r="G59" s="2"/>
      <c r="H59" s="7"/>
      <c r="I59" s="2"/>
      <c r="J59" s="6">
        <f t="shared" si="47"/>
        <v>0</v>
      </c>
      <c r="K59" s="2"/>
      <c r="L59" s="7">
        <f t="shared" si="48"/>
        <v>0</v>
      </c>
      <c r="M59" s="2"/>
      <c r="N59" s="6">
        <f t="shared" si="49"/>
        <v>0</v>
      </c>
      <c r="O59" s="11"/>
      <c r="P59" s="7"/>
      <c r="Q59" s="2"/>
      <c r="R59" s="6">
        <f t="shared" si="50"/>
        <v>0</v>
      </c>
      <c r="S59" s="2"/>
      <c r="T59" s="7">
        <v>287.29000000000002</v>
      </c>
      <c r="U59" s="2"/>
      <c r="V59" s="6">
        <f t="shared" si="51"/>
        <v>8.761187217870346E-4</v>
      </c>
      <c r="W59" s="2"/>
      <c r="X59" s="7">
        <f t="shared" si="52"/>
        <v>-287.29000000000002</v>
      </c>
      <c r="Y59" s="2"/>
      <c r="Z59" s="6">
        <f t="shared" si="53"/>
        <v>-1</v>
      </c>
    </row>
    <row r="60" spans="1:26" s="24" customFormat="1" hidden="1" outlineLevel="2" x14ac:dyDescent="0.25">
      <c r="A60" s="27"/>
      <c r="B60" s="11" t="str">
        <f>CONCATENATE("          ", "6239", " - ", "KITCHEN SUPPLIES")</f>
        <v xml:space="preserve">          6239 - KITCHEN SUPPLIES</v>
      </c>
      <c r="C60" s="11"/>
      <c r="D60" s="7"/>
      <c r="E60" s="2"/>
      <c r="F60" s="6">
        <f t="shared" si="46"/>
        <v>0</v>
      </c>
      <c r="G60" s="2"/>
      <c r="H60" s="7"/>
      <c r="I60" s="2"/>
      <c r="J60" s="6">
        <f t="shared" si="47"/>
        <v>0</v>
      </c>
      <c r="K60" s="2"/>
      <c r="L60" s="7">
        <f t="shared" si="48"/>
        <v>0</v>
      </c>
      <c r="M60" s="2"/>
      <c r="N60" s="6">
        <f t="shared" si="49"/>
        <v>0</v>
      </c>
      <c r="O60" s="11"/>
      <c r="P60" s="7"/>
      <c r="Q60" s="2"/>
      <c r="R60" s="6">
        <f t="shared" si="50"/>
        <v>0</v>
      </c>
      <c r="S60" s="2"/>
      <c r="T60" s="7">
        <v>3349.27</v>
      </c>
      <c r="U60" s="2"/>
      <c r="V60" s="6">
        <f t="shared" si="51"/>
        <v>1.0213923740191658E-2</v>
      </c>
      <c r="W60" s="2"/>
      <c r="X60" s="7">
        <f t="shared" si="52"/>
        <v>-3349.27</v>
      </c>
      <c r="Y60" s="2"/>
      <c r="Z60" s="6">
        <f t="shared" si="53"/>
        <v>-1</v>
      </c>
    </row>
    <row r="61" spans="1:26" s="24" customFormat="1" hidden="1" outlineLevel="2" x14ac:dyDescent="0.25">
      <c r="A61" s="27"/>
      <c r="B61" s="11" t="str">
        <f>CONCATENATE("          ", "6241", " - ", "OFFICE EXPENSE")</f>
        <v xml:space="preserve">          6241 - OFFICE EXPENSE</v>
      </c>
      <c r="C61" s="11"/>
      <c r="D61" s="7"/>
      <c r="E61" s="2"/>
      <c r="F61" s="6">
        <f t="shared" si="46"/>
        <v>0</v>
      </c>
      <c r="G61" s="2"/>
      <c r="H61" s="7">
        <v>24.6</v>
      </c>
      <c r="I61" s="2"/>
      <c r="J61" s="6">
        <f t="shared" si="47"/>
        <v>1.3775662771775346E-3</v>
      </c>
      <c r="K61" s="2"/>
      <c r="L61" s="7">
        <f t="shared" si="48"/>
        <v>-24.6</v>
      </c>
      <c r="M61" s="2"/>
      <c r="N61" s="6">
        <f t="shared" si="49"/>
        <v>-1</v>
      </c>
      <c r="O61" s="11"/>
      <c r="P61" s="7"/>
      <c r="Q61" s="2"/>
      <c r="R61" s="6">
        <f t="shared" si="50"/>
        <v>0</v>
      </c>
      <c r="S61" s="2"/>
      <c r="T61" s="7">
        <v>642.72</v>
      </c>
      <c r="U61" s="2"/>
      <c r="V61" s="6">
        <f t="shared" si="51"/>
        <v>1.960036983072724E-3</v>
      </c>
      <c r="W61" s="2"/>
      <c r="X61" s="7">
        <f t="shared" si="52"/>
        <v>-642.72</v>
      </c>
      <c r="Y61" s="2"/>
      <c r="Z61" s="6">
        <f t="shared" si="53"/>
        <v>-1</v>
      </c>
    </row>
    <row r="62" spans="1:26" s="24" customFormat="1" hidden="1" outlineLevel="2" x14ac:dyDescent="0.25">
      <c r="A62" s="27"/>
      <c r="B62" s="11" t="str">
        <f>CONCATENATE("          ", "6243", " - ", "PAPER SUPPLIES")</f>
        <v xml:space="preserve">          6243 - PAPER SUPPLIES</v>
      </c>
      <c r="C62" s="11"/>
      <c r="D62" s="7"/>
      <c r="E62" s="2"/>
      <c r="F62" s="6">
        <f t="shared" si="46"/>
        <v>0</v>
      </c>
      <c r="G62" s="2"/>
      <c r="H62" s="7">
        <v>355.04</v>
      </c>
      <c r="I62" s="2"/>
      <c r="J62" s="6">
        <f t="shared" si="47"/>
        <v>1.9881753294679345E-2</v>
      </c>
      <c r="K62" s="2"/>
      <c r="L62" s="7">
        <f t="shared" si="48"/>
        <v>-355.04</v>
      </c>
      <c r="M62" s="2"/>
      <c r="N62" s="6">
        <f t="shared" si="49"/>
        <v>-1</v>
      </c>
      <c r="O62" s="11"/>
      <c r="P62" s="7"/>
      <c r="Q62" s="2"/>
      <c r="R62" s="6">
        <f t="shared" si="50"/>
        <v>0</v>
      </c>
      <c r="S62" s="2"/>
      <c r="T62" s="7">
        <v>3563.73</v>
      </c>
      <c r="U62" s="2"/>
      <c r="V62" s="6">
        <f t="shared" si="51"/>
        <v>1.0867940312555637E-2</v>
      </c>
      <c r="W62" s="2"/>
      <c r="X62" s="7">
        <f t="shared" si="52"/>
        <v>-3563.73</v>
      </c>
      <c r="Y62" s="2"/>
      <c r="Z62" s="6">
        <f t="shared" si="53"/>
        <v>-1</v>
      </c>
    </row>
    <row r="63" spans="1:26" s="24" customFormat="1" hidden="1" outlineLevel="2" x14ac:dyDescent="0.25">
      <c r="A63" s="27"/>
      <c r="B63" s="11" t="str">
        <f>CONCATENATE("          ", "6247", " - ", "STORE SUPPLIES")</f>
        <v xml:space="preserve">          6247 - STORE SUPPLIES</v>
      </c>
      <c r="C63" s="11"/>
      <c r="D63" s="7"/>
      <c r="E63" s="2"/>
      <c r="F63" s="6">
        <f t="shared" si="46"/>
        <v>0</v>
      </c>
      <c r="G63" s="2"/>
      <c r="H63" s="7"/>
      <c r="I63" s="2"/>
      <c r="J63" s="6">
        <f t="shared" si="47"/>
        <v>0</v>
      </c>
      <c r="K63" s="2"/>
      <c r="L63" s="7">
        <f t="shared" si="48"/>
        <v>0</v>
      </c>
      <c r="M63" s="2"/>
      <c r="N63" s="6">
        <f t="shared" si="49"/>
        <v>0</v>
      </c>
      <c r="O63" s="11"/>
      <c r="P63" s="7"/>
      <c r="Q63" s="2"/>
      <c r="R63" s="6">
        <f t="shared" si="50"/>
        <v>0</v>
      </c>
      <c r="S63" s="2"/>
      <c r="T63" s="7">
        <v>366.09</v>
      </c>
      <c r="U63" s="2"/>
      <c r="V63" s="6">
        <f t="shared" si="51"/>
        <v>1.1164269652929634E-3</v>
      </c>
      <c r="W63" s="2"/>
      <c r="X63" s="7">
        <f t="shared" si="52"/>
        <v>-366.09</v>
      </c>
      <c r="Y63" s="2"/>
      <c r="Z63" s="6">
        <f t="shared" si="53"/>
        <v>-1</v>
      </c>
    </row>
    <row r="64" spans="1:26" s="24" customFormat="1" hidden="1" outlineLevel="2" x14ac:dyDescent="0.25">
      <c r="A64" s="27"/>
      <c r="B64" s="11" t="str">
        <f>CONCATENATE("          ", "6248", " - ", "UNIFORMS")</f>
        <v xml:space="preserve">          6248 - UNIFORMS</v>
      </c>
      <c r="C64" s="11"/>
      <c r="D64" s="7"/>
      <c r="E64" s="2"/>
      <c r="F64" s="6">
        <f t="shared" si="46"/>
        <v>0</v>
      </c>
      <c r="G64" s="2"/>
      <c r="H64" s="7"/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/>
      <c r="Q64" s="2"/>
      <c r="R64" s="6">
        <f t="shared" si="50"/>
        <v>0</v>
      </c>
      <c r="S64" s="2"/>
      <c r="T64" s="7">
        <v>604.57000000000005</v>
      </c>
      <c r="U64" s="2"/>
      <c r="V64" s="6">
        <f t="shared" si="51"/>
        <v>1.8436948575682674E-3</v>
      </c>
      <c r="W64" s="2"/>
      <c r="X64" s="7">
        <f t="shared" si="52"/>
        <v>-604.57000000000005</v>
      </c>
      <c r="Y64" s="2"/>
      <c r="Z64" s="6">
        <f t="shared" si="53"/>
        <v>-1</v>
      </c>
    </row>
    <row r="65" spans="1:26" s="25" customFormat="1" outlineLevel="1" collapsed="1" x14ac:dyDescent="0.25">
      <c r="A65" s="26"/>
      <c r="B65" s="13" t="str">
        <f>CONCATENATE("     ","Telephone/Data Lines                              ")</f>
        <v xml:space="preserve">     Telephone/Data Lines                              </v>
      </c>
      <c r="C65" s="13"/>
      <c r="D65" s="1">
        <f>SUM(OSRRefD22_12x_0)</f>
        <v>36</v>
      </c>
      <c r="E65" s="1"/>
      <c r="F65" s="5">
        <f t="shared" ref="F65:F68" si="54">IF(D$12=0,0,D65/D$12)</f>
        <v>0</v>
      </c>
      <c r="G65" s="1"/>
      <c r="H65" s="1">
        <f>SUM(OSRRefH22_12x_0)</f>
        <v>222.68</v>
      </c>
      <c r="I65" s="1"/>
      <c r="J65" s="5">
        <f t="shared" ref="J65:J68" si="55">IF(H$12=0,0,H65/H$12)</f>
        <v>1.2469774739914365E-2</v>
      </c>
      <c r="K65" s="1"/>
      <c r="L65" s="1">
        <f t="shared" ref="L65:L68" si="56">+D65-H65</f>
        <v>-186.68</v>
      </c>
      <c r="M65" s="1"/>
      <c r="N65" s="5">
        <f t="shared" ref="N65:N68" si="57">IF(H65=0,0,L65/H65)</f>
        <v>-0.83833303395006287</v>
      </c>
      <c r="O65" s="13"/>
      <c r="P65" s="1">
        <f>SUM(OSRRefP22_12x_0)</f>
        <v>293.02999999999997</v>
      </c>
      <c r="Q65" s="1"/>
      <c r="R65" s="5">
        <f t="shared" ref="R65:R68" si="58">IF(P$12=0,0,P65/P$12)</f>
        <v>0</v>
      </c>
      <c r="S65" s="1"/>
      <c r="T65" s="1">
        <f>SUM(OSRRefT22_12x_0)</f>
        <v>1178.99</v>
      </c>
      <c r="U65" s="1"/>
      <c r="V65" s="5">
        <f t="shared" ref="V65:V68" si="59">IF(T$12=0,0,T65/T$12)</f>
        <v>3.5954443656225276E-3</v>
      </c>
      <c r="W65" s="1"/>
      <c r="X65" s="1">
        <f t="shared" ref="X65:X68" si="60">+P65-T65</f>
        <v>-885.96</v>
      </c>
      <c r="Y65" s="1"/>
      <c r="Z65" s="5">
        <f t="shared" ref="Z65:Z68" si="61">IF(T65=0,0,X65/T65)</f>
        <v>-0.75145675535840006</v>
      </c>
    </row>
    <row r="66" spans="1:26" s="24" customFormat="1" hidden="1" outlineLevel="2" x14ac:dyDescent="0.25">
      <c r="A66" s="27"/>
      <c r="B66" s="11" t="str">
        <f>CONCATENATE("          ", "6309", " - ", "TELEPHONE")</f>
        <v xml:space="preserve">          6309 - TELEPHONE</v>
      </c>
      <c r="C66" s="11"/>
      <c r="D66" s="7">
        <v>36</v>
      </c>
      <c r="E66" s="2"/>
      <c r="F66" s="6">
        <f t="shared" si="54"/>
        <v>0</v>
      </c>
      <c r="G66" s="2"/>
      <c r="H66" s="7">
        <v>222.68</v>
      </c>
      <c r="I66" s="2"/>
      <c r="J66" s="6">
        <f t="shared" si="55"/>
        <v>1.2469774739914365E-2</v>
      </c>
      <c r="K66" s="2"/>
      <c r="L66" s="7">
        <f t="shared" si="56"/>
        <v>-186.68</v>
      </c>
      <c r="M66" s="2"/>
      <c r="N66" s="6">
        <f t="shared" si="57"/>
        <v>-0.83833303395006287</v>
      </c>
      <c r="O66" s="11"/>
      <c r="P66" s="7">
        <v>293.02999999999997</v>
      </c>
      <c r="Q66" s="2"/>
      <c r="R66" s="6">
        <f t="shared" si="58"/>
        <v>0</v>
      </c>
      <c r="S66" s="2"/>
      <c r="T66" s="7">
        <v>1178.99</v>
      </c>
      <c r="U66" s="2"/>
      <c r="V66" s="6">
        <f t="shared" si="59"/>
        <v>3.5954443656225276E-3</v>
      </c>
      <c r="W66" s="2"/>
      <c r="X66" s="7">
        <f t="shared" si="60"/>
        <v>-885.96</v>
      </c>
      <c r="Y66" s="2"/>
      <c r="Z66" s="6">
        <f t="shared" si="61"/>
        <v>-0.75145675535840006</v>
      </c>
    </row>
    <row r="67" spans="1:26" s="25" customFormat="1" outlineLevel="1" collapsed="1" x14ac:dyDescent="0.25">
      <c r="A67" s="26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SUM(OSRRefD22_13x_0)</f>
        <v>0</v>
      </c>
      <c r="E67" s="1"/>
      <c r="F67" s="5">
        <f t="shared" si="54"/>
        <v>0</v>
      </c>
      <c r="G67" s="1"/>
      <c r="H67" s="1">
        <f>SUM(OSRRefH22_13x_0)</f>
        <v>0</v>
      </c>
      <c r="I67" s="1"/>
      <c r="J67" s="5">
        <f t="shared" si="55"/>
        <v>0</v>
      </c>
      <c r="K67" s="1"/>
      <c r="L67" s="1">
        <f t="shared" si="56"/>
        <v>0</v>
      </c>
      <c r="M67" s="1"/>
      <c r="N67" s="5">
        <f t="shared" si="57"/>
        <v>0</v>
      </c>
      <c r="O67" s="13"/>
      <c r="P67" s="1">
        <f>SUM(OSRRefP22_13x_0)</f>
        <v>0</v>
      </c>
      <c r="Q67" s="1"/>
      <c r="R67" s="5">
        <f t="shared" si="58"/>
        <v>0</v>
      </c>
      <c r="S67" s="1"/>
      <c r="T67" s="1">
        <f>SUM(OSRRefT22_13x_0)</f>
        <v>175</v>
      </c>
      <c r="U67" s="1"/>
      <c r="V67" s="5">
        <f t="shared" si="59"/>
        <v>5.336794747910858E-4</v>
      </c>
      <c r="W67" s="1"/>
      <c r="X67" s="1">
        <f t="shared" si="60"/>
        <v>-175</v>
      </c>
      <c r="Y67" s="1"/>
      <c r="Z67" s="5">
        <f t="shared" si="61"/>
        <v>-1</v>
      </c>
    </row>
    <row r="68" spans="1:26" s="24" customFormat="1" hidden="1" outlineLevel="2" x14ac:dyDescent="0.25">
      <c r="A68" s="27"/>
      <c r="B68" s="11" t="str">
        <f>CONCATENATE("          ", "6376", " - ", "TRAINING")</f>
        <v xml:space="preserve">          6376 - TRAINING</v>
      </c>
      <c r="C68" s="11"/>
      <c r="D68" s="7"/>
      <c r="E68" s="2"/>
      <c r="F68" s="6">
        <f t="shared" si="54"/>
        <v>0</v>
      </c>
      <c r="G68" s="2"/>
      <c r="H68" s="7"/>
      <c r="I68" s="2"/>
      <c r="J68" s="6">
        <f t="shared" si="55"/>
        <v>0</v>
      </c>
      <c r="K68" s="2"/>
      <c r="L68" s="7">
        <f t="shared" si="56"/>
        <v>0</v>
      </c>
      <c r="M68" s="2"/>
      <c r="N68" s="6">
        <f t="shared" si="57"/>
        <v>0</v>
      </c>
      <c r="O68" s="11"/>
      <c r="P68" s="7"/>
      <c r="Q68" s="2"/>
      <c r="R68" s="6">
        <f t="shared" si="58"/>
        <v>0</v>
      </c>
      <c r="S68" s="2"/>
      <c r="T68" s="7">
        <v>175</v>
      </c>
      <c r="U68" s="2"/>
      <c r="V68" s="6">
        <f t="shared" si="59"/>
        <v>5.336794747910858E-4</v>
      </c>
      <c r="W68" s="2"/>
      <c r="X68" s="7">
        <f t="shared" si="60"/>
        <v>-175</v>
      </c>
      <c r="Y68" s="2"/>
      <c r="Z68" s="6">
        <f t="shared" si="61"/>
        <v>-1</v>
      </c>
    </row>
    <row r="69" spans="1:26" s="55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9" t="s">
        <v>0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8" t="s">
        <v>3</v>
      </c>
      <c r="C72" s="28"/>
      <c r="D72" s="20">
        <f>+D19-D21+D70</f>
        <v>-673.96</v>
      </c>
      <c r="E72" s="14"/>
      <c r="F72" s="21">
        <f>IF(D$12=0,0,D72/D$12)</f>
        <v>0</v>
      </c>
      <c r="G72" s="14"/>
      <c r="H72" s="20">
        <f>+H19-H21+H70</f>
        <v>-33474.74</v>
      </c>
      <c r="I72" s="14"/>
      <c r="J72" s="21">
        <f>IF(H$12=0,0,H72/H$12)</f>
        <v>-1.8745395512717846</v>
      </c>
      <c r="K72" s="15"/>
      <c r="L72" s="20">
        <f>+D72-H72</f>
        <v>32800.78</v>
      </c>
      <c r="M72" s="15"/>
      <c r="N72" s="21">
        <f>IF(H72=0,0,L72/H72)</f>
        <v>-0.97986660986761964</v>
      </c>
      <c r="O72" s="29"/>
      <c r="P72" s="20">
        <f>+P19-P21+P70</f>
        <v>-6049.53</v>
      </c>
      <c r="Q72" s="14"/>
      <c r="R72" s="21">
        <f>IF(P$12=0,0,P72/P$12)</f>
        <v>0</v>
      </c>
      <c r="S72" s="14"/>
      <c r="T72" s="20">
        <f>+T19-T21+T70</f>
        <v>-69985.949999999983</v>
      </c>
      <c r="U72" s="14"/>
      <c r="V72" s="21">
        <f>IF(T$12=0,0,T72/T$12)</f>
        <v>-0.21342894307860105</v>
      </c>
      <c r="W72" s="15"/>
      <c r="X72" s="20">
        <f>+P72-T72</f>
        <v>63936.419999999984</v>
      </c>
      <c r="Y72" s="15"/>
      <c r="Z72" s="21">
        <f>IF(T72=0,0,X72/T72)</f>
        <v>-0.91356079327350703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/>
      <c r="E74" s="4"/>
      <c r="F74" s="12">
        <f>IF(D$12=0,0,D74/D$12)</f>
        <v>0</v>
      </c>
      <c r="G74" s="4"/>
      <c r="H74" s="4">
        <v>2584.36</v>
      </c>
      <c r="I74" s="4"/>
      <c r="J74" s="12">
        <f>IF(H$12=0,0,H74/H$12)</f>
        <v>0.14472061723928997</v>
      </c>
      <c r="K74" s="4"/>
      <c r="L74" s="4">
        <f>+D74-H74</f>
        <v>-2584.36</v>
      </c>
      <c r="M74" s="4"/>
      <c r="N74" s="12">
        <f>IF(H74=0,0,L74/H74)</f>
        <v>-1</v>
      </c>
      <c r="O74" s="10"/>
      <c r="P74" s="4"/>
      <c r="Q74" s="4"/>
      <c r="R74" s="12">
        <f>IF(P$12=0,0,P74/P$12)</f>
        <v>0</v>
      </c>
      <c r="S74" s="4"/>
      <c r="T74" s="4">
        <v>35417.040000000001</v>
      </c>
      <c r="U74" s="4"/>
      <c r="V74" s="12">
        <f>IF(T$12=0,0,T74/T$12)</f>
        <v>0.10800769889059932</v>
      </c>
      <c r="W74" s="4"/>
      <c r="X74" s="4">
        <f>+P74-T74</f>
        <v>-35417.040000000001</v>
      </c>
      <c r="Y74" s="4"/>
      <c r="Z74" s="12">
        <f>IF(T74=0,0,X74/T74)</f>
        <v>-1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8" t="s">
        <v>4</v>
      </c>
      <c r="C76" s="28"/>
      <c r="D76" s="33">
        <f>+D72-D74</f>
        <v>-673.96</v>
      </c>
      <c r="E76" s="14"/>
      <c r="F76" s="34">
        <f>IF(D$12=0,0,D76/D$12)</f>
        <v>0</v>
      </c>
      <c r="G76" s="14"/>
      <c r="H76" s="33">
        <f>+H72-H74</f>
        <v>-36059.1</v>
      </c>
      <c r="I76" s="14"/>
      <c r="J76" s="34">
        <f>IF(H$12=0,0,H76/H$12)</f>
        <v>-2.0192601685110745</v>
      </c>
      <c r="K76" s="15"/>
      <c r="L76" s="33">
        <f>D76-H76</f>
        <v>35385.14</v>
      </c>
      <c r="M76" s="15"/>
      <c r="N76" s="34">
        <f>IF(H76=0,0,L76/H76)</f>
        <v>-0.9813095723409625</v>
      </c>
      <c r="O76" s="29"/>
      <c r="P76" s="33">
        <f>+P72-P74</f>
        <v>-6049.53</v>
      </c>
      <c r="Q76" s="14"/>
      <c r="R76" s="34">
        <f>IF(P$12=0,0,P76/P$12)</f>
        <v>0</v>
      </c>
      <c r="S76" s="14"/>
      <c r="T76" s="33">
        <f>+T72-T74</f>
        <v>-105402.98999999999</v>
      </c>
      <c r="U76" s="14"/>
      <c r="V76" s="34">
        <f>IF(T$12=0,0,T76/T$12)</f>
        <v>-0.32143664196920041</v>
      </c>
      <c r="W76" s="15"/>
      <c r="X76" s="33">
        <f>P76-T76</f>
        <v>99353.459999999992</v>
      </c>
      <c r="Y76" s="15"/>
      <c r="Z76" s="34">
        <f>IF(T76=0,0,X76/T76)</f>
        <v>-0.94260570786464404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5</v>
      </c>
      <c r="C79" s="28"/>
      <c r="D79" s="30">
        <f>SUM(D76:D78)</f>
        <v>-673.96</v>
      </c>
      <c r="E79" s="14"/>
      <c r="F79" s="32">
        <f>IF(D$12=0,0,D79/D$12)</f>
        <v>0</v>
      </c>
      <c r="G79" s="14"/>
      <c r="H79" s="30">
        <f>SUM(H76:H78)</f>
        <v>-36059.1</v>
      </c>
      <c r="I79" s="14"/>
      <c r="J79" s="32">
        <f>IF(H$12=0,0,H79/H$12)</f>
        <v>-2.0192601685110745</v>
      </c>
      <c r="K79" s="15"/>
      <c r="L79" s="30">
        <f>+D79-H79</f>
        <v>35385.14</v>
      </c>
      <c r="M79" s="15"/>
      <c r="N79" s="32">
        <f>IF(H79=0,0,L79/H79)</f>
        <v>-0.9813095723409625</v>
      </c>
      <c r="O79" s="29"/>
      <c r="P79" s="30">
        <f>SUM(P76:P78)</f>
        <v>-6049.53</v>
      </c>
      <c r="Q79" s="14"/>
      <c r="R79" s="32">
        <f>IF(P$12=0,0,P79/P$12)</f>
        <v>0</v>
      </c>
      <c r="S79" s="14"/>
      <c r="T79" s="30">
        <f>SUM(T76:T78)</f>
        <v>-105402.98999999999</v>
      </c>
      <c r="U79" s="14"/>
      <c r="V79" s="32">
        <f>IF(T$12=0,0,T79/T$12)</f>
        <v>-0.32143664196920041</v>
      </c>
      <c r="W79" s="15"/>
      <c r="X79" s="30">
        <f>+P79-T79</f>
        <v>99353.459999999992</v>
      </c>
      <c r="Y79" s="15"/>
      <c r="Z79" s="32">
        <f>IF(T79=0,0,X79/T79)</f>
        <v>-0.94260570786464404</v>
      </c>
    </row>
    <row r="80" spans="1:26" ht="15.75" thickTop="1" x14ac:dyDescent="0.25">
      <c r="A80" s="9"/>
      <c r="C80" s="9"/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8">
        <v>44209.522051122687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61" t="s">
        <v>313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57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","413", " - ", "Beach Walk")</f>
        <v>Department 413 - Beach Walk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18544.97</v>
      </c>
      <c r="I12" s="4"/>
      <c r="J12" s="12"/>
      <c r="K12" s="4"/>
      <c r="L12" s="4">
        <f t="shared" ref="L12:L14" si="0">+D12-H12</f>
        <v>-18544.97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180648.61</v>
      </c>
      <c r="U12" s="4"/>
      <c r="V12" s="12"/>
      <c r="W12" s="4"/>
      <c r="X12" s="4">
        <f t="shared" ref="X12:X14" si="2">+P12-T12</f>
        <v>-180648.61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--3616.5</f>
        <v>3616.5</v>
      </c>
      <c r="I13" s="2"/>
      <c r="J13" s="19"/>
      <c r="K13" s="2"/>
      <c r="L13" s="2">
        <f t="shared" si="0"/>
        <v>-3616.5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--42705.2</f>
        <v>42705.2</v>
      </c>
      <c r="U13" s="2"/>
      <c r="V13" s="19"/>
      <c r="W13" s="2"/>
      <c r="X13" s="2">
        <f t="shared" si="2"/>
        <v>-42705.2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--14928.47</f>
        <v>14928.47</v>
      </c>
      <c r="I14" s="2"/>
      <c r="J14" s="19"/>
      <c r="K14" s="2"/>
      <c r="L14" s="2">
        <f t="shared" si="0"/>
        <v>-14928.47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--137943.41</f>
        <v>137943.41</v>
      </c>
      <c r="U14" s="2"/>
      <c r="V14" s="19"/>
      <c r="W14" s="2"/>
      <c r="X14" s="2">
        <f t="shared" si="2"/>
        <v>-137943.41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7100.5999999999995</v>
      </c>
      <c r="I16" s="4"/>
      <c r="J16" s="12">
        <f t="shared" ref="J16:J18" si="7">IF(H$12=0,0,H16/H$12)</f>
        <v>0.38288549401805444</v>
      </c>
      <c r="K16" s="4"/>
      <c r="L16" s="4">
        <f t="shared" ref="L16:L18" si="8">+D16-H16</f>
        <v>-7100.5999999999995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56369.090000000004</v>
      </c>
      <c r="U16" s="4"/>
      <c r="V16" s="12">
        <f t="shared" ref="V16:V18" si="11">IF(T$12=0,0,T16/T$12)</f>
        <v>0.31203721966086539</v>
      </c>
      <c r="W16" s="4"/>
      <c r="X16" s="4">
        <f t="shared" ref="X16:X18" si="12">+P16-T16</f>
        <v>-56369.090000000004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4557.4799999999996</v>
      </c>
      <c r="I17" s="2"/>
      <c r="J17" s="19">
        <f t="shared" si="7"/>
        <v>0.24575289148486082</v>
      </c>
      <c r="K17" s="2"/>
      <c r="L17" s="2">
        <f t="shared" si="8"/>
        <v>-4557.4799999999996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58323.040000000001</v>
      </c>
      <c r="U17" s="2"/>
      <c r="V17" s="19">
        <f t="shared" si="11"/>
        <v>0.32285352209463447</v>
      </c>
      <c r="W17" s="2"/>
      <c r="X17" s="2">
        <f t="shared" si="12"/>
        <v>-58323.040000000001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2543.12</v>
      </c>
      <c r="I18" s="2"/>
      <c r="J18" s="19">
        <f t="shared" si="7"/>
        <v>0.13713260253319362</v>
      </c>
      <c r="K18" s="2"/>
      <c r="L18" s="2">
        <f t="shared" si="8"/>
        <v>-2543.12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-1953.95</v>
      </c>
      <c r="U18" s="2"/>
      <c r="V18" s="19">
        <f t="shared" si="11"/>
        <v>-1.0816302433769074E-2</v>
      </c>
      <c r="W18" s="2"/>
      <c r="X18" s="2">
        <f t="shared" si="12"/>
        <v>1953.95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11444.370000000003</v>
      </c>
      <c r="I20" s="14"/>
      <c r="J20" s="21">
        <f>IF(H$12=0,0,H20/H$12)</f>
        <v>0.61711450598194562</v>
      </c>
      <c r="K20" s="15"/>
      <c r="L20" s="20">
        <f>+D20-H20</f>
        <v>-11444.370000000003</v>
      </c>
      <c r="M20" s="15"/>
      <c r="N20" s="21">
        <f>IF(H20=0,0,L20/H20)</f>
        <v>-1</v>
      </c>
      <c r="O20" s="29"/>
      <c r="P20" s="20">
        <f>P12-P16</f>
        <v>0</v>
      </c>
      <c r="Q20" s="14"/>
      <c r="R20" s="21">
        <f>IF(P$12=0,0,P20/P$12)</f>
        <v>0</v>
      </c>
      <c r="S20" s="14"/>
      <c r="T20" s="20">
        <f>T12-T16</f>
        <v>124279.51999999999</v>
      </c>
      <c r="U20" s="14"/>
      <c r="V20" s="21">
        <f>IF(T$12=0,0,T20/T$12)</f>
        <v>0.68796278033913461</v>
      </c>
      <c r="W20" s="15"/>
      <c r="X20" s="20">
        <f>+P20-T20</f>
        <v>-124279.51999999999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85.78</v>
      </c>
      <c r="E22" s="22"/>
      <c r="F22" s="36">
        <f t="shared" ref="F22:F31" si="14">IF(D$12=0,0,D22/D$12)</f>
        <v>0</v>
      </c>
      <c r="G22" s="22"/>
      <c r="H22" s="22">
        <f>SUM(OSRRefH22x_0)</f>
        <v>16260.3</v>
      </c>
      <c r="I22" s="22"/>
      <c r="J22" s="36">
        <f t="shared" ref="J22:J31" si="15">IF(H$12=0,0,H22/H$12)</f>
        <v>0.87680379100100991</v>
      </c>
      <c r="K22" s="4"/>
      <c r="L22" s="22">
        <f t="shared" ref="L22:L31" si="16">+D22-H22</f>
        <v>-16174.519999999999</v>
      </c>
      <c r="M22" s="4"/>
      <c r="N22" s="36">
        <f t="shared" ref="N22:N31" si="17">IF(H22=0,0,L22/H22)</f>
        <v>-0.99472457457734476</v>
      </c>
      <c r="O22" s="10"/>
      <c r="P22" s="22">
        <f>SUM(OSRRefP22x_0)</f>
        <v>4847.51</v>
      </c>
      <c r="Q22" s="22"/>
      <c r="R22" s="36">
        <f t="shared" ref="R22:R31" si="18">IF(P$12=0,0,P22/P$12)</f>
        <v>0</v>
      </c>
      <c r="S22" s="22"/>
      <c r="T22" s="22">
        <f>SUM(OSRRefT22x_0)</f>
        <v>121907.70000000003</v>
      </c>
      <c r="U22" s="22"/>
      <c r="V22" s="36">
        <f t="shared" ref="V22:V31" si="19">IF(T$12=0,0,T22/T$12)</f>
        <v>0.6748333131375881</v>
      </c>
      <c r="W22" s="4"/>
      <c r="X22" s="22">
        <f t="shared" ref="X22:X31" si="20">+P22-T22</f>
        <v>-117060.19000000003</v>
      </c>
      <c r="Y22" s="4"/>
      <c r="Z22" s="36">
        <f t="shared" ref="Z22:Z31" si="21">IF(T22=0,0,X22/T22)</f>
        <v>-0.96023622790028851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3386.8799999999997</v>
      </c>
      <c r="I23" s="1"/>
      <c r="J23" s="5">
        <f t="shared" si="15"/>
        <v>0.18263065402640175</v>
      </c>
      <c r="K23" s="1"/>
      <c r="L23" s="1">
        <f t="shared" si="16"/>
        <v>-3386.8799999999997</v>
      </c>
      <c r="M23" s="1"/>
      <c r="N23" s="5">
        <f t="shared" si="17"/>
        <v>-1</v>
      </c>
      <c r="O23" s="13"/>
      <c r="P23" s="1">
        <f>SUM(OSRRefP22_0x_0)</f>
        <v>1493.43</v>
      </c>
      <c r="Q23" s="1"/>
      <c r="R23" s="5">
        <f t="shared" si="18"/>
        <v>0</v>
      </c>
      <c r="S23" s="1"/>
      <c r="T23" s="1">
        <f>SUM(OSRRefT22_0x_0)</f>
        <v>20934.900000000001</v>
      </c>
      <c r="U23" s="1"/>
      <c r="V23" s="5">
        <f t="shared" si="19"/>
        <v>0.11588741258512868</v>
      </c>
      <c r="W23" s="1"/>
      <c r="X23" s="1">
        <f t="shared" si="20"/>
        <v>-19441.47</v>
      </c>
      <c r="Y23" s="1"/>
      <c r="Z23" s="5">
        <f t="shared" si="21"/>
        <v>-0.92866314145278939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549.4</v>
      </c>
      <c r="I24" s="2"/>
      <c r="J24" s="6">
        <f t="shared" si="15"/>
        <v>2.9625283837072799E-2</v>
      </c>
      <c r="K24" s="2"/>
      <c r="L24" s="7">
        <f t="shared" si="16"/>
        <v>-549.4</v>
      </c>
      <c r="M24" s="2"/>
      <c r="N24" s="6">
        <f t="shared" si="17"/>
        <v>-1</v>
      </c>
      <c r="O24" s="11"/>
      <c r="P24" s="7">
        <v>191.51</v>
      </c>
      <c r="Q24" s="2"/>
      <c r="R24" s="6">
        <f t="shared" si="18"/>
        <v>0</v>
      </c>
      <c r="S24" s="2"/>
      <c r="T24" s="7">
        <v>4351.34</v>
      </c>
      <c r="U24" s="2"/>
      <c r="V24" s="6">
        <f t="shared" si="19"/>
        <v>2.4087315147346001E-2</v>
      </c>
      <c r="W24" s="2"/>
      <c r="X24" s="7">
        <f t="shared" si="20"/>
        <v>-4159.83</v>
      </c>
      <c r="Y24" s="2"/>
      <c r="Z24" s="6">
        <f t="shared" si="21"/>
        <v>-0.9559882702799597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596.79999999999995</v>
      </c>
      <c r="I25" s="2"/>
      <c r="J25" s="6">
        <f t="shared" si="15"/>
        <v>3.2181232970449662E-2</v>
      </c>
      <c r="K25" s="2"/>
      <c r="L25" s="7">
        <f t="shared" si="16"/>
        <v>-596.79999999999995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2344.12</v>
      </c>
      <c r="U25" s="2"/>
      <c r="V25" s="6">
        <f t="shared" si="19"/>
        <v>1.2976130843187777E-2</v>
      </c>
      <c r="W25" s="2"/>
      <c r="X25" s="7">
        <f t="shared" si="20"/>
        <v>-2344.12</v>
      </c>
      <c r="Y25" s="2"/>
      <c r="Z25" s="6">
        <f t="shared" si="21"/>
        <v>-1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1286.5999999999999</v>
      </c>
      <c r="I26" s="2"/>
      <c r="J26" s="6">
        <f t="shared" si="15"/>
        <v>6.937730284815774E-2</v>
      </c>
      <c r="K26" s="2"/>
      <c r="L26" s="7">
        <f t="shared" si="16"/>
        <v>-1286.5999999999999</v>
      </c>
      <c r="M26" s="2"/>
      <c r="N26" s="6">
        <f t="shared" si="17"/>
        <v>-1</v>
      </c>
      <c r="O26" s="11"/>
      <c r="P26" s="7">
        <v>718.51</v>
      </c>
      <c r="Q26" s="2"/>
      <c r="R26" s="6">
        <f t="shared" si="18"/>
        <v>0</v>
      </c>
      <c r="S26" s="2"/>
      <c r="T26" s="7">
        <v>7727.32</v>
      </c>
      <c r="U26" s="2"/>
      <c r="V26" s="6">
        <f t="shared" si="19"/>
        <v>4.2775419085704564E-2</v>
      </c>
      <c r="W26" s="2"/>
      <c r="X26" s="7">
        <f t="shared" si="20"/>
        <v>-7008.8099999999995</v>
      </c>
      <c r="Y26" s="2"/>
      <c r="Z26" s="6">
        <f t="shared" si="21"/>
        <v>-0.90701692177883142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39.99</v>
      </c>
      <c r="I27" s="2"/>
      <c r="J27" s="6">
        <f t="shared" si="15"/>
        <v>2.1563798701211166E-3</v>
      </c>
      <c r="K27" s="2"/>
      <c r="L27" s="7">
        <f t="shared" si="16"/>
        <v>-39.99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206.91</v>
      </c>
      <c r="U27" s="2"/>
      <c r="V27" s="6">
        <f t="shared" si="19"/>
        <v>1.1453727764636551E-3</v>
      </c>
      <c r="W27" s="2"/>
      <c r="X27" s="7">
        <f t="shared" si="20"/>
        <v>-206.91</v>
      </c>
      <c r="Y27" s="2"/>
      <c r="Z27" s="6">
        <f t="shared" si="21"/>
        <v>-1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326.52</v>
      </c>
      <c r="I28" s="2"/>
      <c r="J28" s="6">
        <f t="shared" si="15"/>
        <v>1.7606930612451784E-2</v>
      </c>
      <c r="K28" s="2"/>
      <c r="L28" s="7">
        <f t="shared" si="16"/>
        <v>-326.52</v>
      </c>
      <c r="M28" s="2"/>
      <c r="N28" s="6">
        <f t="shared" si="17"/>
        <v>-1</v>
      </c>
      <c r="O28" s="11"/>
      <c r="P28" s="7">
        <v>377.03</v>
      </c>
      <c r="Q28" s="2"/>
      <c r="R28" s="6">
        <f t="shared" si="18"/>
        <v>0</v>
      </c>
      <c r="S28" s="2"/>
      <c r="T28" s="7">
        <v>1959.12</v>
      </c>
      <c r="U28" s="2"/>
      <c r="V28" s="6">
        <f t="shared" si="19"/>
        <v>1.0844921530257E-2</v>
      </c>
      <c r="W28" s="2"/>
      <c r="X28" s="7">
        <f t="shared" si="20"/>
        <v>-1582.09</v>
      </c>
      <c r="Y28" s="2"/>
      <c r="Z28" s="6">
        <f t="shared" si="21"/>
        <v>-0.80755134958552821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269.38</v>
      </c>
      <c r="I29" s="2"/>
      <c r="J29" s="6">
        <f t="shared" si="15"/>
        <v>1.452577167825022E-2</v>
      </c>
      <c r="K29" s="2"/>
      <c r="L29" s="7">
        <f t="shared" si="16"/>
        <v>-269.38</v>
      </c>
      <c r="M29" s="2"/>
      <c r="N29" s="6">
        <f t="shared" si="17"/>
        <v>-1</v>
      </c>
      <c r="O29" s="11"/>
      <c r="P29" s="7">
        <v>93.89</v>
      </c>
      <c r="Q29" s="2"/>
      <c r="R29" s="6">
        <f t="shared" si="18"/>
        <v>0</v>
      </c>
      <c r="S29" s="2"/>
      <c r="T29" s="7">
        <v>1835.06</v>
      </c>
      <c r="U29" s="2"/>
      <c r="V29" s="6">
        <f t="shared" si="19"/>
        <v>1.0158173926718838E-2</v>
      </c>
      <c r="W29" s="2"/>
      <c r="X29" s="7">
        <f t="shared" si="20"/>
        <v>-1741.1699999999998</v>
      </c>
      <c r="Y29" s="2"/>
      <c r="Z29" s="6">
        <f t="shared" si="21"/>
        <v>-0.9488354604209126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215.62</v>
      </c>
      <c r="I30" s="2"/>
      <c r="J30" s="6">
        <f t="shared" si="15"/>
        <v>1.1626872407989874E-2</v>
      </c>
      <c r="K30" s="2"/>
      <c r="L30" s="7">
        <f t="shared" si="16"/>
        <v>-215.62</v>
      </c>
      <c r="M30" s="2"/>
      <c r="N30" s="6">
        <f t="shared" si="17"/>
        <v>-1</v>
      </c>
      <c r="O30" s="11"/>
      <c r="P30" s="7">
        <v>112.49</v>
      </c>
      <c r="Q30" s="2"/>
      <c r="R30" s="6">
        <f t="shared" si="18"/>
        <v>0</v>
      </c>
      <c r="S30" s="2"/>
      <c r="T30" s="7">
        <v>1735.42</v>
      </c>
      <c r="U30" s="2"/>
      <c r="V30" s="6">
        <f t="shared" si="19"/>
        <v>9.6066058853151448E-3</v>
      </c>
      <c r="W30" s="2"/>
      <c r="X30" s="7">
        <f t="shared" si="20"/>
        <v>-1622.93</v>
      </c>
      <c r="Y30" s="2"/>
      <c r="Z30" s="6">
        <f t="shared" si="21"/>
        <v>-0.93517995643705842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102.57</v>
      </c>
      <c r="I31" s="2"/>
      <c r="J31" s="6">
        <f t="shared" si="15"/>
        <v>5.5308798019085489E-3</v>
      </c>
      <c r="K31" s="2"/>
      <c r="L31" s="7">
        <f t="shared" si="16"/>
        <v>-102.57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775.61</v>
      </c>
      <c r="U31" s="2"/>
      <c r="V31" s="6">
        <f t="shared" si="19"/>
        <v>4.2934733901356902E-3</v>
      </c>
      <c r="W31" s="2"/>
      <c r="X31" s="7">
        <f t="shared" si="20"/>
        <v>-775.61</v>
      </c>
      <c r="Y31" s="2"/>
      <c r="Z31" s="6">
        <f t="shared" si="21"/>
        <v>-1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9360.41</v>
      </c>
      <c r="I32" s="1"/>
      <c r="J32" s="5">
        <f t="shared" ref="J32:J36" si="23">IF(H$12=0,0,H32/H$12)</f>
        <v>0.50474117779645911</v>
      </c>
      <c r="K32" s="1"/>
      <c r="L32" s="1">
        <f t="shared" ref="L32:L36" si="24">+D32-H32</f>
        <v>-9360.41</v>
      </c>
      <c r="M32" s="1"/>
      <c r="N32" s="5">
        <f t="shared" ref="N32:N36" si="25">IF(H32=0,0,L32/H32)</f>
        <v>-1</v>
      </c>
      <c r="O32" s="13"/>
      <c r="P32" s="1">
        <f>SUM(OSRRefP22_1x_0)</f>
        <v>2259.48</v>
      </c>
      <c r="Q32" s="1"/>
      <c r="R32" s="5">
        <f t="shared" ref="R32:R36" si="26">IF(P$12=0,0,P32/P$12)</f>
        <v>0</v>
      </c>
      <c r="S32" s="1"/>
      <c r="T32" s="1">
        <f>SUM(OSRRefT22_1x_0)</f>
        <v>75035.42</v>
      </c>
      <c r="U32" s="1"/>
      <c r="V32" s="5">
        <f t="shared" ref="V32:V36" si="27">IF(T$12=0,0,T32/T$12)</f>
        <v>0.41536671663291513</v>
      </c>
      <c r="W32" s="1"/>
      <c r="X32" s="1">
        <f t="shared" ref="X32:X36" si="28">+P32-T32</f>
        <v>-72775.94</v>
      </c>
      <c r="Y32" s="1"/>
      <c r="Z32" s="5">
        <f t="shared" ref="Z32:Z36" si="29">IF(T32=0,0,X32/T32)</f>
        <v>-0.96988782097841264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4440.8900000000003</v>
      </c>
      <c r="I33" s="2"/>
      <c r="J33" s="6">
        <f t="shared" si="23"/>
        <v>0.23946601153843872</v>
      </c>
      <c r="K33" s="2"/>
      <c r="L33" s="7">
        <f t="shared" si="24"/>
        <v>-4440.8900000000003</v>
      </c>
      <c r="M33" s="2"/>
      <c r="N33" s="6">
        <f t="shared" si="25"/>
        <v>-1</v>
      </c>
      <c r="O33" s="11"/>
      <c r="P33" s="7">
        <v>2259.48</v>
      </c>
      <c r="Q33" s="2"/>
      <c r="R33" s="6">
        <f t="shared" si="26"/>
        <v>0</v>
      </c>
      <c r="S33" s="2"/>
      <c r="T33" s="7">
        <v>28982.649999999998</v>
      </c>
      <c r="U33" s="2"/>
      <c r="V33" s="6">
        <f t="shared" si="27"/>
        <v>0.16043660673613819</v>
      </c>
      <c r="W33" s="2"/>
      <c r="X33" s="7">
        <f t="shared" si="28"/>
        <v>-26723.17</v>
      </c>
      <c r="Y33" s="2"/>
      <c r="Z33" s="6">
        <f t="shared" si="29"/>
        <v>-0.92204025511814824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2495.52</v>
      </c>
      <c r="I34" s="2"/>
      <c r="J34" s="6">
        <f t="shared" si="23"/>
        <v>0.13456586880431728</v>
      </c>
      <c r="K34" s="2"/>
      <c r="L34" s="7">
        <f t="shared" si="24"/>
        <v>-2495.52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20389.46</v>
      </c>
      <c r="U34" s="2"/>
      <c r="V34" s="6">
        <f t="shared" si="27"/>
        <v>0.11286807022760928</v>
      </c>
      <c r="W34" s="2"/>
      <c r="X34" s="7">
        <f t="shared" si="28"/>
        <v>-20389.46</v>
      </c>
      <c r="Y34" s="2"/>
      <c r="Z34" s="6">
        <f t="shared" si="29"/>
        <v>-1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22"/>
        <v>0</v>
      </c>
      <c r="G35" s="2"/>
      <c r="H35" s="7">
        <v>2184</v>
      </c>
      <c r="I35" s="2"/>
      <c r="J35" s="6">
        <f t="shared" si="23"/>
        <v>0.11776778285432653</v>
      </c>
      <c r="K35" s="2"/>
      <c r="L35" s="7">
        <f t="shared" si="24"/>
        <v>-2184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23119.31</v>
      </c>
      <c r="U35" s="2"/>
      <c r="V35" s="6">
        <f t="shared" si="27"/>
        <v>0.12797945137800951</v>
      </c>
      <c r="W35" s="2"/>
      <c r="X35" s="7">
        <f t="shared" si="28"/>
        <v>-23119.31</v>
      </c>
      <c r="Y35" s="2"/>
      <c r="Z35" s="6">
        <f t="shared" si="29"/>
        <v>-1</v>
      </c>
    </row>
    <row r="36" spans="1:26" s="24" customFormat="1" hidden="1" outlineLevel="2" x14ac:dyDescent="0.2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22"/>
        <v>0</v>
      </c>
      <c r="G36" s="2"/>
      <c r="H36" s="7">
        <v>240</v>
      </c>
      <c r="I36" s="2"/>
      <c r="J36" s="6">
        <f t="shared" si="23"/>
        <v>1.2941514599376541E-2</v>
      </c>
      <c r="K36" s="2"/>
      <c r="L36" s="7">
        <f t="shared" si="24"/>
        <v>-240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2544</v>
      </c>
      <c r="U36" s="2"/>
      <c r="V36" s="6">
        <f t="shared" si="27"/>
        <v>1.4082588291158177E-2</v>
      </c>
      <c r="W36" s="2"/>
      <c r="X36" s="7">
        <f t="shared" si="28"/>
        <v>-2544</v>
      </c>
      <c r="Y36" s="2"/>
      <c r="Z36" s="6">
        <f t="shared" si="29"/>
        <v>-1</v>
      </c>
    </row>
    <row r="37" spans="1:26" s="25" customFormat="1" outlineLevel="1" collapsed="1" x14ac:dyDescent="0.25">
      <c r="A37" s="26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50" si="30">IF(D$12=0,0,D37/D$12)</f>
        <v>0</v>
      </c>
      <c r="G37" s="1"/>
      <c r="H37" s="1">
        <f>SUM(OSRRefH22_2x_0)</f>
        <v>350</v>
      </c>
      <c r="I37" s="1"/>
      <c r="J37" s="5">
        <f t="shared" ref="J37:J50" si="31">IF(H$12=0,0,H37/H$12)</f>
        <v>1.8873042124090789E-2</v>
      </c>
      <c r="K37" s="1"/>
      <c r="L37" s="1">
        <f t="shared" ref="L37:L50" si="32">+D37-H37</f>
        <v>-350</v>
      </c>
      <c r="M37" s="1"/>
      <c r="N37" s="5">
        <f t="shared" ref="N37:N50" si="33">IF(H37=0,0,L37/H37)</f>
        <v>-1</v>
      </c>
      <c r="O37" s="13"/>
      <c r="P37" s="1">
        <f>SUM(OSRRefP22_2x_0)</f>
        <v>0</v>
      </c>
      <c r="Q37" s="1"/>
      <c r="R37" s="5">
        <f t="shared" ref="R37:R50" si="34">IF(P$12=0,0,P37/P$12)</f>
        <v>0</v>
      </c>
      <c r="S37" s="1"/>
      <c r="T37" s="1">
        <f>SUM(OSRRefT22_2x_0)</f>
        <v>1815</v>
      </c>
      <c r="U37" s="1"/>
      <c r="V37" s="5">
        <f t="shared" ref="V37:V50" si="35">IF(T$12=0,0,T37/T$12)</f>
        <v>1.0047129618102238E-2</v>
      </c>
      <c r="W37" s="1"/>
      <c r="X37" s="1">
        <f t="shared" ref="X37:X50" si="36">+P37-T37</f>
        <v>-1815</v>
      </c>
      <c r="Y37" s="1"/>
      <c r="Z37" s="5">
        <f t="shared" ref="Z37:Z50" si="37">IF(T37=0,0,X37/T37)</f>
        <v>-1</v>
      </c>
    </row>
    <row r="38" spans="1:26" s="24" customFormat="1" hidden="1" outlineLevel="2" x14ac:dyDescent="0.25">
      <c r="A38" s="27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30"/>
        <v>0</v>
      </c>
      <c r="G38" s="2"/>
      <c r="H38" s="7">
        <v>350</v>
      </c>
      <c r="I38" s="2"/>
      <c r="J38" s="6">
        <f t="shared" si="31"/>
        <v>1.8873042124090789E-2</v>
      </c>
      <c r="K38" s="2"/>
      <c r="L38" s="7">
        <f t="shared" si="32"/>
        <v>-350</v>
      </c>
      <c r="M38" s="2"/>
      <c r="N38" s="6">
        <f t="shared" si="33"/>
        <v>-1</v>
      </c>
      <c r="O38" s="11"/>
      <c r="P38" s="7"/>
      <c r="Q38" s="2"/>
      <c r="R38" s="6">
        <f t="shared" si="34"/>
        <v>0</v>
      </c>
      <c r="S38" s="2"/>
      <c r="T38" s="7">
        <v>1815</v>
      </c>
      <c r="U38" s="2"/>
      <c r="V38" s="6">
        <f t="shared" si="35"/>
        <v>1.0047129618102238E-2</v>
      </c>
      <c r="W38" s="2"/>
      <c r="X38" s="7">
        <f t="shared" si="36"/>
        <v>-1815</v>
      </c>
      <c r="Y38" s="2"/>
      <c r="Z38" s="6">
        <f t="shared" si="37"/>
        <v>-1</v>
      </c>
    </row>
    <row r="39" spans="1:26" s="25" customFormat="1" outlineLevel="1" collapsed="1" x14ac:dyDescent="0.25">
      <c r="A39" s="26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-12.95</v>
      </c>
      <c r="I39" s="1"/>
      <c r="J39" s="5">
        <f t="shared" si="31"/>
        <v>-6.9830255859135919E-4</v>
      </c>
      <c r="K39" s="1"/>
      <c r="L39" s="1">
        <f t="shared" si="32"/>
        <v>12.95</v>
      </c>
      <c r="M39" s="1"/>
      <c r="N39" s="5">
        <f t="shared" si="33"/>
        <v>-1</v>
      </c>
      <c r="O39" s="13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-37.47</v>
      </c>
      <c r="U39" s="1"/>
      <c r="V39" s="5">
        <f t="shared" si="35"/>
        <v>-2.0741925442991231E-4</v>
      </c>
      <c r="W39" s="1"/>
      <c r="X39" s="1">
        <f t="shared" si="36"/>
        <v>37.47</v>
      </c>
      <c r="Y39" s="1"/>
      <c r="Z39" s="5">
        <f t="shared" si="37"/>
        <v>-1</v>
      </c>
    </row>
    <row r="40" spans="1:26" s="24" customFormat="1" hidden="1" outlineLevel="2" x14ac:dyDescent="0.25">
      <c r="A40" s="27"/>
      <c r="B40" s="11" t="str">
        <f>CONCATENATE("          ", "6272", " - ", "CASH (OVER/SHORT)")</f>
        <v xml:space="preserve">          6272 - CASH (OVER/SHORT)</v>
      </c>
      <c r="C40" s="11"/>
      <c r="D40" s="7"/>
      <c r="E40" s="2"/>
      <c r="F40" s="6">
        <f t="shared" si="30"/>
        <v>0</v>
      </c>
      <c r="G40" s="2"/>
      <c r="H40" s="7">
        <v>-12.95</v>
      </c>
      <c r="I40" s="2"/>
      <c r="J40" s="6">
        <f t="shared" si="31"/>
        <v>-6.9830255859135919E-4</v>
      </c>
      <c r="K40" s="2"/>
      <c r="L40" s="7">
        <f t="shared" si="32"/>
        <v>12.95</v>
      </c>
      <c r="M40" s="2"/>
      <c r="N40" s="6">
        <f t="shared" si="33"/>
        <v>-1</v>
      </c>
      <c r="O40" s="11"/>
      <c r="P40" s="7"/>
      <c r="Q40" s="2"/>
      <c r="R40" s="6">
        <f t="shared" si="34"/>
        <v>0</v>
      </c>
      <c r="S40" s="2"/>
      <c r="T40" s="7">
        <v>-37.47</v>
      </c>
      <c r="U40" s="2"/>
      <c r="V40" s="6">
        <f t="shared" si="35"/>
        <v>-2.0741925442991231E-4</v>
      </c>
      <c r="W40" s="2"/>
      <c r="X40" s="7">
        <f t="shared" si="36"/>
        <v>37.47</v>
      </c>
      <c r="Y40" s="2"/>
      <c r="Z40" s="6">
        <f t="shared" si="37"/>
        <v>-1</v>
      </c>
    </row>
    <row r="41" spans="1:26" s="25" customFormat="1" outlineLevel="1" collapsed="1" x14ac:dyDescent="0.25">
      <c r="A41" s="26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1574.71</v>
      </c>
      <c r="I41" s="1"/>
      <c r="J41" s="5">
        <f t="shared" si="31"/>
        <v>8.491305189493431E-2</v>
      </c>
      <c r="K41" s="1"/>
      <c r="L41" s="1">
        <f t="shared" si="32"/>
        <v>-1574.71</v>
      </c>
      <c r="M41" s="1"/>
      <c r="N41" s="5">
        <f t="shared" si="33"/>
        <v>-1</v>
      </c>
      <c r="O41" s="13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7238.08</v>
      </c>
      <c r="U41" s="1"/>
      <c r="V41" s="5">
        <f t="shared" si="35"/>
        <v>4.0067177931787025E-2</v>
      </c>
      <c r="W41" s="1"/>
      <c r="X41" s="1">
        <f t="shared" si="36"/>
        <v>-7238.08</v>
      </c>
      <c r="Y41" s="1"/>
      <c r="Z41" s="5">
        <f t="shared" si="37"/>
        <v>-1</v>
      </c>
    </row>
    <row r="42" spans="1:26" s="24" customFormat="1" hidden="1" outlineLevel="2" x14ac:dyDescent="0.25">
      <c r="A42" s="27"/>
      <c r="B42" s="11" t="str">
        <f>CONCATENATE("          ", "6381", " - ", "BANK/CREDIT CARD FEES")</f>
        <v xml:space="preserve">          6381 - BANK/CREDIT CARD FEES</v>
      </c>
      <c r="C42" s="11"/>
      <c r="D42" s="7"/>
      <c r="E42" s="2"/>
      <c r="F42" s="6">
        <f t="shared" si="30"/>
        <v>0</v>
      </c>
      <c r="G42" s="2"/>
      <c r="H42" s="7">
        <v>1574.71</v>
      </c>
      <c r="I42" s="2"/>
      <c r="J42" s="6">
        <f t="shared" si="31"/>
        <v>8.491305189493431E-2</v>
      </c>
      <c r="K42" s="2"/>
      <c r="L42" s="7">
        <f t="shared" si="32"/>
        <v>-1574.71</v>
      </c>
      <c r="M42" s="2"/>
      <c r="N42" s="6">
        <f t="shared" si="33"/>
        <v>-1</v>
      </c>
      <c r="O42" s="11"/>
      <c r="P42" s="7"/>
      <c r="Q42" s="2"/>
      <c r="R42" s="6">
        <f t="shared" si="34"/>
        <v>0</v>
      </c>
      <c r="S42" s="2"/>
      <c r="T42" s="7">
        <v>7238.08</v>
      </c>
      <c r="U42" s="2"/>
      <c r="V42" s="6">
        <f t="shared" si="35"/>
        <v>4.0067177931787025E-2</v>
      </c>
      <c r="W42" s="2"/>
      <c r="X42" s="7">
        <f t="shared" si="36"/>
        <v>-7238.08</v>
      </c>
      <c r="Y42" s="2"/>
      <c r="Z42" s="6">
        <f t="shared" si="37"/>
        <v>-1</v>
      </c>
    </row>
    <row r="43" spans="1:26" s="25" customFormat="1" outlineLevel="1" collapsed="1" x14ac:dyDescent="0.25">
      <c r="A43" s="26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58.03</v>
      </c>
      <c r="E43" s="1"/>
      <c r="F43" s="5">
        <f t="shared" si="30"/>
        <v>0</v>
      </c>
      <c r="G43" s="1"/>
      <c r="H43" s="1">
        <f>SUM(OSRRefH22_5x_0)</f>
        <v>630.21</v>
      </c>
      <c r="I43" s="1"/>
      <c r="J43" s="5">
        <f t="shared" si="31"/>
        <v>3.3982799648637881E-2</v>
      </c>
      <c r="K43" s="1"/>
      <c r="L43" s="1">
        <f t="shared" si="32"/>
        <v>-572.18000000000006</v>
      </c>
      <c r="M43" s="1"/>
      <c r="N43" s="5">
        <f t="shared" si="33"/>
        <v>-0.90791958236143511</v>
      </c>
      <c r="O43" s="13"/>
      <c r="P43" s="1">
        <f>SUM(OSRRefP22_5x_0)</f>
        <v>348.18</v>
      </c>
      <c r="Q43" s="1"/>
      <c r="R43" s="5">
        <f t="shared" si="34"/>
        <v>0</v>
      </c>
      <c r="S43" s="1"/>
      <c r="T43" s="1">
        <f>SUM(OSRRefT22_5x_0)</f>
        <v>3781.26</v>
      </c>
      <c r="U43" s="1"/>
      <c r="V43" s="5">
        <f t="shared" si="35"/>
        <v>2.0931575393799046E-2</v>
      </c>
      <c r="W43" s="1"/>
      <c r="X43" s="1">
        <f t="shared" si="36"/>
        <v>-3433.0800000000004</v>
      </c>
      <c r="Y43" s="1"/>
      <c r="Z43" s="5">
        <f t="shared" si="37"/>
        <v>-0.90791958236143511</v>
      </c>
    </row>
    <row r="44" spans="1:26" s="24" customFormat="1" hidden="1" outlineLevel="2" x14ac:dyDescent="0.25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58.03</v>
      </c>
      <c r="E44" s="2"/>
      <c r="F44" s="6">
        <f t="shared" si="30"/>
        <v>0</v>
      </c>
      <c r="G44" s="2"/>
      <c r="H44" s="7">
        <v>630.21</v>
      </c>
      <c r="I44" s="2"/>
      <c r="J44" s="6">
        <f t="shared" si="31"/>
        <v>3.3982799648637881E-2</v>
      </c>
      <c r="K44" s="2"/>
      <c r="L44" s="7">
        <f t="shared" si="32"/>
        <v>-572.18000000000006</v>
      </c>
      <c r="M44" s="2"/>
      <c r="N44" s="6">
        <f t="shared" si="33"/>
        <v>-0.90791958236143511</v>
      </c>
      <c r="O44" s="11"/>
      <c r="P44" s="7">
        <v>348.18</v>
      </c>
      <c r="Q44" s="2"/>
      <c r="R44" s="6">
        <f t="shared" si="34"/>
        <v>0</v>
      </c>
      <c r="S44" s="2"/>
      <c r="T44" s="7">
        <v>3781.26</v>
      </c>
      <c r="U44" s="2"/>
      <c r="V44" s="6">
        <f t="shared" si="35"/>
        <v>2.0931575393799046E-2</v>
      </c>
      <c r="W44" s="2"/>
      <c r="X44" s="7">
        <f t="shared" si="36"/>
        <v>-3433.0800000000004</v>
      </c>
      <c r="Y44" s="2"/>
      <c r="Z44" s="6">
        <f t="shared" si="37"/>
        <v>-0.90791958236143511</v>
      </c>
    </row>
    <row r="45" spans="1:26" s="25" customFormat="1" outlineLevel="1" collapsed="1" x14ac:dyDescent="0.25">
      <c r="A45" s="26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SUM(OSRRefD22_6x_0)</f>
        <v>0</v>
      </c>
      <c r="E45" s="1"/>
      <c r="F45" s="5">
        <f t="shared" si="30"/>
        <v>0</v>
      </c>
      <c r="G45" s="1"/>
      <c r="H45" s="1">
        <f>SUM(OSRRefH22_6x_0)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3"/>
      <c r="P45" s="1">
        <f>SUM(OSRRefP22_6x_0)</f>
        <v>0</v>
      </c>
      <c r="Q45" s="1"/>
      <c r="R45" s="5">
        <f t="shared" si="34"/>
        <v>0</v>
      </c>
      <c r="S45" s="1"/>
      <c r="T45" s="1">
        <f>SUM(OSRRefT22_6x_0)</f>
        <v>851.35</v>
      </c>
      <c r="U45" s="1"/>
      <c r="V45" s="5">
        <f t="shared" si="35"/>
        <v>4.7127403858795262E-3</v>
      </c>
      <c r="W45" s="1"/>
      <c r="X45" s="1">
        <f t="shared" si="36"/>
        <v>-851.35</v>
      </c>
      <c r="Y45" s="1"/>
      <c r="Z45" s="5">
        <f t="shared" si="37"/>
        <v>-1</v>
      </c>
    </row>
    <row r="46" spans="1:26" s="24" customFormat="1" hidden="1" outlineLevel="2" x14ac:dyDescent="0.25">
      <c r="A46" s="27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30"/>
        <v>0</v>
      </c>
      <c r="G46" s="2"/>
      <c r="H46" s="7"/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851.35</v>
      </c>
      <c r="U46" s="2"/>
      <c r="V46" s="6">
        <f t="shared" si="35"/>
        <v>4.7127403858795262E-3</v>
      </c>
      <c r="W46" s="2"/>
      <c r="X46" s="7">
        <f t="shared" si="36"/>
        <v>-851.35</v>
      </c>
      <c r="Y46" s="2"/>
      <c r="Z46" s="6">
        <f t="shared" si="37"/>
        <v>-1</v>
      </c>
    </row>
    <row r="47" spans="1:26" s="25" customFormat="1" outlineLevel="1" collapsed="1" x14ac:dyDescent="0.25">
      <c r="A47" s="26"/>
      <c r="B47" s="13" t="str">
        <f>CONCATENATE("     ","Repair and Maintenance                            ")</f>
        <v xml:space="preserve">     Repair and Maintenance                            </v>
      </c>
      <c r="C47" s="13"/>
      <c r="D47" s="1">
        <f>SUM(OSRRefD22_7x_0)</f>
        <v>165.75</v>
      </c>
      <c r="E47" s="1"/>
      <c r="F47" s="5">
        <f t="shared" si="30"/>
        <v>0</v>
      </c>
      <c r="G47" s="1"/>
      <c r="H47" s="1">
        <f>SUM(OSRRefH22_7x_0)</f>
        <v>771.55</v>
      </c>
      <c r="I47" s="1"/>
      <c r="J47" s="5">
        <f t="shared" si="31"/>
        <v>4.1604273288120712E-2</v>
      </c>
      <c r="K47" s="1"/>
      <c r="L47" s="1">
        <f t="shared" si="32"/>
        <v>-605.79999999999995</v>
      </c>
      <c r="M47" s="1"/>
      <c r="N47" s="5">
        <f t="shared" si="33"/>
        <v>-0.78517270429654595</v>
      </c>
      <c r="O47" s="13"/>
      <c r="P47" s="1">
        <f>SUM(OSRRefP22_7x_0)</f>
        <v>410.1</v>
      </c>
      <c r="Q47" s="1"/>
      <c r="R47" s="5">
        <f t="shared" si="34"/>
        <v>0</v>
      </c>
      <c r="S47" s="1"/>
      <c r="T47" s="1">
        <f>SUM(OSRRefT22_7x_0)</f>
        <v>8449.36</v>
      </c>
      <c r="U47" s="1"/>
      <c r="V47" s="5">
        <f t="shared" si="35"/>
        <v>4.6772349922869605E-2</v>
      </c>
      <c r="W47" s="1"/>
      <c r="X47" s="1">
        <f t="shared" si="36"/>
        <v>-8039.26</v>
      </c>
      <c r="Y47" s="1"/>
      <c r="Z47" s="5">
        <f t="shared" si="37"/>
        <v>-0.95146377950519323</v>
      </c>
    </row>
    <row r="48" spans="1:26" s="24" customFormat="1" hidden="1" outlineLevel="2" x14ac:dyDescent="0.25">
      <c r="A48" s="27"/>
      <c r="B48" s="11" t="str">
        <f>CONCATENATE("          ", "6371", " - ", "COMPUTER SOFTWARE MAINTENANCE")</f>
        <v xml:space="preserve">          6371 - COMPUTER SOFTWARE MAINTENANCE</v>
      </c>
      <c r="C48" s="11"/>
      <c r="D48" s="7"/>
      <c r="E48" s="2"/>
      <c r="F48" s="6">
        <f t="shared" si="30"/>
        <v>0</v>
      </c>
      <c r="G48" s="2"/>
      <c r="H48" s="7"/>
      <c r="I48" s="2"/>
      <c r="J48" s="6">
        <f t="shared" si="31"/>
        <v>0</v>
      </c>
      <c r="K48" s="2"/>
      <c r="L48" s="7">
        <f t="shared" si="32"/>
        <v>0</v>
      </c>
      <c r="M48" s="2"/>
      <c r="N48" s="6">
        <f t="shared" si="33"/>
        <v>0</v>
      </c>
      <c r="O48" s="11"/>
      <c r="P48" s="7"/>
      <c r="Q48" s="2"/>
      <c r="R48" s="6">
        <f t="shared" si="34"/>
        <v>0</v>
      </c>
      <c r="S48" s="2"/>
      <c r="T48" s="7">
        <v>874.62</v>
      </c>
      <c r="U48" s="2"/>
      <c r="V48" s="6">
        <f t="shared" si="35"/>
        <v>4.8415539981182254E-3</v>
      </c>
      <c r="W48" s="2"/>
      <c r="X48" s="7">
        <f t="shared" si="36"/>
        <v>-874.62</v>
      </c>
      <c r="Y48" s="2"/>
      <c r="Z48" s="6">
        <f t="shared" si="37"/>
        <v>-1</v>
      </c>
    </row>
    <row r="49" spans="1:26" s="24" customFormat="1" hidden="1" outlineLevel="2" x14ac:dyDescent="0.25">
      <c r="A49" s="27"/>
      <c r="B49" s="11" t="str">
        <f>CONCATENATE("          ", "6373", " - ", "MAINTENANCE CONTRACTS")</f>
        <v xml:space="preserve">          6373 - MAINTENANCE CONTRACTS</v>
      </c>
      <c r="C49" s="11"/>
      <c r="D49" s="7">
        <v>165.75</v>
      </c>
      <c r="E49" s="2"/>
      <c r="F49" s="6">
        <f t="shared" si="30"/>
        <v>0</v>
      </c>
      <c r="G49" s="2"/>
      <c r="H49" s="7">
        <v>708.93</v>
      </c>
      <c r="I49" s="2"/>
      <c r="J49" s="6">
        <f t="shared" si="31"/>
        <v>3.822761643723338E-2</v>
      </c>
      <c r="K49" s="2"/>
      <c r="L49" s="7">
        <f t="shared" si="32"/>
        <v>-543.17999999999995</v>
      </c>
      <c r="M49" s="2"/>
      <c r="N49" s="6">
        <f t="shared" si="33"/>
        <v>-0.76619694469129529</v>
      </c>
      <c r="O49" s="11"/>
      <c r="P49" s="7">
        <v>410.1</v>
      </c>
      <c r="Q49" s="2"/>
      <c r="R49" s="6">
        <f t="shared" si="34"/>
        <v>0</v>
      </c>
      <c r="S49" s="2"/>
      <c r="T49" s="7">
        <v>866.22</v>
      </c>
      <c r="U49" s="2"/>
      <c r="V49" s="6">
        <f t="shared" si="35"/>
        <v>4.7950548858360998E-3</v>
      </c>
      <c r="W49" s="2"/>
      <c r="X49" s="7">
        <f t="shared" si="36"/>
        <v>-456.12</v>
      </c>
      <c r="Y49" s="2"/>
      <c r="Z49" s="6">
        <f t="shared" si="37"/>
        <v>-0.52656369051742047</v>
      </c>
    </row>
    <row r="50" spans="1:26" s="24" customFormat="1" hidden="1" outlineLevel="2" x14ac:dyDescent="0.25">
      <c r="A50" s="27"/>
      <c r="B50" s="11" t="str">
        <f>CONCATENATE("          ", "6375", " - ", "OUTSIDE REPAIRS &amp; MAINTENANCE")</f>
        <v xml:space="preserve">          6375 - OUTSIDE REPAIRS &amp; MAINTENANCE</v>
      </c>
      <c r="C50" s="11"/>
      <c r="D50" s="7"/>
      <c r="E50" s="2"/>
      <c r="F50" s="6">
        <f t="shared" si="30"/>
        <v>0</v>
      </c>
      <c r="G50" s="2"/>
      <c r="H50" s="7">
        <v>62.62</v>
      </c>
      <c r="I50" s="2"/>
      <c r="J50" s="6">
        <f t="shared" si="31"/>
        <v>3.3766568508873294E-3</v>
      </c>
      <c r="K50" s="2"/>
      <c r="L50" s="7">
        <f t="shared" si="32"/>
        <v>-62.62</v>
      </c>
      <c r="M50" s="2"/>
      <c r="N50" s="6">
        <f t="shared" si="33"/>
        <v>-1</v>
      </c>
      <c r="O50" s="11"/>
      <c r="P50" s="7"/>
      <c r="Q50" s="2"/>
      <c r="R50" s="6">
        <f t="shared" si="34"/>
        <v>0</v>
      </c>
      <c r="S50" s="2"/>
      <c r="T50" s="7">
        <v>6708.52</v>
      </c>
      <c r="U50" s="2"/>
      <c r="V50" s="6">
        <f t="shared" si="35"/>
        <v>3.7135741038915281E-2</v>
      </c>
      <c r="W50" s="2"/>
      <c r="X50" s="7">
        <f t="shared" si="36"/>
        <v>-6708.52</v>
      </c>
      <c r="Y50" s="2"/>
      <c r="Z50" s="6">
        <f t="shared" si="37"/>
        <v>-1</v>
      </c>
    </row>
    <row r="51" spans="1:26" s="25" customFormat="1" outlineLevel="1" collapsed="1" x14ac:dyDescent="0.25">
      <c r="A51" s="26"/>
      <c r="B51" s="13" t="str">
        <f>CONCATENATE("     ","Services                                          ")</f>
        <v xml:space="preserve">     Services                                          </v>
      </c>
      <c r="C51" s="13"/>
      <c r="D51" s="1">
        <f>SUM(OSRRefD22_8x_0)</f>
        <v>0</v>
      </c>
      <c r="E51" s="1"/>
      <c r="F51" s="5">
        <f t="shared" ref="F51:F53" si="38">IF(D$12=0,0,D51/D$12)</f>
        <v>0</v>
      </c>
      <c r="G51" s="1"/>
      <c r="H51" s="1">
        <f>SUM(OSRRefH22_8x_0)</f>
        <v>78.900000000000006</v>
      </c>
      <c r="I51" s="1"/>
      <c r="J51" s="5">
        <f t="shared" ref="J51:J53" si="39">IF(H$12=0,0,H51/H$12)</f>
        <v>4.2545229245450388E-3</v>
      </c>
      <c r="K51" s="1"/>
      <c r="L51" s="1">
        <f t="shared" ref="L51:L53" si="40">+D51-H51</f>
        <v>-78.900000000000006</v>
      </c>
      <c r="M51" s="1"/>
      <c r="N51" s="5">
        <f t="shared" ref="N51:N53" si="41">IF(H51=0,0,L51/H51)</f>
        <v>-1</v>
      </c>
      <c r="O51" s="13"/>
      <c r="P51" s="1">
        <f>SUM(OSRRefP22_8x_0)</f>
        <v>286.62</v>
      </c>
      <c r="Q51" s="1"/>
      <c r="R51" s="5">
        <f t="shared" ref="R51:R53" si="42">IF(P$12=0,0,P51/P$12)</f>
        <v>0</v>
      </c>
      <c r="S51" s="1"/>
      <c r="T51" s="1">
        <f>SUM(OSRRefT22_8x_0)</f>
        <v>431.57</v>
      </c>
      <c r="U51" s="1"/>
      <c r="V51" s="5">
        <f t="shared" ref="V51:V53" si="43">IF(T$12=0,0,T51/T$12)</f>
        <v>2.3890026056663264E-3</v>
      </c>
      <c r="W51" s="1"/>
      <c r="X51" s="1">
        <f t="shared" ref="X51:X53" si="44">+P51-T51</f>
        <v>-144.94999999999999</v>
      </c>
      <c r="Y51" s="1"/>
      <c r="Z51" s="5">
        <f t="shared" ref="Z51:Z53" si="45">IF(T51=0,0,X51/T51)</f>
        <v>-0.3358667191880807</v>
      </c>
    </row>
    <row r="52" spans="1:26" s="24" customFormat="1" hidden="1" outlineLevel="2" x14ac:dyDescent="0.25">
      <c r="A52" s="27"/>
      <c r="B52" s="11" t="str">
        <f>CONCATENATE("          ", "6282", " - ", "JANITORIAL/EXTERMINATOR EXPENS")</f>
        <v xml:space="preserve">          6282 - JANITORIAL/EXTERMINATOR EXPENS</v>
      </c>
      <c r="C52" s="11"/>
      <c r="D52" s="7"/>
      <c r="E52" s="2"/>
      <c r="F52" s="6">
        <f t="shared" si="38"/>
        <v>0</v>
      </c>
      <c r="G52" s="2"/>
      <c r="H52" s="7"/>
      <c r="I52" s="2"/>
      <c r="J52" s="6">
        <f t="shared" si="39"/>
        <v>0</v>
      </c>
      <c r="K52" s="2"/>
      <c r="L52" s="7">
        <f t="shared" si="40"/>
        <v>0</v>
      </c>
      <c r="M52" s="2"/>
      <c r="N52" s="6">
        <f t="shared" si="41"/>
        <v>0</v>
      </c>
      <c r="O52" s="11"/>
      <c r="P52" s="7">
        <v>286.62</v>
      </c>
      <c r="Q52" s="2"/>
      <c r="R52" s="6">
        <f t="shared" si="42"/>
        <v>0</v>
      </c>
      <c r="S52" s="2"/>
      <c r="T52" s="7"/>
      <c r="U52" s="2"/>
      <c r="V52" s="6">
        <f t="shared" si="43"/>
        <v>0</v>
      </c>
      <c r="W52" s="2"/>
      <c r="X52" s="7">
        <f t="shared" si="44"/>
        <v>286.62</v>
      </c>
      <c r="Y52" s="2"/>
      <c r="Z52" s="6">
        <f t="shared" si="45"/>
        <v>0</v>
      </c>
    </row>
    <row r="53" spans="1:26" s="24" customFormat="1" hidden="1" outlineLevel="2" x14ac:dyDescent="0.25">
      <c r="A53" s="27"/>
      <c r="B53" s="11" t="str">
        <f>CONCATENATE("          ", "6286", " - ", "LAUNDRY EXPENSE")</f>
        <v xml:space="preserve">          6286 - LAUNDRY EXPENSE</v>
      </c>
      <c r="C53" s="11"/>
      <c r="D53" s="7"/>
      <c r="E53" s="2"/>
      <c r="F53" s="6">
        <f t="shared" si="38"/>
        <v>0</v>
      </c>
      <c r="G53" s="2"/>
      <c r="H53" s="7">
        <v>78.900000000000006</v>
      </c>
      <c r="I53" s="2"/>
      <c r="J53" s="6">
        <f t="shared" si="39"/>
        <v>4.2545229245450388E-3</v>
      </c>
      <c r="K53" s="2"/>
      <c r="L53" s="7">
        <f t="shared" si="40"/>
        <v>-78.900000000000006</v>
      </c>
      <c r="M53" s="2"/>
      <c r="N53" s="6">
        <f t="shared" si="41"/>
        <v>-1</v>
      </c>
      <c r="O53" s="11"/>
      <c r="P53" s="7"/>
      <c r="Q53" s="2"/>
      <c r="R53" s="6">
        <f t="shared" si="42"/>
        <v>0</v>
      </c>
      <c r="S53" s="2"/>
      <c r="T53" s="7">
        <v>431.57</v>
      </c>
      <c r="U53" s="2"/>
      <c r="V53" s="6">
        <f t="shared" si="43"/>
        <v>2.3890026056663264E-3</v>
      </c>
      <c r="W53" s="2"/>
      <c r="X53" s="7">
        <f t="shared" si="44"/>
        <v>-431.57</v>
      </c>
      <c r="Y53" s="2"/>
      <c r="Z53" s="6">
        <f t="shared" si="45"/>
        <v>-1</v>
      </c>
    </row>
    <row r="54" spans="1:26" s="25" customFormat="1" outlineLevel="1" collapsed="1" x14ac:dyDescent="0.25">
      <c r="A54" s="26"/>
      <c r="B54" s="13" t="str">
        <f>CONCATENATE("     ","Supplies                                          ")</f>
        <v xml:space="preserve">     Supplies                                          </v>
      </c>
      <c r="C54" s="13"/>
      <c r="D54" s="1">
        <f>SUM(OSRRefD22_9x_0)</f>
        <v>0</v>
      </c>
      <c r="E54" s="1"/>
      <c r="F54" s="5">
        <f t="shared" ref="F54:F59" si="46">IF(D$12=0,0,D54/D$12)</f>
        <v>0</v>
      </c>
      <c r="G54" s="1"/>
      <c r="H54" s="1">
        <f>SUM(OSRRefH22_9x_0)</f>
        <v>49.59</v>
      </c>
      <c r="I54" s="1"/>
      <c r="J54" s="5">
        <f t="shared" ref="J54:J59" si="47">IF(H$12=0,0,H54/H$12)</f>
        <v>2.6740404540961781E-3</v>
      </c>
      <c r="K54" s="1"/>
      <c r="L54" s="1">
        <f t="shared" ref="L54:L59" si="48">+D54-H54</f>
        <v>-49.59</v>
      </c>
      <c r="M54" s="1"/>
      <c r="N54" s="5">
        <f t="shared" ref="N54:N59" si="49">IF(H54=0,0,L54/H54)</f>
        <v>-1</v>
      </c>
      <c r="O54" s="13"/>
      <c r="P54" s="1">
        <f>SUM(OSRRefP22_9x_0)</f>
        <v>0</v>
      </c>
      <c r="Q54" s="1"/>
      <c r="R54" s="5">
        <f t="shared" ref="R54:R59" si="50">IF(P$12=0,0,P54/P$12)</f>
        <v>0</v>
      </c>
      <c r="S54" s="1"/>
      <c r="T54" s="1">
        <f>SUM(OSRRefT22_9x_0)</f>
        <v>2982.2300000000005</v>
      </c>
      <c r="U54" s="1"/>
      <c r="V54" s="5">
        <f t="shared" ref="V54:V59" si="51">IF(T$12=0,0,T54/T$12)</f>
        <v>1.6508458050133908E-2</v>
      </c>
      <c r="W54" s="1"/>
      <c r="X54" s="1">
        <f t="shared" ref="X54:X59" si="52">+P54-T54</f>
        <v>-2982.2300000000005</v>
      </c>
      <c r="Y54" s="1"/>
      <c r="Z54" s="5">
        <f t="shared" ref="Z54:Z59" si="53">IF(T54=0,0,X54/T54)</f>
        <v>-1</v>
      </c>
    </row>
    <row r="55" spans="1:26" s="24" customFormat="1" hidden="1" outlineLevel="2" x14ac:dyDescent="0.25">
      <c r="A55" s="27"/>
      <c r="B55" s="11" t="str">
        <f>CONCATENATE("          ", "6239", " - ", "KITCHEN SUPPLIES")</f>
        <v xml:space="preserve">          6239 - KITCHEN SUPPLIES</v>
      </c>
      <c r="C55" s="11"/>
      <c r="D55" s="7"/>
      <c r="E55" s="2"/>
      <c r="F55" s="6">
        <f t="shared" si="46"/>
        <v>0</v>
      </c>
      <c r="G55" s="2"/>
      <c r="H55" s="7"/>
      <c r="I55" s="2"/>
      <c r="J55" s="6">
        <f t="shared" si="47"/>
        <v>0</v>
      </c>
      <c r="K55" s="2"/>
      <c r="L55" s="7">
        <f t="shared" si="48"/>
        <v>0</v>
      </c>
      <c r="M55" s="2"/>
      <c r="N55" s="6">
        <f t="shared" si="49"/>
        <v>0</v>
      </c>
      <c r="O55" s="11"/>
      <c r="P55" s="7"/>
      <c r="Q55" s="2"/>
      <c r="R55" s="6">
        <f t="shared" si="50"/>
        <v>0</v>
      </c>
      <c r="S55" s="2"/>
      <c r="T55" s="7">
        <v>540.89</v>
      </c>
      <c r="U55" s="2"/>
      <c r="V55" s="6">
        <f t="shared" si="51"/>
        <v>2.9941553383665671E-3</v>
      </c>
      <c r="W55" s="2"/>
      <c r="X55" s="7">
        <f t="shared" si="52"/>
        <v>-540.89</v>
      </c>
      <c r="Y55" s="2"/>
      <c r="Z55" s="6">
        <f t="shared" si="53"/>
        <v>-1</v>
      </c>
    </row>
    <row r="56" spans="1:26" s="24" customFormat="1" hidden="1" outlineLevel="2" x14ac:dyDescent="0.25">
      <c r="A56" s="27"/>
      <c r="B56" s="11" t="str">
        <f>CONCATENATE("          ", "6241", " - ", "OFFICE EXPENSE")</f>
        <v xml:space="preserve">          6241 - OFFICE EXPENSE</v>
      </c>
      <c r="C56" s="11"/>
      <c r="D56" s="7"/>
      <c r="E56" s="2"/>
      <c r="F56" s="6">
        <f t="shared" si="46"/>
        <v>0</v>
      </c>
      <c r="G56" s="2"/>
      <c r="H56" s="7"/>
      <c r="I56" s="2"/>
      <c r="J56" s="6">
        <f t="shared" si="47"/>
        <v>0</v>
      </c>
      <c r="K56" s="2"/>
      <c r="L56" s="7">
        <f t="shared" si="48"/>
        <v>0</v>
      </c>
      <c r="M56" s="2"/>
      <c r="N56" s="6">
        <f t="shared" si="49"/>
        <v>0</v>
      </c>
      <c r="O56" s="11"/>
      <c r="P56" s="7"/>
      <c r="Q56" s="2"/>
      <c r="R56" s="6">
        <f t="shared" si="50"/>
        <v>0</v>
      </c>
      <c r="S56" s="2"/>
      <c r="T56" s="7">
        <v>910.32</v>
      </c>
      <c r="U56" s="2"/>
      <c r="V56" s="6">
        <f t="shared" si="51"/>
        <v>5.0391752253172613E-3</v>
      </c>
      <c r="W56" s="2"/>
      <c r="X56" s="7">
        <f t="shared" si="52"/>
        <v>-910.32</v>
      </c>
      <c r="Y56" s="2"/>
      <c r="Z56" s="6">
        <f t="shared" si="53"/>
        <v>-1</v>
      </c>
    </row>
    <row r="57" spans="1:26" s="24" customFormat="1" hidden="1" outlineLevel="2" x14ac:dyDescent="0.25">
      <c r="A57" s="27"/>
      <c r="B57" s="11" t="str">
        <f>CONCATENATE("          ", "6243", " - ", "PAPER SUPPLIES")</f>
        <v xml:space="preserve">          6243 - PAPER SUPPLIES</v>
      </c>
      <c r="C57" s="11"/>
      <c r="D57" s="7"/>
      <c r="E57" s="2"/>
      <c r="F57" s="6">
        <f t="shared" si="46"/>
        <v>0</v>
      </c>
      <c r="G57" s="2"/>
      <c r="H57" s="7">
        <v>49.59</v>
      </c>
      <c r="I57" s="2"/>
      <c r="J57" s="6">
        <f t="shared" si="47"/>
        <v>2.6740404540961781E-3</v>
      </c>
      <c r="K57" s="2"/>
      <c r="L57" s="7">
        <f t="shared" si="48"/>
        <v>-49.59</v>
      </c>
      <c r="M57" s="2"/>
      <c r="N57" s="6">
        <f t="shared" si="49"/>
        <v>-1</v>
      </c>
      <c r="O57" s="11"/>
      <c r="P57" s="7"/>
      <c r="Q57" s="2"/>
      <c r="R57" s="6">
        <f t="shared" si="50"/>
        <v>0</v>
      </c>
      <c r="S57" s="2"/>
      <c r="T57" s="7">
        <v>792.8</v>
      </c>
      <c r="U57" s="2"/>
      <c r="V57" s="6">
        <f t="shared" si="51"/>
        <v>4.3886305020558979E-3</v>
      </c>
      <c r="W57" s="2"/>
      <c r="X57" s="7">
        <f t="shared" si="52"/>
        <v>-792.8</v>
      </c>
      <c r="Y57" s="2"/>
      <c r="Z57" s="6">
        <f t="shared" si="53"/>
        <v>-1</v>
      </c>
    </row>
    <row r="58" spans="1:26" s="24" customFormat="1" hidden="1" outlineLevel="2" x14ac:dyDescent="0.25">
      <c r="A58" s="27"/>
      <c r="B58" s="11" t="str">
        <f>CONCATENATE("          ", "6247", " - ", "STORE SUPPLIES")</f>
        <v xml:space="preserve">          6247 - STORE SUPPLIES</v>
      </c>
      <c r="C58" s="11"/>
      <c r="D58" s="7"/>
      <c r="E58" s="2"/>
      <c r="F58" s="6">
        <f t="shared" si="46"/>
        <v>0</v>
      </c>
      <c r="G58" s="2"/>
      <c r="H58" s="7"/>
      <c r="I58" s="2"/>
      <c r="J58" s="6">
        <f t="shared" si="47"/>
        <v>0</v>
      </c>
      <c r="K58" s="2"/>
      <c r="L58" s="7">
        <f t="shared" si="48"/>
        <v>0</v>
      </c>
      <c r="M58" s="2"/>
      <c r="N58" s="6">
        <f t="shared" si="49"/>
        <v>0</v>
      </c>
      <c r="O58" s="11"/>
      <c r="P58" s="7"/>
      <c r="Q58" s="2"/>
      <c r="R58" s="6">
        <f t="shared" si="50"/>
        <v>0</v>
      </c>
      <c r="S58" s="2"/>
      <c r="T58" s="7">
        <v>42.98</v>
      </c>
      <c r="U58" s="2"/>
      <c r="V58" s="6">
        <f t="shared" si="51"/>
        <v>2.37920457843545E-4</v>
      </c>
      <c r="W58" s="2"/>
      <c r="X58" s="7">
        <f t="shared" si="52"/>
        <v>-42.98</v>
      </c>
      <c r="Y58" s="2"/>
      <c r="Z58" s="6">
        <f t="shared" si="53"/>
        <v>-1</v>
      </c>
    </row>
    <row r="59" spans="1:26" s="24" customFormat="1" hidden="1" outlineLevel="2" x14ac:dyDescent="0.25">
      <c r="A59" s="27"/>
      <c r="B59" s="11" t="str">
        <f>CONCATENATE("          ", "6248", " - ", "UNIFORMS")</f>
        <v xml:space="preserve">          6248 - UNIFORMS</v>
      </c>
      <c r="C59" s="11"/>
      <c r="D59" s="7"/>
      <c r="E59" s="2"/>
      <c r="F59" s="6">
        <f t="shared" si="46"/>
        <v>0</v>
      </c>
      <c r="G59" s="2"/>
      <c r="H59" s="7"/>
      <c r="I59" s="2"/>
      <c r="J59" s="6">
        <f t="shared" si="47"/>
        <v>0</v>
      </c>
      <c r="K59" s="2"/>
      <c r="L59" s="7">
        <f t="shared" si="48"/>
        <v>0</v>
      </c>
      <c r="M59" s="2"/>
      <c r="N59" s="6">
        <f t="shared" si="49"/>
        <v>0</v>
      </c>
      <c r="O59" s="11"/>
      <c r="P59" s="7"/>
      <c r="Q59" s="2"/>
      <c r="R59" s="6">
        <f t="shared" si="50"/>
        <v>0</v>
      </c>
      <c r="S59" s="2"/>
      <c r="T59" s="7">
        <v>695.24</v>
      </c>
      <c r="U59" s="2"/>
      <c r="V59" s="6">
        <f t="shared" si="51"/>
        <v>3.8485765265506336E-3</v>
      </c>
      <c r="W59" s="2"/>
      <c r="X59" s="7">
        <f t="shared" si="52"/>
        <v>-695.24</v>
      </c>
      <c r="Y59" s="2"/>
      <c r="Z59" s="6">
        <f t="shared" si="53"/>
        <v>-1</v>
      </c>
    </row>
    <row r="60" spans="1:26" s="25" customFormat="1" outlineLevel="1" collapsed="1" x14ac:dyDescent="0.25">
      <c r="A60" s="26"/>
      <c r="B60" s="13" t="str">
        <f>CONCATENATE("     ","Telephone/Data Lines                              ")</f>
        <v xml:space="preserve">     Telephone/Data Lines                              </v>
      </c>
      <c r="C60" s="13"/>
      <c r="D60" s="1">
        <f>SUM(OSRRefD22_10x_0)</f>
        <v>-138</v>
      </c>
      <c r="E60" s="1"/>
      <c r="F60" s="5">
        <f t="shared" ref="F60:F61" si="54">IF(D$12=0,0,D60/D$12)</f>
        <v>0</v>
      </c>
      <c r="G60" s="1"/>
      <c r="H60" s="1">
        <f>SUM(OSRRefH22_10x_0)</f>
        <v>71</v>
      </c>
      <c r="I60" s="1"/>
      <c r="J60" s="5">
        <f t="shared" ref="J60:J61" si="55">IF(H$12=0,0,H60/H$12)</f>
        <v>3.8285314023155602E-3</v>
      </c>
      <c r="K60" s="1"/>
      <c r="L60" s="1">
        <f t="shared" ref="L60:L61" si="56">+D60-H60</f>
        <v>-209</v>
      </c>
      <c r="M60" s="1"/>
      <c r="N60" s="5">
        <f t="shared" ref="N60:N61" si="57">IF(H60=0,0,L60/H60)</f>
        <v>-2.943661971830986</v>
      </c>
      <c r="O60" s="13"/>
      <c r="P60" s="1">
        <f>SUM(OSRRefP22_10x_0)</f>
        <v>49.7</v>
      </c>
      <c r="Q60" s="1"/>
      <c r="R60" s="5">
        <f t="shared" ref="R60:R61" si="58">IF(P$12=0,0,P60/P$12)</f>
        <v>0</v>
      </c>
      <c r="S60" s="1"/>
      <c r="T60" s="1">
        <f>SUM(OSRRefT22_10x_0)</f>
        <v>426</v>
      </c>
      <c r="U60" s="1"/>
      <c r="V60" s="5">
        <f t="shared" ref="V60:V61" si="59">IF(T$12=0,0,T60/T$12)</f>
        <v>2.3581692657363932E-3</v>
      </c>
      <c r="W60" s="1"/>
      <c r="X60" s="1">
        <f t="shared" ref="X60:X61" si="60">+P60-T60</f>
        <v>-376.3</v>
      </c>
      <c r="Y60" s="1"/>
      <c r="Z60" s="5">
        <f t="shared" ref="Z60:Z61" si="61">IF(T60=0,0,X60/T60)</f>
        <v>-0.88333333333333341</v>
      </c>
    </row>
    <row r="61" spans="1:26" s="24" customFormat="1" hidden="1" outlineLevel="2" x14ac:dyDescent="0.25">
      <c r="A61" s="27"/>
      <c r="B61" s="11" t="str">
        <f>CONCATENATE("          ", "6309", " - ", "TELEPHONE")</f>
        <v xml:space="preserve">          6309 - TELEPHONE</v>
      </c>
      <c r="C61" s="11"/>
      <c r="D61" s="7">
        <v>-138</v>
      </c>
      <c r="E61" s="2"/>
      <c r="F61" s="6">
        <f t="shared" si="54"/>
        <v>0</v>
      </c>
      <c r="G61" s="2"/>
      <c r="H61" s="7">
        <v>71</v>
      </c>
      <c r="I61" s="2"/>
      <c r="J61" s="6">
        <f t="shared" si="55"/>
        <v>3.8285314023155602E-3</v>
      </c>
      <c r="K61" s="2"/>
      <c r="L61" s="7">
        <f t="shared" si="56"/>
        <v>-209</v>
      </c>
      <c r="M61" s="2"/>
      <c r="N61" s="6">
        <f t="shared" si="57"/>
        <v>-2.943661971830986</v>
      </c>
      <c r="O61" s="11"/>
      <c r="P61" s="7">
        <v>49.7</v>
      </c>
      <c r="Q61" s="2"/>
      <c r="R61" s="6">
        <f t="shared" si="58"/>
        <v>0</v>
      </c>
      <c r="S61" s="2"/>
      <c r="T61" s="7">
        <v>426</v>
      </c>
      <c r="U61" s="2"/>
      <c r="V61" s="6">
        <f t="shared" si="59"/>
        <v>2.3581692657363932E-3</v>
      </c>
      <c r="W61" s="2"/>
      <c r="X61" s="7">
        <f t="shared" si="60"/>
        <v>-376.3</v>
      </c>
      <c r="Y61" s="2"/>
      <c r="Z61" s="6">
        <f t="shared" si="61"/>
        <v>-0.88333333333333341</v>
      </c>
    </row>
    <row r="62" spans="1:26" s="55" customFormat="1" x14ac:dyDescent="0.25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collapsed="1" x14ac:dyDescent="0.25">
      <c r="A63" s="10"/>
      <c r="B63" s="29" t="s">
        <v>0</v>
      </c>
      <c r="C63" s="10"/>
      <c r="D63" s="4">
        <f>SUM(OSRRefD25x_0)</f>
        <v>0</v>
      </c>
      <c r="E63" s="4"/>
      <c r="F63" s="12">
        <f t="shared" ref="F63:F64" si="62">IF(D$12=0,0,D63/D$12)</f>
        <v>0</v>
      </c>
      <c r="G63" s="4"/>
      <c r="H63" s="4">
        <f>SUM(OSRRefH25x_0)</f>
        <v>36</v>
      </c>
      <c r="I63" s="4"/>
      <c r="J63" s="12">
        <f t="shared" ref="J63:J64" si="63">IF(H$12=0,0,H63/H$12)</f>
        <v>1.9412271899064812E-3</v>
      </c>
      <c r="K63" s="4"/>
      <c r="L63" s="4">
        <f t="shared" ref="L63:L64" si="64">+D63-H63</f>
        <v>-36</v>
      </c>
      <c r="M63" s="4"/>
      <c r="N63" s="12">
        <f t="shared" ref="N63:N64" si="65">IF(H63=0,0,L63/H63)</f>
        <v>-1</v>
      </c>
      <c r="O63" s="10"/>
      <c r="P63" s="4">
        <f>SUM(OSRRefP25x_0)</f>
        <v>0</v>
      </c>
      <c r="Q63" s="4"/>
      <c r="R63" s="12">
        <f t="shared" ref="R63:R64" si="66">IF(P$12=0,0,P63/P$12)</f>
        <v>0</v>
      </c>
      <c r="S63" s="4"/>
      <c r="T63" s="4">
        <f>SUM(OSRRefT25x_0)</f>
        <v>392</v>
      </c>
      <c r="U63" s="4"/>
      <c r="V63" s="12">
        <f t="shared" ref="V63:V64" si="67">IF(T$12=0,0,T63/T$12)</f>
        <v>2.1699585731658829E-3</v>
      </c>
      <c r="W63" s="4"/>
      <c r="X63" s="4">
        <f t="shared" ref="X63:X64" si="68">+P63-T63</f>
        <v>-392</v>
      </c>
      <c r="Y63" s="4"/>
      <c r="Z63" s="12">
        <f t="shared" ref="Z63:Z64" si="69">IF(T63=0,0,X63/T63)</f>
        <v>-1</v>
      </c>
    </row>
    <row r="64" spans="1:26" s="24" customFormat="1" hidden="1" outlineLevel="1" x14ac:dyDescent="0.25">
      <c r="A64" s="44"/>
      <c r="B64" s="11" t="str">
        <f>CONCATENATE("          ", "9150", " - ", "MISC. INCOME")</f>
        <v xml:space="preserve">          9150 - MISC. INCOME</v>
      </c>
      <c r="C64" s="11"/>
      <c r="D64" s="2">
        <f>0</f>
        <v>0</v>
      </c>
      <c r="E64" s="2"/>
      <c r="F64" s="19">
        <f t="shared" si="62"/>
        <v>0</v>
      </c>
      <c r="G64" s="2"/>
      <c r="H64" s="2">
        <f>--36</f>
        <v>36</v>
      </c>
      <c r="I64" s="2"/>
      <c r="J64" s="19">
        <f t="shared" si="63"/>
        <v>1.9412271899064812E-3</v>
      </c>
      <c r="K64" s="2"/>
      <c r="L64" s="2">
        <f t="shared" si="64"/>
        <v>-36</v>
      </c>
      <c r="M64" s="2"/>
      <c r="N64" s="19">
        <f t="shared" si="65"/>
        <v>-1</v>
      </c>
      <c r="O64" s="11"/>
      <c r="P64" s="2">
        <f>0</f>
        <v>0</v>
      </c>
      <c r="Q64" s="2"/>
      <c r="R64" s="19">
        <f t="shared" si="66"/>
        <v>0</v>
      </c>
      <c r="S64" s="2"/>
      <c r="T64" s="2">
        <f>--392</f>
        <v>392</v>
      </c>
      <c r="U64" s="2"/>
      <c r="V64" s="19">
        <f t="shared" si="67"/>
        <v>2.1699585731658829E-3</v>
      </c>
      <c r="W64" s="2"/>
      <c r="X64" s="2">
        <f t="shared" si="68"/>
        <v>-392</v>
      </c>
      <c r="Y64" s="2"/>
      <c r="Z64" s="19">
        <f t="shared" si="69"/>
        <v>-1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8" t="s">
        <v>3</v>
      </c>
      <c r="C66" s="28"/>
      <c r="D66" s="20">
        <f>+D20-D22+D63</f>
        <v>-85.78</v>
      </c>
      <c r="E66" s="14"/>
      <c r="F66" s="21">
        <f>IF(D$12=0,0,D66/D$12)</f>
        <v>0</v>
      </c>
      <c r="G66" s="14"/>
      <c r="H66" s="20">
        <f>+H20-H22+H63</f>
        <v>-4779.9299999999967</v>
      </c>
      <c r="I66" s="14"/>
      <c r="J66" s="21">
        <f>IF(H$12=0,0,H66/H$12)</f>
        <v>-0.25774805782915777</v>
      </c>
      <c r="K66" s="15"/>
      <c r="L66" s="20">
        <f>+D66-H66</f>
        <v>4694.1499999999969</v>
      </c>
      <c r="M66" s="15"/>
      <c r="N66" s="21">
        <f>IF(H66=0,0,L66/H66)</f>
        <v>-0.98205413049981904</v>
      </c>
      <c r="O66" s="29"/>
      <c r="P66" s="20">
        <f>+P20-P22+P63</f>
        <v>-4847.51</v>
      </c>
      <c r="Q66" s="14"/>
      <c r="R66" s="21">
        <f>IF(P$12=0,0,P66/P$12)</f>
        <v>0</v>
      </c>
      <c r="S66" s="14"/>
      <c r="T66" s="20">
        <f>+T20-T22+T63</f>
        <v>2763.8199999999633</v>
      </c>
      <c r="U66" s="14"/>
      <c r="V66" s="21">
        <f>IF(T$12=0,0,T66/T$12)</f>
        <v>1.5299425774712374E-2</v>
      </c>
      <c r="W66" s="15"/>
      <c r="X66" s="20">
        <f>+P66-T66</f>
        <v>-7611.3299999999635</v>
      </c>
      <c r="Y66" s="15"/>
      <c r="Z66" s="21">
        <f>IF(T66=0,0,X66/T66)</f>
        <v>-2.7539166805363826</v>
      </c>
    </row>
    <row r="67" spans="1:26" x14ac:dyDescent="0.25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51"/>
      <c r="B68" s="10" t="s">
        <v>13</v>
      </c>
      <c r="C68" s="10"/>
      <c r="D68" s="4"/>
      <c r="E68" s="4"/>
      <c r="F68" s="12">
        <f>IF(D$12=0,0,D68/D$12)</f>
        <v>0</v>
      </c>
      <c r="G68" s="4"/>
      <c r="H68" s="4">
        <v>2345.7600000000002</v>
      </c>
      <c r="I68" s="4"/>
      <c r="J68" s="12">
        <f>IF(H$12=0,0,H68/H$12)</f>
        <v>0.12649036369430633</v>
      </c>
      <c r="K68" s="4"/>
      <c r="L68" s="4">
        <f>+D68-H68</f>
        <v>-2345.7600000000002</v>
      </c>
      <c r="M68" s="4"/>
      <c r="N68" s="12">
        <f>IF(H68=0,0,L68/H68)</f>
        <v>-1</v>
      </c>
      <c r="O68" s="10"/>
      <c r="P68" s="4"/>
      <c r="Q68" s="4"/>
      <c r="R68" s="12">
        <f>IF(P$12=0,0,P68/P$12)</f>
        <v>0</v>
      </c>
      <c r="S68" s="4"/>
      <c r="T68" s="4">
        <v>19511.439999999999</v>
      </c>
      <c r="U68" s="4"/>
      <c r="V68" s="12">
        <f>IF(T$12=0,0,T68/T$12)</f>
        <v>0.10800769516023401</v>
      </c>
      <c r="W68" s="4"/>
      <c r="X68" s="4">
        <f>+P68-T68</f>
        <v>-19511.439999999999</v>
      </c>
      <c r="Y68" s="4"/>
      <c r="Z68" s="12">
        <f>IF(T68=0,0,X68/T68)</f>
        <v>-1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4</v>
      </c>
      <c r="C70" s="28"/>
      <c r="D70" s="33">
        <f>+D66-D68</f>
        <v>-85.78</v>
      </c>
      <c r="E70" s="14"/>
      <c r="F70" s="34">
        <f>IF(D$12=0,0,D70/D$12)</f>
        <v>0</v>
      </c>
      <c r="G70" s="14"/>
      <c r="H70" s="33">
        <f>+H66-H68</f>
        <v>-7125.6899999999969</v>
      </c>
      <c r="I70" s="14"/>
      <c r="J70" s="34">
        <f>IF(H$12=0,0,H70/H$12)</f>
        <v>-0.3842384215234641</v>
      </c>
      <c r="K70" s="15"/>
      <c r="L70" s="33">
        <f>D70-H70</f>
        <v>7039.9099999999971</v>
      </c>
      <c r="M70" s="15"/>
      <c r="N70" s="34">
        <f>IF(H70=0,0,L70/H70)</f>
        <v>-0.98796186755247561</v>
      </c>
      <c r="O70" s="29"/>
      <c r="P70" s="33">
        <f>+P66-P68</f>
        <v>-4847.51</v>
      </c>
      <c r="Q70" s="14"/>
      <c r="R70" s="34">
        <f>IF(P$12=0,0,P70/P$12)</f>
        <v>0</v>
      </c>
      <c r="S70" s="14"/>
      <c r="T70" s="33">
        <f>+T66-T68</f>
        <v>-16747.620000000035</v>
      </c>
      <c r="U70" s="14"/>
      <c r="V70" s="34">
        <f>IF(T$12=0,0,T70/T$12)</f>
        <v>-9.2708269385521624E-2</v>
      </c>
      <c r="W70" s="15"/>
      <c r="X70" s="33">
        <f>P70-T70</f>
        <v>11900.110000000035</v>
      </c>
      <c r="Y70" s="15"/>
      <c r="Z70" s="34">
        <f>IF(T70=0,0,X70/T70)</f>
        <v>-0.71055529084132607</v>
      </c>
    </row>
    <row r="71" spans="1:26" ht="15.75" thickTop="1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8" t="s">
        <v>5</v>
      </c>
      <c r="C73" s="28"/>
      <c r="D73" s="30">
        <f>SUM(D70:D72)</f>
        <v>-85.78</v>
      </c>
      <c r="E73" s="14"/>
      <c r="F73" s="32">
        <f>IF(D$12=0,0,D73/D$12)</f>
        <v>0</v>
      </c>
      <c r="G73" s="14"/>
      <c r="H73" s="30">
        <f>SUM(H70:H72)</f>
        <v>-7125.6899999999969</v>
      </c>
      <c r="I73" s="14"/>
      <c r="J73" s="32">
        <f>IF(H$12=0,0,H73/H$12)</f>
        <v>-0.3842384215234641</v>
      </c>
      <c r="K73" s="15"/>
      <c r="L73" s="30">
        <f>+D73-H73</f>
        <v>7039.9099999999971</v>
      </c>
      <c r="M73" s="15"/>
      <c r="N73" s="32">
        <f>IF(H73=0,0,L73/H73)</f>
        <v>-0.98796186755247561</v>
      </c>
      <c r="O73" s="29"/>
      <c r="P73" s="30">
        <f>SUM(P70:P72)</f>
        <v>-4847.51</v>
      </c>
      <c r="Q73" s="14"/>
      <c r="R73" s="32">
        <f>IF(P$12=0,0,P73/P$12)</f>
        <v>0</v>
      </c>
      <c r="S73" s="14"/>
      <c r="T73" s="30">
        <f>SUM(T70:T72)</f>
        <v>-16747.620000000035</v>
      </c>
      <c r="U73" s="14"/>
      <c r="V73" s="32">
        <f>IF(T$12=0,0,T73/T$12)</f>
        <v>-9.2708269385521624E-2</v>
      </c>
      <c r="W73" s="15"/>
      <c r="X73" s="30">
        <f>+P73-T73</f>
        <v>11900.110000000035</v>
      </c>
      <c r="Y73" s="15"/>
      <c r="Z73" s="32">
        <f>IF(T73=0,0,X73/T73)</f>
        <v>-0.71055529084132607</v>
      </c>
    </row>
    <row r="74" spans="1:26" ht="15.75" thickTop="1" x14ac:dyDescent="0.25">
      <c r="A74" s="9"/>
      <c r="C74" s="9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58">
        <v>44209.522064004632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61" t="s">
        <v>313</v>
      </c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57"/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","414", " - ", "Starbucks UDP")</f>
        <v>Department 414 - Starbucks UDP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54825.479999999996</v>
      </c>
      <c r="I12" s="4"/>
      <c r="J12" s="12"/>
      <c r="K12" s="4"/>
      <c r="L12" s="4">
        <f t="shared" ref="L12:L14" si="0">+D12-H12</f>
        <v>-54825.479999999996</v>
      </c>
      <c r="M12" s="4"/>
      <c r="N12" s="12">
        <f t="shared" ref="N12:N14" si="1">IF(H12=0,0,L12/H12)</f>
        <v>-1</v>
      </c>
      <c r="O12" s="10"/>
      <c r="P12" s="4">
        <f>SUM(OSRRefP13x_0)</f>
        <v>974.91</v>
      </c>
      <c r="Q12" s="4"/>
      <c r="R12" s="12"/>
      <c r="S12" s="4"/>
      <c r="T12" s="4">
        <f>SUM(OSRRefT13x_0)</f>
        <v>406515.15</v>
      </c>
      <c r="U12" s="4"/>
      <c r="V12" s="12"/>
      <c r="W12" s="4"/>
      <c r="X12" s="4">
        <f t="shared" ref="X12:X14" si="2">+P12-T12</f>
        <v>-405540.24000000005</v>
      </c>
      <c r="Y12" s="4"/>
      <c r="Z12" s="12">
        <f t="shared" ref="Z12:Z14" si="3">IF(T12=0,0,X12/T12)</f>
        <v>-0.99760178679687594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 t="shared" ref="D13:D14" si="4">0</f>
        <v>0</v>
      </c>
      <c r="E13" s="2"/>
      <c r="F13" s="19"/>
      <c r="G13" s="2"/>
      <c r="H13" s="2">
        <f>--9096.8</f>
        <v>9096.7999999999993</v>
      </c>
      <c r="I13" s="2"/>
      <c r="J13" s="19"/>
      <c r="K13" s="2"/>
      <c r="L13" s="2">
        <f t="shared" si="0"/>
        <v>-9096.7999999999993</v>
      </c>
      <c r="M13" s="2"/>
      <c r="N13" s="19">
        <f t="shared" si="1"/>
        <v>-1</v>
      </c>
      <c r="O13" s="11"/>
      <c r="P13" s="2">
        <f>--974.91</f>
        <v>974.91</v>
      </c>
      <c r="Q13" s="2"/>
      <c r="R13" s="19"/>
      <c r="S13" s="2"/>
      <c r="T13" s="2">
        <f>--87899.21</f>
        <v>87899.21</v>
      </c>
      <c r="U13" s="2"/>
      <c r="V13" s="19"/>
      <c r="W13" s="2"/>
      <c r="X13" s="2">
        <f t="shared" si="2"/>
        <v>-86924.3</v>
      </c>
      <c r="Y13" s="2"/>
      <c r="Z13" s="19">
        <f t="shared" si="3"/>
        <v>-0.9889087740379009</v>
      </c>
    </row>
    <row r="14" spans="1:26" s="24" customFormat="1" hidden="1" outlineLevel="1" x14ac:dyDescent="0.2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 t="shared" si="4"/>
        <v>0</v>
      </c>
      <c r="E14" s="2"/>
      <c r="F14" s="19"/>
      <c r="G14" s="2"/>
      <c r="H14" s="2">
        <f>--45728.68</f>
        <v>45728.68</v>
      </c>
      <c r="I14" s="2"/>
      <c r="J14" s="19"/>
      <c r="K14" s="2"/>
      <c r="L14" s="2">
        <f t="shared" si="0"/>
        <v>-45728.68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--318615.94</f>
        <v>318615.94</v>
      </c>
      <c r="U14" s="2"/>
      <c r="V14" s="19"/>
      <c r="W14" s="2"/>
      <c r="X14" s="2">
        <f t="shared" si="2"/>
        <v>-318615.94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13944.96</v>
      </c>
      <c r="I16" s="4"/>
      <c r="J16" s="12">
        <f t="shared" ref="J16:J18" si="6">IF(H$12=0,0,H16/H$12)</f>
        <v>0.25435180868457513</v>
      </c>
      <c r="K16" s="4"/>
      <c r="L16" s="4">
        <f t="shared" ref="L16:L18" si="7">+D16-H16</f>
        <v>-13944.96</v>
      </c>
      <c r="M16" s="4"/>
      <c r="N16" s="12">
        <f t="shared" ref="N16:N18" si="8">IF(H16=0,0,L16/H16)</f>
        <v>-1</v>
      </c>
      <c r="O16" s="10"/>
      <c r="P16" s="4">
        <f>SUM(OSRRefP16x_0)</f>
        <v>0</v>
      </c>
      <c r="Q16" s="4"/>
      <c r="R16" s="12">
        <f t="shared" ref="R16:R18" si="9">IF(P$12=0,0,P16/P$12)</f>
        <v>0</v>
      </c>
      <c r="S16" s="4"/>
      <c r="T16" s="4">
        <f>SUM(OSRRefT16x_0)</f>
        <v>128036.51000000001</v>
      </c>
      <c r="U16" s="4"/>
      <c r="V16" s="12">
        <f t="shared" ref="V16:V18" si="10">IF(T$12=0,0,T16/T$12)</f>
        <v>0.31496122592233033</v>
      </c>
      <c r="W16" s="4"/>
      <c r="X16" s="4">
        <f t="shared" ref="X16:X18" si="11">+P16-T16</f>
        <v>-128036.51000000001</v>
      </c>
      <c r="Y16" s="4"/>
      <c r="Z16" s="12">
        <f t="shared" ref="Z16:Z18" si="12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14960.96</v>
      </c>
      <c r="I17" s="2"/>
      <c r="J17" s="19">
        <f t="shared" si="6"/>
        <v>0.27288333818509203</v>
      </c>
      <c r="K17" s="2"/>
      <c r="L17" s="2">
        <f t="shared" si="7"/>
        <v>-14960.96</v>
      </c>
      <c r="M17" s="2"/>
      <c r="N17" s="19">
        <f t="shared" si="8"/>
        <v>-1</v>
      </c>
      <c r="O17" s="11"/>
      <c r="P17" s="2"/>
      <c r="Q17" s="2"/>
      <c r="R17" s="19">
        <f t="shared" si="9"/>
        <v>0</v>
      </c>
      <c r="S17" s="2"/>
      <c r="T17" s="2">
        <v>128616.51000000001</v>
      </c>
      <c r="U17" s="2"/>
      <c r="V17" s="19">
        <f t="shared" si="10"/>
        <v>0.31638798701598209</v>
      </c>
      <c r="W17" s="2"/>
      <c r="X17" s="2">
        <f t="shared" si="11"/>
        <v>-128616.51000000001</v>
      </c>
      <c r="Y17" s="2"/>
      <c r="Z17" s="19">
        <f t="shared" si="12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-1016</v>
      </c>
      <c r="I18" s="2"/>
      <c r="J18" s="19">
        <f t="shared" si="6"/>
        <v>-1.8531529500516914E-2</v>
      </c>
      <c r="K18" s="2"/>
      <c r="L18" s="2">
        <f t="shared" si="7"/>
        <v>1016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-580</v>
      </c>
      <c r="U18" s="2"/>
      <c r="V18" s="19">
        <f t="shared" si="10"/>
        <v>-1.4267610936517371E-3</v>
      </c>
      <c r="W18" s="2"/>
      <c r="X18" s="2">
        <f t="shared" si="11"/>
        <v>580</v>
      </c>
      <c r="Y18" s="2"/>
      <c r="Z18" s="19">
        <f t="shared" si="12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40880.519999999997</v>
      </c>
      <c r="I20" s="14"/>
      <c r="J20" s="21">
        <f>IF(H$12=0,0,H20/H$12)</f>
        <v>0.74564819131542492</v>
      </c>
      <c r="K20" s="15"/>
      <c r="L20" s="20">
        <f>+D20-H20</f>
        <v>-40880.519999999997</v>
      </c>
      <c r="M20" s="15"/>
      <c r="N20" s="21">
        <f>IF(H20=0,0,L20/H20)</f>
        <v>-1</v>
      </c>
      <c r="O20" s="29"/>
      <c r="P20" s="20">
        <f>P12-P16</f>
        <v>974.91</v>
      </c>
      <c r="Q20" s="14"/>
      <c r="R20" s="21">
        <f>IF(P$12=0,0,P20/P$12)</f>
        <v>1</v>
      </c>
      <c r="S20" s="14"/>
      <c r="T20" s="20">
        <f>T12-T16</f>
        <v>278478.64</v>
      </c>
      <c r="U20" s="14"/>
      <c r="V20" s="21">
        <f>IF(T$12=0,0,T20/T$12)</f>
        <v>0.68503877407766967</v>
      </c>
      <c r="W20" s="15"/>
      <c r="X20" s="20">
        <f>+P20-T20</f>
        <v>-277503.73000000004</v>
      </c>
      <c r="Y20" s="15"/>
      <c r="Z20" s="21">
        <f>IF(T20=0,0,X20/T20)</f>
        <v>-0.99649915699099945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1954.84</v>
      </c>
      <c r="E22" s="22"/>
      <c r="F22" s="36">
        <f t="shared" ref="F22:F30" si="13">IF(D$12=0,0,D22/D$12)</f>
        <v>0</v>
      </c>
      <c r="G22" s="22"/>
      <c r="H22" s="22">
        <f>SUM(OSRRefH22x_0)</f>
        <v>30605.080000000005</v>
      </c>
      <c r="I22" s="22"/>
      <c r="J22" s="36">
        <f t="shared" ref="J22:J30" si="14">IF(H$12=0,0,H22/H$12)</f>
        <v>0.55822730598984283</v>
      </c>
      <c r="K22" s="4"/>
      <c r="L22" s="22">
        <f t="shared" ref="L22:L30" si="15">+D22-H22</f>
        <v>-28650.240000000005</v>
      </c>
      <c r="M22" s="4"/>
      <c r="N22" s="36">
        <f t="shared" ref="N22:N30" si="16">IF(H22=0,0,L22/H22)</f>
        <v>-0.93612694363158011</v>
      </c>
      <c r="O22" s="10"/>
      <c r="P22" s="22">
        <f>SUM(OSRRefP22x_0)</f>
        <v>12402.9</v>
      </c>
      <c r="Q22" s="22"/>
      <c r="R22" s="36">
        <f t="shared" ref="R22:R30" si="17">IF(P$12=0,0,P22/P$12)</f>
        <v>12.722097424377635</v>
      </c>
      <c r="S22" s="22"/>
      <c r="T22" s="22">
        <f>SUM(OSRRefT22x_0)</f>
        <v>203075.63000000006</v>
      </c>
      <c r="U22" s="22"/>
      <c r="V22" s="36">
        <f t="shared" ref="V22:V30" si="18">IF(T$12=0,0,T22/T$12)</f>
        <v>0.49955242750485451</v>
      </c>
      <c r="W22" s="4"/>
      <c r="X22" s="22">
        <f t="shared" ref="X22:X30" si="19">+P22-T22</f>
        <v>-190672.73000000007</v>
      </c>
      <c r="Y22" s="4"/>
      <c r="Z22" s="36">
        <f t="shared" ref="Z22:Z30" si="20">IF(T22=0,0,X22/T22)</f>
        <v>-0.93892472474417543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2666.2799999999997</v>
      </c>
      <c r="I23" s="1"/>
      <c r="J23" s="5">
        <f t="shared" si="14"/>
        <v>4.8632132358895901E-2</v>
      </c>
      <c r="K23" s="1"/>
      <c r="L23" s="1">
        <f t="shared" si="15"/>
        <v>-2666.2799999999997</v>
      </c>
      <c r="M23" s="1"/>
      <c r="N23" s="5">
        <f t="shared" si="16"/>
        <v>-1</v>
      </c>
      <c r="O23" s="13"/>
      <c r="P23" s="1">
        <f>SUM(OSRRefP22_0x_0)</f>
        <v>702.51</v>
      </c>
      <c r="Q23" s="1"/>
      <c r="R23" s="5">
        <f t="shared" si="17"/>
        <v>0.72058959288549718</v>
      </c>
      <c r="S23" s="1"/>
      <c r="T23" s="1">
        <f>SUM(OSRRefT22_0x_0)</f>
        <v>14923.890000000001</v>
      </c>
      <c r="U23" s="1"/>
      <c r="V23" s="5">
        <f t="shared" si="18"/>
        <v>3.6711768306790044E-2</v>
      </c>
      <c r="W23" s="1"/>
      <c r="X23" s="1">
        <f t="shared" si="19"/>
        <v>-14221.380000000001</v>
      </c>
      <c r="Y23" s="1"/>
      <c r="Z23" s="5">
        <f t="shared" si="20"/>
        <v>-0.95292715237113113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3"/>
        <v>0</v>
      </c>
      <c r="G24" s="2"/>
      <c r="H24" s="7">
        <v>398.74</v>
      </c>
      <c r="I24" s="2"/>
      <c r="J24" s="6">
        <f t="shared" si="14"/>
        <v>7.2728957411772781E-3</v>
      </c>
      <c r="K24" s="2"/>
      <c r="L24" s="7">
        <f t="shared" si="15"/>
        <v>-398.74</v>
      </c>
      <c r="M24" s="2"/>
      <c r="N24" s="6">
        <f t="shared" si="16"/>
        <v>-1</v>
      </c>
      <c r="O24" s="11"/>
      <c r="P24" s="7"/>
      <c r="Q24" s="2"/>
      <c r="R24" s="6">
        <f t="shared" si="17"/>
        <v>0</v>
      </c>
      <c r="S24" s="2"/>
      <c r="T24" s="7">
        <v>3702.28</v>
      </c>
      <c r="U24" s="2"/>
      <c r="V24" s="6">
        <f t="shared" si="18"/>
        <v>9.1073604513878508E-3</v>
      </c>
      <c r="W24" s="2"/>
      <c r="X24" s="7">
        <f t="shared" si="19"/>
        <v>-3702.28</v>
      </c>
      <c r="Y24" s="2"/>
      <c r="Z24" s="6">
        <f t="shared" si="20"/>
        <v>-1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3"/>
        <v>0</v>
      </c>
      <c r="G25" s="2"/>
      <c r="H25" s="7">
        <v>955.03</v>
      </c>
      <c r="I25" s="2"/>
      <c r="J25" s="6">
        <f t="shared" si="14"/>
        <v>1.7419455333541996E-2</v>
      </c>
      <c r="K25" s="2"/>
      <c r="L25" s="7">
        <f t="shared" si="15"/>
        <v>-955.03</v>
      </c>
      <c r="M25" s="2"/>
      <c r="N25" s="6">
        <f t="shared" si="16"/>
        <v>-1</v>
      </c>
      <c r="O25" s="11"/>
      <c r="P25" s="7"/>
      <c r="Q25" s="2"/>
      <c r="R25" s="6">
        <f t="shared" si="17"/>
        <v>0</v>
      </c>
      <c r="S25" s="2"/>
      <c r="T25" s="7">
        <v>3278.57</v>
      </c>
      <c r="U25" s="2"/>
      <c r="V25" s="6">
        <f t="shared" si="18"/>
        <v>8.0650622738168559E-3</v>
      </c>
      <c r="W25" s="2"/>
      <c r="X25" s="7">
        <f t="shared" si="19"/>
        <v>-3278.57</v>
      </c>
      <c r="Y25" s="2"/>
      <c r="Z25" s="6">
        <f t="shared" si="20"/>
        <v>-1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3"/>
        <v>0</v>
      </c>
      <c r="G26" s="2"/>
      <c r="H26" s="7">
        <v>650.39</v>
      </c>
      <c r="I26" s="2"/>
      <c r="J26" s="6">
        <f t="shared" si="14"/>
        <v>1.1862914834489365E-2</v>
      </c>
      <c r="K26" s="2"/>
      <c r="L26" s="7">
        <f t="shared" si="15"/>
        <v>-650.39</v>
      </c>
      <c r="M26" s="2"/>
      <c r="N26" s="6">
        <f t="shared" si="16"/>
        <v>-1</v>
      </c>
      <c r="O26" s="11"/>
      <c r="P26" s="7">
        <v>702.51</v>
      </c>
      <c r="Q26" s="2"/>
      <c r="R26" s="6">
        <f t="shared" si="17"/>
        <v>0.72058959288549718</v>
      </c>
      <c r="S26" s="2"/>
      <c r="T26" s="7">
        <v>3902.34</v>
      </c>
      <c r="U26" s="2"/>
      <c r="V26" s="6">
        <f t="shared" si="18"/>
        <v>9.5994946313808973E-3</v>
      </c>
      <c r="W26" s="2"/>
      <c r="X26" s="7">
        <f t="shared" si="19"/>
        <v>-3199.83</v>
      </c>
      <c r="Y26" s="2"/>
      <c r="Z26" s="6">
        <f t="shared" si="20"/>
        <v>-0.81997724442257713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3"/>
        <v>0</v>
      </c>
      <c r="G27" s="2"/>
      <c r="H27" s="7">
        <v>64</v>
      </c>
      <c r="I27" s="2"/>
      <c r="J27" s="6">
        <f t="shared" si="14"/>
        <v>1.1673404409774434E-3</v>
      </c>
      <c r="K27" s="2"/>
      <c r="L27" s="7">
        <f t="shared" si="15"/>
        <v>-64</v>
      </c>
      <c r="M27" s="2"/>
      <c r="N27" s="6">
        <f t="shared" si="16"/>
        <v>-1</v>
      </c>
      <c r="O27" s="11"/>
      <c r="P27" s="7"/>
      <c r="Q27" s="2"/>
      <c r="R27" s="6">
        <f t="shared" si="17"/>
        <v>0</v>
      </c>
      <c r="S27" s="2"/>
      <c r="T27" s="7">
        <v>303.83999999999997</v>
      </c>
      <c r="U27" s="2"/>
      <c r="V27" s="6">
        <f t="shared" si="18"/>
        <v>7.4742601843990307E-4</v>
      </c>
      <c r="W27" s="2"/>
      <c r="X27" s="7">
        <f t="shared" si="19"/>
        <v>-303.83999999999997</v>
      </c>
      <c r="Y27" s="2"/>
      <c r="Z27" s="6">
        <f t="shared" si="20"/>
        <v>-1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3"/>
        <v>0</v>
      </c>
      <c r="G28" s="2"/>
      <c r="H28" s="7">
        <v>192.5</v>
      </c>
      <c r="I28" s="2"/>
      <c r="J28" s="6">
        <f t="shared" si="14"/>
        <v>3.5111411701274665E-3</v>
      </c>
      <c r="K28" s="2"/>
      <c r="L28" s="7">
        <f t="shared" si="15"/>
        <v>-192.5</v>
      </c>
      <c r="M28" s="2"/>
      <c r="N28" s="6">
        <f t="shared" si="16"/>
        <v>-1</v>
      </c>
      <c r="O28" s="11"/>
      <c r="P28" s="7"/>
      <c r="Q28" s="2"/>
      <c r="R28" s="6">
        <f t="shared" si="17"/>
        <v>0</v>
      </c>
      <c r="S28" s="2"/>
      <c r="T28" s="7">
        <v>1251.25</v>
      </c>
      <c r="U28" s="2"/>
      <c r="V28" s="6">
        <f t="shared" si="18"/>
        <v>3.0779910662616138E-3</v>
      </c>
      <c r="W28" s="2"/>
      <c r="X28" s="7">
        <f t="shared" si="19"/>
        <v>-1251.25</v>
      </c>
      <c r="Y28" s="2"/>
      <c r="Z28" s="6">
        <f t="shared" si="20"/>
        <v>-1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3"/>
        <v>0</v>
      </c>
      <c r="G29" s="2"/>
      <c r="H29" s="7">
        <v>230.62</v>
      </c>
      <c r="I29" s="2"/>
      <c r="J29" s="6">
        <f t="shared" si="14"/>
        <v>4.2064383202846563E-3</v>
      </c>
      <c r="K29" s="2"/>
      <c r="L29" s="7">
        <f t="shared" si="15"/>
        <v>-230.62</v>
      </c>
      <c r="M29" s="2"/>
      <c r="N29" s="6">
        <f t="shared" si="16"/>
        <v>-1</v>
      </c>
      <c r="O29" s="11"/>
      <c r="P29" s="7"/>
      <c r="Q29" s="2"/>
      <c r="R29" s="6">
        <f t="shared" si="17"/>
        <v>0</v>
      </c>
      <c r="S29" s="2"/>
      <c r="T29" s="7">
        <v>1499.03</v>
      </c>
      <c r="U29" s="2"/>
      <c r="V29" s="6">
        <f t="shared" si="18"/>
        <v>3.6875132452013162E-3</v>
      </c>
      <c r="W29" s="2"/>
      <c r="X29" s="7">
        <f t="shared" si="19"/>
        <v>-1499.03</v>
      </c>
      <c r="Y29" s="2"/>
      <c r="Z29" s="6">
        <f t="shared" si="20"/>
        <v>-1</v>
      </c>
    </row>
    <row r="30" spans="1:26" s="24" customFormat="1" hidden="1" outlineLevel="2" x14ac:dyDescent="0.25">
      <c r="A30" s="27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13"/>
        <v>0</v>
      </c>
      <c r="G30" s="2"/>
      <c r="H30" s="7">
        <v>175</v>
      </c>
      <c r="I30" s="2"/>
      <c r="J30" s="6">
        <f t="shared" si="14"/>
        <v>3.1919465182976971E-3</v>
      </c>
      <c r="K30" s="2"/>
      <c r="L30" s="7">
        <f t="shared" si="15"/>
        <v>-175</v>
      </c>
      <c r="M30" s="2"/>
      <c r="N30" s="6">
        <f t="shared" si="16"/>
        <v>-1</v>
      </c>
      <c r="O30" s="11"/>
      <c r="P30" s="7"/>
      <c r="Q30" s="2"/>
      <c r="R30" s="6">
        <f t="shared" si="17"/>
        <v>0</v>
      </c>
      <c r="S30" s="2"/>
      <c r="T30" s="7">
        <v>986.58</v>
      </c>
      <c r="U30" s="2"/>
      <c r="V30" s="6">
        <f t="shared" si="18"/>
        <v>2.4269206203016052E-3</v>
      </c>
      <c r="W30" s="2"/>
      <c r="X30" s="7">
        <f t="shared" si="19"/>
        <v>-986.58</v>
      </c>
      <c r="Y30" s="2"/>
      <c r="Z30" s="6">
        <f t="shared" si="20"/>
        <v>-1</v>
      </c>
    </row>
    <row r="31" spans="1:26" s="25" customFormat="1" outlineLevel="1" collapsed="1" x14ac:dyDescent="0.25">
      <c r="A31" s="26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0</v>
      </c>
      <c r="E31" s="1"/>
      <c r="F31" s="5">
        <f t="shared" ref="F31:F35" si="21">IF(D$12=0,0,D31/D$12)</f>
        <v>0</v>
      </c>
      <c r="G31" s="1"/>
      <c r="H31" s="1">
        <f>SUM(OSRRefH22_1x_0)</f>
        <v>15492.16</v>
      </c>
      <c r="I31" s="1"/>
      <c r="J31" s="5">
        <f t="shared" ref="J31:J35" si="22">IF(H$12=0,0,H31/H$12)</f>
        <v>0.28257226384520484</v>
      </c>
      <c r="K31" s="1"/>
      <c r="L31" s="1">
        <f t="shared" ref="L31:L35" si="23">+D31-H31</f>
        <v>-15492.16</v>
      </c>
      <c r="M31" s="1"/>
      <c r="N31" s="5">
        <f t="shared" ref="N31:N35" si="24">IF(H31=0,0,L31/H31)</f>
        <v>-1</v>
      </c>
      <c r="O31" s="13"/>
      <c r="P31" s="1">
        <f>SUM(OSRRefP22_1x_0)</f>
        <v>0</v>
      </c>
      <c r="Q31" s="1"/>
      <c r="R31" s="5">
        <f t="shared" ref="R31:R35" si="25">IF(P$12=0,0,P31/P$12)</f>
        <v>0</v>
      </c>
      <c r="S31" s="1"/>
      <c r="T31" s="1">
        <f>SUM(OSRRefT22_1x_0)</f>
        <v>115337.42</v>
      </c>
      <c r="U31" s="1"/>
      <c r="V31" s="5">
        <f t="shared" ref="V31:V35" si="26">IF(T$12=0,0,T31/T$12)</f>
        <v>0.28372231637615469</v>
      </c>
      <c r="W31" s="1"/>
      <c r="X31" s="1">
        <f t="shared" ref="X31:X35" si="27">+P31-T31</f>
        <v>-115337.42</v>
      </c>
      <c r="Y31" s="1"/>
      <c r="Z31" s="5">
        <f t="shared" ref="Z31:Z35" si="28">IF(T31=0,0,X31/T31)</f>
        <v>-1</v>
      </c>
    </row>
    <row r="32" spans="1:26" s="24" customFormat="1" hidden="1" outlineLevel="2" x14ac:dyDescent="0.25">
      <c r="A32" s="27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21"/>
        <v>0</v>
      </c>
      <c r="G32" s="2"/>
      <c r="H32" s="7">
        <v>4761.72</v>
      </c>
      <c r="I32" s="2"/>
      <c r="J32" s="6">
        <f t="shared" si="22"/>
        <v>8.6852317572048629E-2</v>
      </c>
      <c r="K32" s="2"/>
      <c r="L32" s="7">
        <f t="shared" si="23"/>
        <v>-4761.72</v>
      </c>
      <c r="M32" s="2"/>
      <c r="N32" s="6">
        <f t="shared" si="24"/>
        <v>-1</v>
      </c>
      <c r="O32" s="11"/>
      <c r="P32" s="7"/>
      <c r="Q32" s="2"/>
      <c r="R32" s="6">
        <f t="shared" si="25"/>
        <v>0</v>
      </c>
      <c r="S32" s="2"/>
      <c r="T32" s="7">
        <v>34875</v>
      </c>
      <c r="U32" s="2"/>
      <c r="V32" s="6">
        <f t="shared" si="26"/>
        <v>8.5790160588110911E-2</v>
      </c>
      <c r="W32" s="2"/>
      <c r="X32" s="7">
        <f t="shared" si="27"/>
        <v>-34875</v>
      </c>
      <c r="Y32" s="2"/>
      <c r="Z32" s="6">
        <f t="shared" si="28"/>
        <v>-1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21"/>
        <v>0</v>
      </c>
      <c r="G33" s="2"/>
      <c r="H33" s="7"/>
      <c r="I33" s="2"/>
      <c r="J33" s="6">
        <f t="shared" si="22"/>
        <v>0</v>
      </c>
      <c r="K33" s="2"/>
      <c r="L33" s="7">
        <f t="shared" si="23"/>
        <v>0</v>
      </c>
      <c r="M33" s="2"/>
      <c r="N33" s="6">
        <f t="shared" si="24"/>
        <v>0</v>
      </c>
      <c r="O33" s="11"/>
      <c r="P33" s="7"/>
      <c r="Q33" s="2"/>
      <c r="R33" s="6">
        <f t="shared" si="25"/>
        <v>0</v>
      </c>
      <c r="S33" s="2"/>
      <c r="T33" s="7">
        <v>1997.5</v>
      </c>
      <c r="U33" s="2"/>
      <c r="V33" s="6">
        <f t="shared" si="26"/>
        <v>4.913716007878181E-3</v>
      </c>
      <c r="W33" s="2"/>
      <c r="X33" s="7">
        <f t="shared" si="27"/>
        <v>-1997.5</v>
      </c>
      <c r="Y33" s="2"/>
      <c r="Z33" s="6">
        <f t="shared" si="28"/>
        <v>-1</v>
      </c>
    </row>
    <row r="34" spans="1:26" s="24" customFormat="1" hidden="1" outlineLevel="2" x14ac:dyDescent="0.25">
      <c r="A34" s="27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21"/>
        <v>0</v>
      </c>
      <c r="G34" s="2"/>
      <c r="H34" s="7"/>
      <c r="I34" s="2"/>
      <c r="J34" s="6">
        <f t="shared" si="22"/>
        <v>0</v>
      </c>
      <c r="K34" s="2"/>
      <c r="L34" s="7">
        <f t="shared" si="23"/>
        <v>0</v>
      </c>
      <c r="M34" s="2"/>
      <c r="N34" s="6">
        <f t="shared" si="24"/>
        <v>0</v>
      </c>
      <c r="O34" s="11"/>
      <c r="P34" s="7"/>
      <c r="Q34" s="2"/>
      <c r="R34" s="6">
        <f t="shared" si="25"/>
        <v>0</v>
      </c>
      <c r="S34" s="2"/>
      <c r="T34" s="7">
        <v>29.25</v>
      </c>
      <c r="U34" s="2"/>
      <c r="V34" s="6">
        <f t="shared" si="26"/>
        <v>7.1953037912609162E-5</v>
      </c>
      <c r="W34" s="2"/>
      <c r="X34" s="7">
        <f t="shared" si="27"/>
        <v>-29.25</v>
      </c>
      <c r="Y34" s="2"/>
      <c r="Z34" s="6">
        <f t="shared" si="28"/>
        <v>-1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21"/>
        <v>0</v>
      </c>
      <c r="G35" s="2"/>
      <c r="H35" s="7">
        <v>10730.44</v>
      </c>
      <c r="I35" s="2"/>
      <c r="J35" s="6">
        <f t="shared" si="22"/>
        <v>0.19571994627315623</v>
      </c>
      <c r="K35" s="2"/>
      <c r="L35" s="7">
        <f t="shared" si="23"/>
        <v>-10730.44</v>
      </c>
      <c r="M35" s="2"/>
      <c r="N35" s="6">
        <f t="shared" si="24"/>
        <v>-1</v>
      </c>
      <c r="O35" s="11"/>
      <c r="P35" s="7"/>
      <c r="Q35" s="2"/>
      <c r="R35" s="6">
        <f t="shared" si="25"/>
        <v>0</v>
      </c>
      <c r="S35" s="2"/>
      <c r="T35" s="7">
        <v>78435.67</v>
      </c>
      <c r="U35" s="2"/>
      <c r="V35" s="6">
        <f t="shared" si="26"/>
        <v>0.19294648674225301</v>
      </c>
      <c r="W35" s="2"/>
      <c r="X35" s="7">
        <f t="shared" si="27"/>
        <v>-78435.67</v>
      </c>
      <c r="Y35" s="2"/>
      <c r="Z35" s="6">
        <f t="shared" si="28"/>
        <v>-1</v>
      </c>
    </row>
    <row r="36" spans="1:26" s="25" customFormat="1" outlineLevel="1" collapsed="1" x14ac:dyDescent="0.25">
      <c r="A36" s="26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52" si="29">IF(D$12=0,0,D36/D$12)</f>
        <v>0</v>
      </c>
      <c r="G36" s="1"/>
      <c r="H36" s="1">
        <f>SUM(OSRRefH22_2x_0)</f>
        <v>30.68</v>
      </c>
      <c r="I36" s="1"/>
      <c r="J36" s="5">
        <f t="shared" ref="J36:J52" si="30">IF(H$12=0,0,H36/H$12)</f>
        <v>5.5959382389356193E-4</v>
      </c>
      <c r="K36" s="1"/>
      <c r="L36" s="1">
        <f t="shared" ref="L36:L52" si="31">+D36-H36</f>
        <v>-30.68</v>
      </c>
      <c r="M36" s="1"/>
      <c r="N36" s="5">
        <f t="shared" ref="N36:N52" si="32">IF(H36=0,0,L36/H36)</f>
        <v>-1</v>
      </c>
      <c r="O36" s="13"/>
      <c r="P36" s="1">
        <f>SUM(OSRRefP22_2x_0)</f>
        <v>0</v>
      </c>
      <c r="Q36" s="1"/>
      <c r="R36" s="5">
        <f t="shared" ref="R36:R52" si="33">IF(P$12=0,0,P36/P$12)</f>
        <v>0</v>
      </c>
      <c r="S36" s="1"/>
      <c r="T36" s="1">
        <f>SUM(OSRRefT22_2x_0)</f>
        <v>610.57000000000005</v>
      </c>
      <c r="U36" s="1"/>
      <c r="V36" s="5">
        <f t="shared" ref="V36:V52" si="34">IF(T$12=0,0,T36/T$12)</f>
        <v>1.5019612430188642E-3</v>
      </c>
      <c r="W36" s="1"/>
      <c r="X36" s="1">
        <f t="shared" ref="X36:X52" si="35">+P36-T36</f>
        <v>-610.57000000000005</v>
      </c>
      <c r="Y36" s="1"/>
      <c r="Z36" s="5">
        <f t="shared" ref="Z36:Z52" si="36">IF(T36=0,0,X36/T36)</f>
        <v>-1</v>
      </c>
    </row>
    <row r="37" spans="1:26" s="24" customFormat="1" hidden="1" outlineLevel="2" x14ac:dyDescent="0.25">
      <c r="A37" s="27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29"/>
        <v>0</v>
      </c>
      <c r="G37" s="2"/>
      <c r="H37" s="7">
        <v>30.68</v>
      </c>
      <c r="I37" s="2"/>
      <c r="J37" s="6">
        <f t="shared" si="30"/>
        <v>5.5959382389356193E-4</v>
      </c>
      <c r="K37" s="2"/>
      <c r="L37" s="7">
        <f t="shared" si="31"/>
        <v>-30.68</v>
      </c>
      <c r="M37" s="2"/>
      <c r="N37" s="6">
        <f t="shared" si="32"/>
        <v>-1</v>
      </c>
      <c r="O37" s="11"/>
      <c r="P37" s="7"/>
      <c r="Q37" s="2"/>
      <c r="R37" s="6">
        <f t="shared" si="33"/>
        <v>0</v>
      </c>
      <c r="S37" s="2"/>
      <c r="T37" s="7">
        <v>610.57000000000005</v>
      </c>
      <c r="U37" s="2"/>
      <c r="V37" s="6">
        <f t="shared" si="34"/>
        <v>1.5019612430188642E-3</v>
      </c>
      <c r="W37" s="2"/>
      <c r="X37" s="7">
        <f t="shared" si="35"/>
        <v>-610.57000000000005</v>
      </c>
      <c r="Y37" s="2"/>
      <c r="Z37" s="6">
        <f t="shared" si="36"/>
        <v>-1</v>
      </c>
    </row>
    <row r="38" spans="1:26" s="25" customFormat="1" outlineLevel="1" collapsed="1" x14ac:dyDescent="0.25">
      <c r="A38" s="26"/>
      <c r="B38" s="13" t="str">
        <f>CONCATENATE("     ","Bad Debts/Over/Short                              ")</f>
        <v xml:space="preserve">     Bad Debts/Over/Short                              </v>
      </c>
      <c r="C38" s="13"/>
      <c r="D38" s="1">
        <f>SUM(OSRRefD22_3x_0)</f>
        <v>0</v>
      </c>
      <c r="E38" s="1"/>
      <c r="F38" s="5">
        <f t="shared" si="29"/>
        <v>0</v>
      </c>
      <c r="G38" s="1"/>
      <c r="H38" s="1">
        <f>SUM(OSRRefH22_3x_0)</f>
        <v>2.83</v>
      </c>
      <c r="I38" s="1"/>
      <c r="J38" s="5">
        <f t="shared" si="30"/>
        <v>5.1618335124471325E-5</v>
      </c>
      <c r="K38" s="1"/>
      <c r="L38" s="1">
        <f t="shared" si="31"/>
        <v>-2.83</v>
      </c>
      <c r="M38" s="1"/>
      <c r="N38" s="5">
        <f t="shared" si="32"/>
        <v>-1</v>
      </c>
      <c r="O38" s="13"/>
      <c r="P38" s="1">
        <f>SUM(OSRRefP22_3x_0)</f>
        <v>0</v>
      </c>
      <c r="Q38" s="1"/>
      <c r="R38" s="5">
        <f t="shared" si="33"/>
        <v>0</v>
      </c>
      <c r="S38" s="1"/>
      <c r="T38" s="1">
        <f>SUM(OSRRefT22_3x_0)</f>
        <v>9.92</v>
      </c>
      <c r="U38" s="1"/>
      <c r="V38" s="5">
        <f t="shared" si="34"/>
        <v>2.4402534567284882E-5</v>
      </c>
      <c r="W38" s="1"/>
      <c r="X38" s="1">
        <f t="shared" si="35"/>
        <v>-9.92</v>
      </c>
      <c r="Y38" s="1"/>
      <c r="Z38" s="5">
        <f t="shared" si="36"/>
        <v>-1</v>
      </c>
    </row>
    <row r="39" spans="1:26" s="24" customFormat="1" hidden="1" outlineLevel="2" x14ac:dyDescent="0.25">
      <c r="A39" s="27"/>
      <c r="B39" s="11" t="str">
        <f>CONCATENATE("          ", "6272", " - ", "CASH (OVER/SHORT)")</f>
        <v xml:space="preserve">          6272 - CASH (OVER/SHORT)</v>
      </c>
      <c r="C39" s="11"/>
      <c r="D39" s="7"/>
      <c r="E39" s="2"/>
      <c r="F39" s="6">
        <f t="shared" si="29"/>
        <v>0</v>
      </c>
      <c r="G39" s="2"/>
      <c r="H39" s="7">
        <v>2.83</v>
      </c>
      <c r="I39" s="2"/>
      <c r="J39" s="6">
        <f t="shared" si="30"/>
        <v>5.1618335124471325E-5</v>
      </c>
      <c r="K39" s="2"/>
      <c r="L39" s="7">
        <f t="shared" si="31"/>
        <v>-2.83</v>
      </c>
      <c r="M39" s="2"/>
      <c r="N39" s="6">
        <f t="shared" si="32"/>
        <v>-1</v>
      </c>
      <c r="O39" s="11"/>
      <c r="P39" s="7"/>
      <c r="Q39" s="2"/>
      <c r="R39" s="6">
        <f t="shared" si="33"/>
        <v>0</v>
      </c>
      <c r="S39" s="2"/>
      <c r="T39" s="7">
        <v>9.92</v>
      </c>
      <c r="U39" s="2"/>
      <c r="V39" s="6">
        <f t="shared" si="34"/>
        <v>2.4402534567284882E-5</v>
      </c>
      <c r="W39" s="2"/>
      <c r="X39" s="7">
        <f t="shared" si="35"/>
        <v>-9.92</v>
      </c>
      <c r="Y39" s="2"/>
      <c r="Z39" s="6">
        <f t="shared" si="36"/>
        <v>-1</v>
      </c>
    </row>
    <row r="40" spans="1:26" s="25" customFormat="1" outlineLevel="1" collapsed="1" x14ac:dyDescent="0.25">
      <c r="A40" s="26"/>
      <c r="B40" s="13" t="str">
        <f>CONCATENATE("     ","Bank/card Fees                                    ")</f>
        <v xml:space="preserve">     Bank/card Fees                                    </v>
      </c>
      <c r="C40" s="13"/>
      <c r="D40" s="1">
        <f>SUM(OSRRefD22_4x_0)</f>
        <v>0</v>
      </c>
      <c r="E40" s="1"/>
      <c r="F40" s="5">
        <f t="shared" si="29"/>
        <v>0</v>
      </c>
      <c r="G40" s="1"/>
      <c r="H40" s="1">
        <f>SUM(OSRRefH22_4x_0)</f>
        <v>3746.23</v>
      </c>
      <c r="I40" s="1"/>
      <c r="J40" s="5">
        <f t="shared" si="30"/>
        <v>6.833009031567075E-2</v>
      </c>
      <c r="K40" s="1"/>
      <c r="L40" s="1">
        <f t="shared" si="31"/>
        <v>-3746.23</v>
      </c>
      <c r="M40" s="1"/>
      <c r="N40" s="5">
        <f t="shared" si="32"/>
        <v>-1</v>
      </c>
      <c r="O40" s="13"/>
      <c r="P40" s="1">
        <f>SUM(OSRRefP22_4x_0)</f>
        <v>0</v>
      </c>
      <c r="Q40" s="1"/>
      <c r="R40" s="5">
        <f t="shared" si="33"/>
        <v>0</v>
      </c>
      <c r="S40" s="1"/>
      <c r="T40" s="1">
        <f>SUM(OSRRefT22_4x_0)</f>
        <v>13087.01</v>
      </c>
      <c r="U40" s="1"/>
      <c r="V40" s="5">
        <f t="shared" si="34"/>
        <v>3.2193166724536586E-2</v>
      </c>
      <c r="W40" s="1"/>
      <c r="X40" s="1">
        <f t="shared" si="35"/>
        <v>-13087.01</v>
      </c>
      <c r="Y40" s="1"/>
      <c r="Z40" s="5">
        <f t="shared" si="36"/>
        <v>-1</v>
      </c>
    </row>
    <row r="41" spans="1:26" s="24" customFormat="1" hidden="1" outlineLevel="2" x14ac:dyDescent="0.25">
      <c r="A41" s="27"/>
      <c r="B41" s="11" t="str">
        <f>CONCATENATE("          ", "6381", " - ", "BANK/CREDIT CARD FEES")</f>
        <v xml:space="preserve">          6381 - BANK/CREDIT CARD FEES</v>
      </c>
      <c r="C41" s="11"/>
      <c r="D41" s="7"/>
      <c r="E41" s="2"/>
      <c r="F41" s="6">
        <f t="shared" si="29"/>
        <v>0</v>
      </c>
      <c r="G41" s="2"/>
      <c r="H41" s="7">
        <v>3746.23</v>
      </c>
      <c r="I41" s="2"/>
      <c r="J41" s="6">
        <f t="shared" si="30"/>
        <v>6.833009031567075E-2</v>
      </c>
      <c r="K41" s="2"/>
      <c r="L41" s="7">
        <f t="shared" si="31"/>
        <v>-3746.23</v>
      </c>
      <c r="M41" s="2"/>
      <c r="N41" s="6">
        <f t="shared" si="32"/>
        <v>-1</v>
      </c>
      <c r="O41" s="11"/>
      <c r="P41" s="7"/>
      <c r="Q41" s="2"/>
      <c r="R41" s="6">
        <f t="shared" si="33"/>
        <v>0</v>
      </c>
      <c r="S41" s="2"/>
      <c r="T41" s="7">
        <v>13087.01</v>
      </c>
      <c r="U41" s="2"/>
      <c r="V41" s="6">
        <f t="shared" si="34"/>
        <v>3.2193166724536586E-2</v>
      </c>
      <c r="W41" s="2"/>
      <c r="X41" s="7">
        <f t="shared" si="35"/>
        <v>-13087.01</v>
      </c>
      <c r="Y41" s="2"/>
      <c r="Z41" s="6">
        <f t="shared" si="36"/>
        <v>-1</v>
      </c>
    </row>
    <row r="42" spans="1:26" s="25" customFormat="1" outlineLevel="1" collapsed="1" x14ac:dyDescent="0.25">
      <c r="A42" s="26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SUM(OSRRefD22_5x_0)</f>
        <v>1825.26</v>
      </c>
      <c r="E42" s="1"/>
      <c r="F42" s="5">
        <f t="shared" si="29"/>
        <v>0</v>
      </c>
      <c r="G42" s="1"/>
      <c r="H42" s="1">
        <f>SUM(OSRRefH22_5x_0)</f>
        <v>2067.34</v>
      </c>
      <c r="I42" s="1"/>
      <c r="J42" s="5">
        <f t="shared" si="30"/>
        <v>3.7707649800786065E-2</v>
      </c>
      <c r="K42" s="1"/>
      <c r="L42" s="1">
        <f t="shared" si="31"/>
        <v>-242.08000000000015</v>
      </c>
      <c r="M42" s="1"/>
      <c r="N42" s="5">
        <f t="shared" si="32"/>
        <v>-0.11709733280447344</v>
      </c>
      <c r="O42" s="13"/>
      <c r="P42" s="1">
        <f>SUM(OSRRefP22_5x_0)</f>
        <v>11098.35</v>
      </c>
      <c r="Q42" s="1"/>
      <c r="R42" s="5">
        <f t="shared" si="33"/>
        <v>11.383973905283565</v>
      </c>
      <c r="S42" s="1"/>
      <c r="T42" s="1">
        <f>SUM(OSRRefT22_5x_0)</f>
        <v>10305.290000000001</v>
      </c>
      <c r="U42" s="1"/>
      <c r="V42" s="5">
        <f t="shared" si="34"/>
        <v>2.5350322122066053E-2</v>
      </c>
      <c r="W42" s="1"/>
      <c r="X42" s="1">
        <f t="shared" si="35"/>
        <v>793.05999999999949</v>
      </c>
      <c r="Y42" s="1"/>
      <c r="Z42" s="5">
        <f t="shared" si="36"/>
        <v>7.6956592196823131E-2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1825.26</v>
      </c>
      <c r="E43" s="2"/>
      <c r="F43" s="6">
        <f t="shared" si="29"/>
        <v>0</v>
      </c>
      <c r="G43" s="2"/>
      <c r="H43" s="7">
        <v>2067.34</v>
      </c>
      <c r="I43" s="2"/>
      <c r="J43" s="6">
        <f t="shared" si="30"/>
        <v>3.7707649800786065E-2</v>
      </c>
      <c r="K43" s="2"/>
      <c r="L43" s="7">
        <f t="shared" si="31"/>
        <v>-242.08000000000015</v>
      </c>
      <c r="M43" s="2"/>
      <c r="N43" s="6">
        <f t="shared" si="32"/>
        <v>-0.11709733280447344</v>
      </c>
      <c r="O43" s="11"/>
      <c r="P43" s="7">
        <v>11098.35</v>
      </c>
      <c r="Q43" s="2"/>
      <c r="R43" s="6">
        <f t="shared" si="33"/>
        <v>11.383973905283565</v>
      </c>
      <c r="S43" s="2"/>
      <c r="T43" s="7">
        <v>10305.290000000001</v>
      </c>
      <c r="U43" s="2"/>
      <c r="V43" s="6">
        <f t="shared" si="34"/>
        <v>2.5350322122066053E-2</v>
      </c>
      <c r="W43" s="2"/>
      <c r="X43" s="7">
        <f t="shared" si="35"/>
        <v>793.05999999999949</v>
      </c>
      <c r="Y43" s="2"/>
      <c r="Z43" s="6">
        <f t="shared" si="36"/>
        <v>7.6956592196823131E-2</v>
      </c>
    </row>
    <row r="44" spans="1:26" s="25" customFormat="1" outlineLevel="1" collapsed="1" x14ac:dyDescent="0.25">
      <c r="A44" s="26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SUM(OSRRefD22_6x_0)</f>
        <v>0</v>
      </c>
      <c r="E44" s="1"/>
      <c r="F44" s="5">
        <f t="shared" si="29"/>
        <v>0</v>
      </c>
      <c r="G44" s="1"/>
      <c r="H44" s="1">
        <f>SUM(OSRRefH22_6x_0)</f>
        <v>0</v>
      </c>
      <c r="I44" s="1"/>
      <c r="J44" s="5">
        <f t="shared" si="30"/>
        <v>0</v>
      </c>
      <c r="K44" s="1"/>
      <c r="L44" s="1">
        <f t="shared" si="31"/>
        <v>0</v>
      </c>
      <c r="M44" s="1"/>
      <c r="N44" s="5">
        <f t="shared" si="32"/>
        <v>0</v>
      </c>
      <c r="O44" s="13"/>
      <c r="P44" s="1">
        <f>SUM(OSRRefP22_6x_0)</f>
        <v>0</v>
      </c>
      <c r="Q44" s="1"/>
      <c r="R44" s="5">
        <f t="shared" si="33"/>
        <v>0</v>
      </c>
      <c r="S44" s="1"/>
      <c r="T44" s="1">
        <f>SUM(OSRRefT22_6x_0)</f>
        <v>151.86000000000001</v>
      </c>
      <c r="U44" s="1"/>
      <c r="V44" s="5">
        <f t="shared" si="34"/>
        <v>3.7356541324474622E-4</v>
      </c>
      <c r="W44" s="1"/>
      <c r="X44" s="1">
        <f t="shared" si="35"/>
        <v>-151.86000000000001</v>
      </c>
      <c r="Y44" s="1"/>
      <c r="Z44" s="5">
        <f t="shared" si="36"/>
        <v>-1</v>
      </c>
    </row>
    <row r="45" spans="1:26" s="24" customFormat="1" hidden="1" outlineLevel="2" x14ac:dyDescent="0.25">
      <c r="A45" s="27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29"/>
        <v>0</v>
      </c>
      <c r="G45" s="2"/>
      <c r="H45" s="7"/>
      <c r="I45" s="2"/>
      <c r="J45" s="6">
        <f t="shared" si="30"/>
        <v>0</v>
      </c>
      <c r="K45" s="2"/>
      <c r="L45" s="7">
        <f t="shared" si="31"/>
        <v>0</v>
      </c>
      <c r="M45" s="2"/>
      <c r="N45" s="6">
        <f t="shared" si="32"/>
        <v>0</v>
      </c>
      <c r="O45" s="11"/>
      <c r="P45" s="7"/>
      <c r="Q45" s="2"/>
      <c r="R45" s="6">
        <f t="shared" si="33"/>
        <v>0</v>
      </c>
      <c r="S45" s="2"/>
      <c r="T45" s="7">
        <v>151.86000000000001</v>
      </c>
      <c r="U45" s="2"/>
      <c r="V45" s="6">
        <f t="shared" si="34"/>
        <v>3.7356541324474622E-4</v>
      </c>
      <c r="W45" s="2"/>
      <c r="X45" s="7">
        <f t="shared" si="35"/>
        <v>-151.86000000000001</v>
      </c>
      <c r="Y45" s="2"/>
      <c r="Z45" s="6">
        <f t="shared" si="36"/>
        <v>-1</v>
      </c>
    </row>
    <row r="46" spans="1:26" s="25" customFormat="1" outlineLevel="1" collapsed="1" x14ac:dyDescent="0.25">
      <c r="A46" s="26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SUM(OSRRefD22_7x_0)</f>
        <v>0</v>
      </c>
      <c r="E46" s="1"/>
      <c r="F46" s="5">
        <f t="shared" si="29"/>
        <v>0</v>
      </c>
      <c r="G46" s="1"/>
      <c r="H46" s="1">
        <f>SUM(OSRRefH22_7x_0)</f>
        <v>118.91</v>
      </c>
      <c r="I46" s="1"/>
      <c r="J46" s="5">
        <f t="shared" si="30"/>
        <v>2.1688820599473093E-3</v>
      </c>
      <c r="K46" s="1"/>
      <c r="L46" s="1">
        <f t="shared" si="31"/>
        <v>-118.91</v>
      </c>
      <c r="M46" s="1"/>
      <c r="N46" s="5">
        <f t="shared" si="32"/>
        <v>-1</v>
      </c>
      <c r="O46" s="13"/>
      <c r="P46" s="1">
        <f>SUM(OSRRefP22_7x_0)</f>
        <v>96.3</v>
      </c>
      <c r="Q46" s="1"/>
      <c r="R46" s="5">
        <f t="shared" si="33"/>
        <v>9.8778348770655749E-2</v>
      </c>
      <c r="S46" s="1"/>
      <c r="T46" s="1">
        <f>SUM(OSRRefT22_7x_0)</f>
        <v>713.46</v>
      </c>
      <c r="U46" s="1"/>
      <c r="V46" s="5">
        <f t="shared" si="34"/>
        <v>1.7550637411668422E-3</v>
      </c>
      <c r="W46" s="1"/>
      <c r="X46" s="1">
        <f t="shared" si="35"/>
        <v>-617.16000000000008</v>
      </c>
      <c r="Y46" s="1"/>
      <c r="Z46" s="5">
        <f t="shared" si="36"/>
        <v>-0.86502396770666901</v>
      </c>
    </row>
    <row r="47" spans="1:26" s="24" customFormat="1" hidden="1" outlineLevel="2" x14ac:dyDescent="0.25">
      <c r="A47" s="27"/>
      <c r="B47" s="11" t="str">
        <f>CONCATENATE("          ", "6351", " - ", "EQUIPMENT RENTAL")</f>
        <v xml:space="preserve">          6351 - EQUIPMENT RENTAL</v>
      </c>
      <c r="C47" s="11"/>
      <c r="D47" s="7"/>
      <c r="E47" s="2"/>
      <c r="F47" s="6">
        <f t="shared" si="29"/>
        <v>0</v>
      </c>
      <c r="G47" s="2"/>
      <c r="H47" s="7">
        <v>118.91</v>
      </c>
      <c r="I47" s="2"/>
      <c r="J47" s="6">
        <f t="shared" si="30"/>
        <v>2.1688820599473093E-3</v>
      </c>
      <c r="K47" s="2"/>
      <c r="L47" s="7">
        <f t="shared" si="31"/>
        <v>-118.91</v>
      </c>
      <c r="M47" s="2"/>
      <c r="N47" s="6">
        <f t="shared" si="32"/>
        <v>-1</v>
      </c>
      <c r="O47" s="11"/>
      <c r="P47" s="7">
        <v>96.3</v>
      </c>
      <c r="Q47" s="2"/>
      <c r="R47" s="6">
        <f t="shared" si="33"/>
        <v>9.8778348770655749E-2</v>
      </c>
      <c r="S47" s="2"/>
      <c r="T47" s="7">
        <v>713.46</v>
      </c>
      <c r="U47" s="2"/>
      <c r="V47" s="6">
        <f t="shared" si="34"/>
        <v>1.7550637411668422E-3</v>
      </c>
      <c r="W47" s="2"/>
      <c r="X47" s="7">
        <f t="shared" si="35"/>
        <v>-617.16000000000008</v>
      </c>
      <c r="Y47" s="2"/>
      <c r="Z47" s="6">
        <f t="shared" si="36"/>
        <v>-0.86502396770666901</v>
      </c>
    </row>
    <row r="48" spans="1:26" s="25" customFormat="1" outlineLevel="1" collapsed="1" x14ac:dyDescent="0.25">
      <c r="A48" s="26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SUM(OSRRefD22_8x_0)</f>
        <v>0</v>
      </c>
      <c r="E48" s="1"/>
      <c r="F48" s="5">
        <f t="shared" si="29"/>
        <v>0</v>
      </c>
      <c r="G48" s="1"/>
      <c r="H48" s="1">
        <f>SUM(OSRRefH22_8x_0)</f>
        <v>902.79</v>
      </c>
      <c r="I48" s="1"/>
      <c r="J48" s="5">
        <f t="shared" si="30"/>
        <v>1.6466613698594156E-2</v>
      </c>
      <c r="K48" s="1"/>
      <c r="L48" s="1">
        <f t="shared" si="31"/>
        <v>-902.79</v>
      </c>
      <c r="M48" s="1"/>
      <c r="N48" s="5">
        <f t="shared" si="32"/>
        <v>-1</v>
      </c>
      <c r="O48" s="13"/>
      <c r="P48" s="1">
        <f>SUM(OSRRefP22_8x_0)</f>
        <v>7.28</v>
      </c>
      <c r="Q48" s="1"/>
      <c r="R48" s="5">
        <f t="shared" si="33"/>
        <v>7.467355961063073E-3</v>
      </c>
      <c r="S48" s="1"/>
      <c r="T48" s="1">
        <f>SUM(OSRRefT22_8x_0)</f>
        <v>6138.51</v>
      </c>
      <c r="U48" s="1"/>
      <c r="V48" s="5">
        <f t="shared" si="34"/>
        <v>1.5100322829296768E-2</v>
      </c>
      <c r="W48" s="1"/>
      <c r="X48" s="1">
        <f t="shared" si="35"/>
        <v>-6131.2300000000005</v>
      </c>
      <c r="Y48" s="1"/>
      <c r="Z48" s="5">
        <f t="shared" si="36"/>
        <v>-0.99881404445052635</v>
      </c>
    </row>
    <row r="49" spans="1:26" s="24" customFormat="1" hidden="1" outlineLevel="2" x14ac:dyDescent="0.25">
      <c r="A49" s="27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29"/>
        <v>0</v>
      </c>
      <c r="G49" s="2"/>
      <c r="H49" s="7">
        <v>902.79</v>
      </c>
      <c r="I49" s="2"/>
      <c r="J49" s="6">
        <f t="shared" si="30"/>
        <v>1.6466613698594156E-2</v>
      </c>
      <c r="K49" s="2"/>
      <c r="L49" s="7">
        <f t="shared" si="31"/>
        <v>-902.79</v>
      </c>
      <c r="M49" s="2"/>
      <c r="N49" s="6">
        <f t="shared" si="32"/>
        <v>-1</v>
      </c>
      <c r="O49" s="11"/>
      <c r="P49" s="7">
        <v>7.28</v>
      </c>
      <c r="Q49" s="2"/>
      <c r="R49" s="6">
        <f t="shared" si="33"/>
        <v>7.467355961063073E-3</v>
      </c>
      <c r="S49" s="2"/>
      <c r="T49" s="7">
        <v>6138.51</v>
      </c>
      <c r="U49" s="2"/>
      <c r="V49" s="6">
        <f t="shared" si="34"/>
        <v>1.5100322829296768E-2</v>
      </c>
      <c r="W49" s="2"/>
      <c r="X49" s="7">
        <f t="shared" si="35"/>
        <v>-6131.2300000000005</v>
      </c>
      <c r="Y49" s="2"/>
      <c r="Z49" s="6">
        <f t="shared" si="36"/>
        <v>-0.99881404445052635</v>
      </c>
    </row>
    <row r="50" spans="1:26" s="25" customFormat="1" outlineLevel="1" collapsed="1" x14ac:dyDescent="0.25">
      <c r="A50" s="26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SUM(OSRRefD22_9x_0)</f>
        <v>129.58000000000001</v>
      </c>
      <c r="E50" s="1"/>
      <c r="F50" s="5">
        <f t="shared" si="29"/>
        <v>0</v>
      </c>
      <c r="G50" s="1"/>
      <c r="H50" s="1">
        <f>SUM(OSRRefH22_9x_0)</f>
        <v>224.64</v>
      </c>
      <c r="I50" s="1"/>
      <c r="J50" s="5">
        <f t="shared" si="30"/>
        <v>4.097364947830826E-3</v>
      </c>
      <c r="K50" s="1"/>
      <c r="L50" s="1">
        <f t="shared" si="31"/>
        <v>-95.059999999999974</v>
      </c>
      <c r="M50" s="1"/>
      <c r="N50" s="5">
        <f t="shared" si="32"/>
        <v>-0.42316595441595434</v>
      </c>
      <c r="O50" s="13"/>
      <c r="P50" s="1">
        <f>SUM(OSRRefP22_9x_0)</f>
        <v>498.46</v>
      </c>
      <c r="Q50" s="1"/>
      <c r="R50" s="5">
        <f t="shared" si="33"/>
        <v>0.51128822147685427</v>
      </c>
      <c r="S50" s="1"/>
      <c r="T50" s="1">
        <f>SUM(OSRRefT22_9x_0)</f>
        <v>4404.9100000000008</v>
      </c>
      <c r="U50" s="1"/>
      <c r="V50" s="5">
        <f t="shared" si="34"/>
        <v>1.0835783119030128E-2</v>
      </c>
      <c r="W50" s="1"/>
      <c r="X50" s="1">
        <f t="shared" si="35"/>
        <v>-3906.4500000000007</v>
      </c>
      <c r="Y50" s="1"/>
      <c r="Z50" s="5">
        <f t="shared" si="36"/>
        <v>-0.88683991273374485</v>
      </c>
    </row>
    <row r="51" spans="1:26" s="24" customFormat="1" hidden="1" outlineLevel="2" x14ac:dyDescent="0.25">
      <c r="A51" s="27"/>
      <c r="B51" s="11" t="str">
        <f>CONCATENATE("          ", "6373", " - ", "MAINTENANCE CONTRACTS")</f>
        <v xml:space="preserve">          6373 - MAINTENANCE CONTRACTS</v>
      </c>
      <c r="C51" s="11"/>
      <c r="D51" s="7">
        <v>129.58000000000001</v>
      </c>
      <c r="E51" s="2"/>
      <c r="F51" s="6">
        <f t="shared" si="29"/>
        <v>0</v>
      </c>
      <c r="G51" s="2"/>
      <c r="H51" s="7">
        <v>128.75</v>
      </c>
      <c r="I51" s="2"/>
      <c r="J51" s="6">
        <f t="shared" si="30"/>
        <v>2.3483606527475911E-3</v>
      </c>
      <c r="K51" s="2"/>
      <c r="L51" s="7">
        <f t="shared" si="31"/>
        <v>0.83000000000001251</v>
      </c>
      <c r="M51" s="2"/>
      <c r="N51" s="6">
        <f t="shared" si="32"/>
        <v>6.44660194174767E-3</v>
      </c>
      <c r="O51" s="11"/>
      <c r="P51" s="7">
        <v>298.45999999999998</v>
      </c>
      <c r="Q51" s="2"/>
      <c r="R51" s="6">
        <f t="shared" si="33"/>
        <v>0.30614107968940724</v>
      </c>
      <c r="S51" s="2"/>
      <c r="T51" s="7">
        <v>240.39</v>
      </c>
      <c r="U51" s="2"/>
      <c r="V51" s="6">
        <f t="shared" si="34"/>
        <v>5.9134327466024326E-4</v>
      </c>
      <c r="W51" s="2"/>
      <c r="X51" s="7">
        <f t="shared" si="35"/>
        <v>58.069999999999993</v>
      </c>
      <c r="Y51" s="2"/>
      <c r="Z51" s="6">
        <f t="shared" si="36"/>
        <v>0.24156578892632805</v>
      </c>
    </row>
    <row r="52" spans="1:26" s="24" customFormat="1" hidden="1" outlineLevel="2" x14ac:dyDescent="0.25">
      <c r="A52" s="27"/>
      <c r="B52" s="11" t="str">
        <f>CONCATENATE("          ", "6375", " - ", "OUTSIDE REPAIRS &amp; MAINTENANCE")</f>
        <v xml:space="preserve">          6375 - OUTSIDE REPAIRS &amp; MAINTENANCE</v>
      </c>
      <c r="C52" s="11"/>
      <c r="D52" s="7"/>
      <c r="E52" s="2"/>
      <c r="F52" s="6">
        <f t="shared" si="29"/>
        <v>0</v>
      </c>
      <c r="G52" s="2"/>
      <c r="H52" s="7">
        <v>95.89</v>
      </c>
      <c r="I52" s="2"/>
      <c r="J52" s="6">
        <f t="shared" si="30"/>
        <v>1.7490042950832352E-3</v>
      </c>
      <c r="K52" s="2"/>
      <c r="L52" s="7">
        <f t="shared" si="31"/>
        <v>-95.89</v>
      </c>
      <c r="M52" s="2"/>
      <c r="N52" s="6">
        <f t="shared" si="32"/>
        <v>-1</v>
      </c>
      <c r="O52" s="11"/>
      <c r="P52" s="7">
        <v>200</v>
      </c>
      <c r="Q52" s="2"/>
      <c r="R52" s="6">
        <f t="shared" si="33"/>
        <v>0.20514714178744706</v>
      </c>
      <c r="S52" s="2"/>
      <c r="T52" s="7">
        <v>4164.5200000000004</v>
      </c>
      <c r="U52" s="2"/>
      <c r="V52" s="6">
        <f t="shared" si="34"/>
        <v>1.0244439844369884E-2</v>
      </c>
      <c r="W52" s="2"/>
      <c r="X52" s="7">
        <f t="shared" si="35"/>
        <v>-3964.5200000000004</v>
      </c>
      <c r="Y52" s="2"/>
      <c r="Z52" s="6">
        <f t="shared" si="36"/>
        <v>-0.95197525765274271</v>
      </c>
    </row>
    <row r="53" spans="1:26" s="25" customFormat="1" outlineLevel="1" collapsed="1" x14ac:dyDescent="0.25">
      <c r="A53" s="26"/>
      <c r="B53" s="13" t="str">
        <f>CONCATENATE("     ","Royalty &amp; Commissions                             ")</f>
        <v xml:space="preserve">     Royalty &amp; Commissions                             </v>
      </c>
      <c r="C53" s="13"/>
      <c r="D53" s="1">
        <f>SUM(OSRRefD22_10x_0)</f>
        <v>0</v>
      </c>
      <c r="E53" s="1"/>
      <c r="F53" s="5">
        <f t="shared" ref="F53:F66" si="37">IF(D$12=0,0,D53/D$12)</f>
        <v>0</v>
      </c>
      <c r="G53" s="1"/>
      <c r="H53" s="1">
        <f>SUM(OSRRefH22_10x_0)</f>
        <v>4386</v>
      </c>
      <c r="I53" s="1"/>
      <c r="J53" s="5">
        <f t="shared" ref="J53:J66" si="38">IF(H$12=0,0,H53/H$12)</f>
        <v>7.9999299595735415E-2</v>
      </c>
      <c r="K53" s="1"/>
      <c r="L53" s="1">
        <f t="shared" ref="L53:L66" si="39">+D53-H53</f>
        <v>-4386</v>
      </c>
      <c r="M53" s="1"/>
      <c r="N53" s="5">
        <f t="shared" ref="N53:N66" si="40">IF(H53=0,0,L53/H53)</f>
        <v>-1</v>
      </c>
      <c r="O53" s="13"/>
      <c r="P53" s="1">
        <f>SUM(OSRRefP22_10x_0)</f>
        <v>0</v>
      </c>
      <c r="Q53" s="1"/>
      <c r="R53" s="5">
        <f t="shared" ref="R53:R66" si="41">IF(P$12=0,0,P53/P$12)</f>
        <v>0</v>
      </c>
      <c r="S53" s="1"/>
      <c r="T53" s="1">
        <f>SUM(OSRRefT22_10x_0)</f>
        <v>29301.360000000001</v>
      </c>
      <c r="U53" s="1"/>
      <c r="V53" s="5">
        <f t="shared" ref="V53:V66" si="42">IF(T$12=0,0,T53/T$12)</f>
        <v>7.2079380067384943E-2</v>
      </c>
      <c r="W53" s="1"/>
      <c r="X53" s="1">
        <f t="shared" ref="X53:X66" si="43">+P53-T53</f>
        <v>-29301.360000000001</v>
      </c>
      <c r="Y53" s="1"/>
      <c r="Z53" s="5">
        <f t="shared" ref="Z53:Z66" si="44">IF(T53=0,0,X53/T53)</f>
        <v>-1</v>
      </c>
    </row>
    <row r="54" spans="1:26" s="24" customFormat="1" hidden="1" outlineLevel="2" x14ac:dyDescent="0.25">
      <c r="A54" s="27"/>
      <c r="B54" s="11" t="str">
        <f>CONCATENATE("          ", "6259", " - ", "ROYALTY &amp; COMMISSIONS")</f>
        <v xml:space="preserve">          6259 - ROYALTY &amp; COMMISSIONS</v>
      </c>
      <c r="C54" s="11"/>
      <c r="D54" s="7"/>
      <c r="E54" s="2"/>
      <c r="F54" s="6">
        <f t="shared" si="37"/>
        <v>0</v>
      </c>
      <c r="G54" s="2"/>
      <c r="H54" s="7">
        <v>4386</v>
      </c>
      <c r="I54" s="2"/>
      <c r="J54" s="6">
        <f t="shared" si="38"/>
        <v>7.9999299595735415E-2</v>
      </c>
      <c r="K54" s="2"/>
      <c r="L54" s="7">
        <f t="shared" si="39"/>
        <v>-4386</v>
      </c>
      <c r="M54" s="2"/>
      <c r="N54" s="6">
        <f t="shared" si="40"/>
        <v>-1</v>
      </c>
      <c r="O54" s="11"/>
      <c r="P54" s="7"/>
      <c r="Q54" s="2"/>
      <c r="R54" s="6">
        <f t="shared" si="41"/>
        <v>0</v>
      </c>
      <c r="S54" s="2"/>
      <c r="T54" s="7">
        <v>29301.360000000001</v>
      </c>
      <c r="U54" s="2"/>
      <c r="V54" s="6">
        <f t="shared" si="42"/>
        <v>7.2079380067384943E-2</v>
      </c>
      <c r="W54" s="2"/>
      <c r="X54" s="7">
        <f t="shared" si="43"/>
        <v>-29301.360000000001</v>
      </c>
      <c r="Y54" s="2"/>
      <c r="Z54" s="6">
        <f t="shared" si="44"/>
        <v>-1</v>
      </c>
    </row>
    <row r="55" spans="1:26" s="25" customFormat="1" outlineLevel="1" collapsed="1" x14ac:dyDescent="0.25">
      <c r="A55" s="26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SUM(OSRRefD22_11x_0)</f>
        <v>0</v>
      </c>
      <c r="E55" s="1"/>
      <c r="F55" s="5">
        <f t="shared" si="37"/>
        <v>0</v>
      </c>
      <c r="G55" s="1"/>
      <c r="H55" s="1">
        <f>SUM(OSRRefH22_11x_0)</f>
        <v>48.75</v>
      </c>
      <c r="I55" s="1"/>
      <c r="J55" s="5">
        <f t="shared" si="38"/>
        <v>8.8918510152578693E-4</v>
      </c>
      <c r="K55" s="1"/>
      <c r="L55" s="1">
        <f t="shared" si="39"/>
        <v>-48.75</v>
      </c>
      <c r="M55" s="1"/>
      <c r="N55" s="5">
        <f t="shared" si="40"/>
        <v>-1</v>
      </c>
      <c r="O55" s="13"/>
      <c r="P55" s="1">
        <f>SUM(OSRRefP22_11x_0)</f>
        <v>0</v>
      </c>
      <c r="Q55" s="1"/>
      <c r="R55" s="5">
        <f t="shared" si="41"/>
        <v>0</v>
      </c>
      <c r="S55" s="1"/>
      <c r="T55" s="1">
        <f>SUM(OSRRefT22_11x_0)</f>
        <v>329.85</v>
      </c>
      <c r="U55" s="1"/>
      <c r="V55" s="5">
        <f t="shared" si="42"/>
        <v>8.1140887369142336E-4</v>
      </c>
      <c r="W55" s="1"/>
      <c r="X55" s="1">
        <f t="shared" si="43"/>
        <v>-329.85</v>
      </c>
      <c r="Y55" s="1"/>
      <c r="Z55" s="5">
        <f t="shared" si="44"/>
        <v>-1</v>
      </c>
    </row>
    <row r="56" spans="1:26" s="24" customFormat="1" hidden="1" outlineLevel="2" x14ac:dyDescent="0.25">
      <c r="A56" s="27"/>
      <c r="B56" s="11" t="str">
        <f>CONCATENATE("          ", "6286", " - ", "LAUNDRY EXPENSE")</f>
        <v xml:space="preserve">          6286 - LAUNDRY EXPENSE</v>
      </c>
      <c r="C56" s="11"/>
      <c r="D56" s="7"/>
      <c r="E56" s="2"/>
      <c r="F56" s="6">
        <f t="shared" si="37"/>
        <v>0</v>
      </c>
      <c r="G56" s="2"/>
      <c r="H56" s="7">
        <v>48.75</v>
      </c>
      <c r="I56" s="2"/>
      <c r="J56" s="6">
        <f t="shared" si="38"/>
        <v>8.8918510152578693E-4</v>
      </c>
      <c r="K56" s="2"/>
      <c r="L56" s="7">
        <f t="shared" si="39"/>
        <v>-48.75</v>
      </c>
      <c r="M56" s="2"/>
      <c r="N56" s="6">
        <f t="shared" si="40"/>
        <v>-1</v>
      </c>
      <c r="O56" s="11"/>
      <c r="P56" s="7"/>
      <c r="Q56" s="2"/>
      <c r="R56" s="6">
        <f t="shared" si="41"/>
        <v>0</v>
      </c>
      <c r="S56" s="2"/>
      <c r="T56" s="7">
        <v>329.85</v>
      </c>
      <c r="U56" s="2"/>
      <c r="V56" s="6">
        <f t="shared" si="42"/>
        <v>8.1140887369142336E-4</v>
      </c>
      <c r="W56" s="2"/>
      <c r="X56" s="7">
        <f t="shared" si="43"/>
        <v>-329.85</v>
      </c>
      <c r="Y56" s="2"/>
      <c r="Z56" s="6">
        <f t="shared" si="44"/>
        <v>-1</v>
      </c>
    </row>
    <row r="57" spans="1:26" s="25" customFormat="1" outlineLevel="1" collapsed="1" x14ac:dyDescent="0.25">
      <c r="A57" s="26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SUM(OSRRefD22_12x_0)</f>
        <v>0</v>
      </c>
      <c r="E57" s="1"/>
      <c r="F57" s="5">
        <f t="shared" si="37"/>
        <v>0</v>
      </c>
      <c r="G57" s="1"/>
      <c r="H57" s="1">
        <f>SUM(OSRRefH22_12x_0)</f>
        <v>0</v>
      </c>
      <c r="I57" s="1"/>
      <c r="J57" s="5">
        <f t="shared" si="38"/>
        <v>0</v>
      </c>
      <c r="K57" s="1"/>
      <c r="L57" s="1">
        <f t="shared" si="39"/>
        <v>0</v>
      </c>
      <c r="M57" s="1"/>
      <c r="N57" s="5">
        <f t="shared" si="40"/>
        <v>0</v>
      </c>
      <c r="O57" s="13"/>
      <c r="P57" s="1">
        <f>SUM(OSRRefP22_12x_0)</f>
        <v>0</v>
      </c>
      <c r="Q57" s="1"/>
      <c r="R57" s="5">
        <f t="shared" si="41"/>
        <v>0</v>
      </c>
      <c r="S57" s="1"/>
      <c r="T57" s="1">
        <f>SUM(OSRRefT22_12x_0)</f>
        <v>92.04</v>
      </c>
      <c r="U57" s="1"/>
      <c r="V57" s="5">
        <f t="shared" si="42"/>
        <v>2.2641222596501016E-4</v>
      </c>
      <c r="W57" s="1"/>
      <c r="X57" s="1">
        <f t="shared" si="43"/>
        <v>-92.04</v>
      </c>
      <c r="Y57" s="1"/>
      <c r="Z57" s="5">
        <f t="shared" si="44"/>
        <v>-1</v>
      </c>
    </row>
    <row r="58" spans="1:26" s="24" customFormat="1" hidden="1" outlineLevel="2" x14ac:dyDescent="0.25">
      <c r="A58" s="27"/>
      <c r="B58" s="11" t="str">
        <f>CONCATENATE("          ", "6275", " - ", "SUBSCRIPTIONS")</f>
        <v xml:space="preserve">          6275 - SUBSCRIPTIONS</v>
      </c>
      <c r="C58" s="11"/>
      <c r="D58" s="7"/>
      <c r="E58" s="2"/>
      <c r="F58" s="6">
        <f t="shared" si="37"/>
        <v>0</v>
      </c>
      <c r="G58" s="2"/>
      <c r="H58" s="7"/>
      <c r="I58" s="2"/>
      <c r="J58" s="6">
        <f t="shared" si="38"/>
        <v>0</v>
      </c>
      <c r="K58" s="2"/>
      <c r="L58" s="7">
        <f t="shared" si="39"/>
        <v>0</v>
      </c>
      <c r="M58" s="2"/>
      <c r="N58" s="6">
        <f t="shared" si="40"/>
        <v>0</v>
      </c>
      <c r="O58" s="11"/>
      <c r="P58" s="7"/>
      <c r="Q58" s="2"/>
      <c r="R58" s="6">
        <f t="shared" si="41"/>
        <v>0</v>
      </c>
      <c r="S58" s="2"/>
      <c r="T58" s="7">
        <v>92.04</v>
      </c>
      <c r="U58" s="2"/>
      <c r="V58" s="6">
        <f t="shared" si="42"/>
        <v>2.2641222596501016E-4</v>
      </c>
      <c r="W58" s="2"/>
      <c r="X58" s="7">
        <f t="shared" si="43"/>
        <v>-92.04</v>
      </c>
      <c r="Y58" s="2"/>
      <c r="Z58" s="6">
        <f t="shared" si="44"/>
        <v>-1</v>
      </c>
    </row>
    <row r="59" spans="1:26" s="25" customFormat="1" outlineLevel="1" collapsed="1" x14ac:dyDescent="0.25">
      <c r="A59" s="26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SUM(OSRRefD22_13x_0)</f>
        <v>0</v>
      </c>
      <c r="E59" s="1"/>
      <c r="F59" s="5">
        <f t="shared" si="37"/>
        <v>0</v>
      </c>
      <c r="G59" s="1"/>
      <c r="H59" s="1">
        <f>SUM(OSRRefH22_13x_0)</f>
        <v>918.47</v>
      </c>
      <c r="I59" s="1"/>
      <c r="J59" s="5">
        <f t="shared" si="38"/>
        <v>1.6752612106633633E-2</v>
      </c>
      <c r="K59" s="1"/>
      <c r="L59" s="1">
        <f t="shared" si="39"/>
        <v>-918.47</v>
      </c>
      <c r="M59" s="1"/>
      <c r="N59" s="5">
        <f t="shared" si="40"/>
        <v>-1</v>
      </c>
      <c r="O59" s="13"/>
      <c r="P59" s="1">
        <f>SUM(OSRRefP22_13x_0)</f>
        <v>0</v>
      </c>
      <c r="Q59" s="1"/>
      <c r="R59" s="5">
        <f t="shared" si="41"/>
        <v>0</v>
      </c>
      <c r="S59" s="1"/>
      <c r="T59" s="1">
        <f>SUM(OSRRefT22_13x_0)</f>
        <v>7618.54</v>
      </c>
      <c r="U59" s="1"/>
      <c r="V59" s="5">
        <f t="shared" si="42"/>
        <v>1.8741097349016387E-2</v>
      </c>
      <c r="W59" s="1"/>
      <c r="X59" s="1">
        <f t="shared" si="43"/>
        <v>-7618.54</v>
      </c>
      <c r="Y59" s="1"/>
      <c r="Z59" s="5">
        <f t="shared" si="44"/>
        <v>-1</v>
      </c>
    </row>
    <row r="60" spans="1:26" s="24" customFormat="1" hidden="1" outlineLevel="2" x14ac:dyDescent="0.25">
      <c r="A60" s="27"/>
      <c r="B60" s="11" t="str">
        <f>CONCATENATE("          ", "6237", " - ", "JANITORIAL SUPPLIES")</f>
        <v xml:space="preserve">          6237 - JANITORIAL SUPPLIES</v>
      </c>
      <c r="C60" s="11"/>
      <c r="D60" s="7"/>
      <c r="E60" s="2"/>
      <c r="F60" s="6">
        <f t="shared" si="37"/>
        <v>0</v>
      </c>
      <c r="G60" s="2"/>
      <c r="H60" s="7">
        <v>52.91</v>
      </c>
      <c r="I60" s="2"/>
      <c r="J60" s="6">
        <f t="shared" si="38"/>
        <v>9.6506223018932077E-4</v>
      </c>
      <c r="K60" s="2"/>
      <c r="L60" s="7">
        <f t="shared" si="39"/>
        <v>-52.91</v>
      </c>
      <c r="M60" s="2"/>
      <c r="N60" s="6">
        <f t="shared" si="40"/>
        <v>-1</v>
      </c>
      <c r="O60" s="11"/>
      <c r="P60" s="7"/>
      <c r="Q60" s="2"/>
      <c r="R60" s="6">
        <f t="shared" si="41"/>
        <v>0</v>
      </c>
      <c r="S60" s="2"/>
      <c r="T60" s="7">
        <v>198.84</v>
      </c>
      <c r="U60" s="2"/>
      <c r="V60" s="6">
        <f t="shared" si="42"/>
        <v>4.8913306183053689E-4</v>
      </c>
      <c r="W60" s="2"/>
      <c r="X60" s="7">
        <f t="shared" si="43"/>
        <v>-198.84</v>
      </c>
      <c r="Y60" s="2"/>
      <c r="Z60" s="6">
        <f t="shared" si="44"/>
        <v>-1</v>
      </c>
    </row>
    <row r="61" spans="1:26" s="24" customFormat="1" hidden="1" outlineLevel="2" x14ac:dyDescent="0.25">
      <c r="A61" s="27"/>
      <c r="B61" s="11" t="str">
        <f>CONCATENATE("          ", "6239", " - ", "KITCHEN SUPPLIES")</f>
        <v xml:space="preserve">          6239 - KITCHEN SUPPLIES</v>
      </c>
      <c r="C61" s="11"/>
      <c r="D61" s="7"/>
      <c r="E61" s="2"/>
      <c r="F61" s="6">
        <f t="shared" si="37"/>
        <v>0</v>
      </c>
      <c r="G61" s="2"/>
      <c r="H61" s="7">
        <v>-23.12</v>
      </c>
      <c r="I61" s="2"/>
      <c r="J61" s="6">
        <f t="shared" si="38"/>
        <v>-4.2170173430310147E-4</v>
      </c>
      <c r="K61" s="2"/>
      <c r="L61" s="7">
        <f t="shared" si="39"/>
        <v>23.12</v>
      </c>
      <c r="M61" s="2"/>
      <c r="N61" s="6">
        <f t="shared" si="40"/>
        <v>-1</v>
      </c>
      <c r="O61" s="11"/>
      <c r="P61" s="7"/>
      <c r="Q61" s="2"/>
      <c r="R61" s="6">
        <f t="shared" si="41"/>
        <v>0</v>
      </c>
      <c r="S61" s="2"/>
      <c r="T61" s="7">
        <v>1890.25</v>
      </c>
      <c r="U61" s="2"/>
      <c r="V61" s="6">
        <f t="shared" si="42"/>
        <v>4.6498882021986142E-3</v>
      </c>
      <c r="W61" s="2"/>
      <c r="X61" s="7">
        <f t="shared" si="43"/>
        <v>-1890.25</v>
      </c>
      <c r="Y61" s="2"/>
      <c r="Z61" s="6">
        <f t="shared" si="44"/>
        <v>-1</v>
      </c>
    </row>
    <row r="62" spans="1:26" s="24" customFormat="1" hidden="1" outlineLevel="2" x14ac:dyDescent="0.25">
      <c r="A62" s="27"/>
      <c r="B62" s="11" t="str">
        <f>CONCATENATE("          ", "6241", " - ", "OFFICE EXPENSE")</f>
        <v xml:space="preserve">          6241 - OFFICE EXPENSE</v>
      </c>
      <c r="C62" s="11"/>
      <c r="D62" s="7"/>
      <c r="E62" s="2"/>
      <c r="F62" s="6">
        <f t="shared" si="37"/>
        <v>0</v>
      </c>
      <c r="G62" s="2"/>
      <c r="H62" s="7">
        <v>169.18</v>
      </c>
      <c r="I62" s="2"/>
      <c r="J62" s="6">
        <f t="shared" si="38"/>
        <v>3.0857914969463105E-3</v>
      </c>
      <c r="K62" s="2"/>
      <c r="L62" s="7">
        <f t="shared" si="39"/>
        <v>-169.18</v>
      </c>
      <c r="M62" s="2"/>
      <c r="N62" s="6">
        <f t="shared" si="40"/>
        <v>-1</v>
      </c>
      <c r="O62" s="11"/>
      <c r="P62" s="7"/>
      <c r="Q62" s="2"/>
      <c r="R62" s="6">
        <f t="shared" si="41"/>
        <v>0</v>
      </c>
      <c r="S62" s="2"/>
      <c r="T62" s="7">
        <v>1376.73</v>
      </c>
      <c r="U62" s="2"/>
      <c r="V62" s="6">
        <f t="shared" si="42"/>
        <v>3.3866634490744068E-3</v>
      </c>
      <c r="W62" s="2"/>
      <c r="X62" s="7">
        <f t="shared" si="43"/>
        <v>-1376.73</v>
      </c>
      <c r="Y62" s="2"/>
      <c r="Z62" s="6">
        <f t="shared" si="44"/>
        <v>-1</v>
      </c>
    </row>
    <row r="63" spans="1:26" s="24" customFormat="1" hidden="1" outlineLevel="2" x14ac:dyDescent="0.25">
      <c r="A63" s="27"/>
      <c r="B63" s="11" t="str">
        <f>CONCATENATE("          ", "6243", " - ", "PAPER SUPPLIES")</f>
        <v xml:space="preserve">          6243 - PAPER SUPPLIES</v>
      </c>
      <c r="C63" s="11"/>
      <c r="D63" s="7"/>
      <c r="E63" s="2"/>
      <c r="F63" s="6">
        <f t="shared" si="37"/>
        <v>0</v>
      </c>
      <c r="G63" s="2"/>
      <c r="H63" s="7">
        <v>598.27</v>
      </c>
      <c r="I63" s="2"/>
      <c r="J63" s="6">
        <f t="shared" si="38"/>
        <v>1.0912261962868361E-2</v>
      </c>
      <c r="K63" s="2"/>
      <c r="L63" s="7">
        <f t="shared" si="39"/>
        <v>-598.27</v>
      </c>
      <c r="M63" s="2"/>
      <c r="N63" s="6">
        <f t="shared" si="40"/>
        <v>-1</v>
      </c>
      <c r="O63" s="11"/>
      <c r="P63" s="7"/>
      <c r="Q63" s="2"/>
      <c r="R63" s="6">
        <f t="shared" si="41"/>
        <v>0</v>
      </c>
      <c r="S63" s="2"/>
      <c r="T63" s="7">
        <v>2645.23</v>
      </c>
      <c r="U63" s="2"/>
      <c r="V63" s="6">
        <f t="shared" si="42"/>
        <v>6.5070883582075594E-3</v>
      </c>
      <c r="W63" s="2"/>
      <c r="X63" s="7">
        <f t="shared" si="43"/>
        <v>-2645.23</v>
      </c>
      <c r="Y63" s="2"/>
      <c r="Z63" s="6">
        <f t="shared" si="44"/>
        <v>-1</v>
      </c>
    </row>
    <row r="64" spans="1:26" s="24" customFormat="1" hidden="1" outlineLevel="2" x14ac:dyDescent="0.25">
      <c r="A64" s="27"/>
      <c r="B64" s="11" t="str">
        <f>CONCATENATE("          ", "6245", " - ", "PRINTING")</f>
        <v xml:space="preserve">          6245 - PRINTING</v>
      </c>
      <c r="C64" s="11"/>
      <c r="D64" s="7"/>
      <c r="E64" s="2"/>
      <c r="F64" s="6">
        <f t="shared" si="37"/>
        <v>0</v>
      </c>
      <c r="G64" s="2"/>
      <c r="H64" s="7"/>
      <c r="I64" s="2"/>
      <c r="J64" s="6">
        <f t="shared" si="38"/>
        <v>0</v>
      </c>
      <c r="K64" s="2"/>
      <c r="L64" s="7">
        <f t="shared" si="39"/>
        <v>0</v>
      </c>
      <c r="M64" s="2"/>
      <c r="N64" s="6">
        <f t="shared" si="40"/>
        <v>0</v>
      </c>
      <c r="O64" s="11"/>
      <c r="P64" s="7"/>
      <c r="Q64" s="2"/>
      <c r="R64" s="6">
        <f t="shared" si="41"/>
        <v>0</v>
      </c>
      <c r="S64" s="2"/>
      <c r="T64" s="7">
        <v>181.92</v>
      </c>
      <c r="U64" s="2"/>
      <c r="V64" s="6">
        <f t="shared" si="42"/>
        <v>4.4751099682262756E-4</v>
      </c>
      <c r="W64" s="2"/>
      <c r="X64" s="7">
        <f t="shared" si="43"/>
        <v>-181.92</v>
      </c>
      <c r="Y64" s="2"/>
      <c r="Z64" s="6">
        <f t="shared" si="44"/>
        <v>-1</v>
      </c>
    </row>
    <row r="65" spans="1:26" s="24" customFormat="1" hidden="1" outlineLevel="2" x14ac:dyDescent="0.25">
      <c r="A65" s="27"/>
      <c r="B65" s="11" t="str">
        <f>CONCATENATE("          ", "6247", " - ", "STORE SUPPLIES")</f>
        <v xml:space="preserve">          6247 - STORE SUPPLIES</v>
      </c>
      <c r="C65" s="11"/>
      <c r="D65" s="7"/>
      <c r="E65" s="2"/>
      <c r="F65" s="6">
        <f t="shared" si="37"/>
        <v>0</v>
      </c>
      <c r="G65" s="2"/>
      <c r="H65" s="7">
        <v>121.23</v>
      </c>
      <c r="I65" s="2"/>
      <c r="J65" s="6">
        <f t="shared" si="38"/>
        <v>2.2111981509327417E-3</v>
      </c>
      <c r="K65" s="2"/>
      <c r="L65" s="7">
        <f t="shared" si="39"/>
        <v>-121.23</v>
      </c>
      <c r="M65" s="2"/>
      <c r="N65" s="6">
        <f t="shared" si="40"/>
        <v>-1</v>
      </c>
      <c r="O65" s="11"/>
      <c r="P65" s="7"/>
      <c r="Q65" s="2"/>
      <c r="R65" s="6">
        <f t="shared" si="41"/>
        <v>0</v>
      </c>
      <c r="S65" s="2"/>
      <c r="T65" s="7">
        <v>1211.79</v>
      </c>
      <c r="U65" s="2"/>
      <c r="V65" s="6">
        <f t="shared" si="42"/>
        <v>2.9809221132348941E-3</v>
      </c>
      <c r="W65" s="2"/>
      <c r="X65" s="7">
        <f t="shared" si="43"/>
        <v>-1211.79</v>
      </c>
      <c r="Y65" s="2"/>
      <c r="Z65" s="6">
        <f t="shared" si="44"/>
        <v>-1</v>
      </c>
    </row>
    <row r="66" spans="1:26" s="24" customFormat="1" hidden="1" outlineLevel="2" x14ac:dyDescent="0.25">
      <c r="A66" s="27"/>
      <c r="B66" s="11" t="str">
        <f>CONCATENATE("          ", "6248", " - ", "UNIFORMS")</f>
        <v xml:space="preserve">          6248 - UNIFORMS</v>
      </c>
      <c r="C66" s="11"/>
      <c r="D66" s="7"/>
      <c r="E66" s="2"/>
      <c r="F66" s="6">
        <f t="shared" si="37"/>
        <v>0</v>
      </c>
      <c r="G66" s="2"/>
      <c r="H66" s="7"/>
      <c r="I66" s="2"/>
      <c r="J66" s="6">
        <f t="shared" si="38"/>
        <v>0</v>
      </c>
      <c r="K66" s="2"/>
      <c r="L66" s="7">
        <f t="shared" si="39"/>
        <v>0</v>
      </c>
      <c r="M66" s="2"/>
      <c r="N66" s="6">
        <f t="shared" si="40"/>
        <v>0</v>
      </c>
      <c r="O66" s="11"/>
      <c r="P66" s="7"/>
      <c r="Q66" s="2"/>
      <c r="R66" s="6">
        <f t="shared" si="41"/>
        <v>0</v>
      </c>
      <c r="S66" s="2"/>
      <c r="T66" s="7">
        <v>113.78</v>
      </c>
      <c r="U66" s="2"/>
      <c r="V66" s="6">
        <f t="shared" si="42"/>
        <v>2.7989116764774941E-4</v>
      </c>
      <c r="W66" s="2"/>
      <c r="X66" s="7">
        <f t="shared" si="43"/>
        <v>-113.78</v>
      </c>
      <c r="Y66" s="2"/>
      <c r="Z66" s="6">
        <f t="shared" si="44"/>
        <v>-1</v>
      </c>
    </row>
    <row r="67" spans="1:26" s="25" customFormat="1" outlineLevel="1" collapsed="1" x14ac:dyDescent="0.25">
      <c r="A67" s="26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SUM(OSRRefD22_14x_0)</f>
        <v>0</v>
      </c>
      <c r="E67" s="1"/>
      <c r="F67" s="5">
        <f t="shared" ref="F67:F70" si="45">IF(D$12=0,0,D67/D$12)</f>
        <v>0</v>
      </c>
      <c r="G67" s="1"/>
      <c r="H67" s="1">
        <f>SUM(OSRRefH22_14x_0)</f>
        <v>0</v>
      </c>
      <c r="I67" s="1"/>
      <c r="J67" s="5">
        <f t="shared" ref="J67:J70" si="46">IF(H$12=0,0,H67/H$12)</f>
        <v>0</v>
      </c>
      <c r="K67" s="1"/>
      <c r="L67" s="1">
        <f t="shared" ref="L67:L70" si="47">+D67-H67</f>
        <v>0</v>
      </c>
      <c r="M67" s="1"/>
      <c r="N67" s="5">
        <f t="shared" ref="N67:N70" si="48">IF(H67=0,0,L67/H67)</f>
        <v>0</v>
      </c>
      <c r="O67" s="13"/>
      <c r="P67" s="1">
        <f>SUM(OSRRefP22_14x_0)</f>
        <v>0</v>
      </c>
      <c r="Q67" s="1"/>
      <c r="R67" s="5">
        <f t="shared" ref="R67:R70" si="49">IF(P$12=0,0,P67/P$12)</f>
        <v>0</v>
      </c>
      <c r="S67" s="1"/>
      <c r="T67" s="1">
        <f>SUM(OSRRefT22_14x_0)</f>
        <v>-45</v>
      </c>
      <c r="U67" s="1"/>
      <c r="V67" s="5">
        <f t="shared" ref="V67:V70" si="50">IF(T$12=0,0,T67/T$12)</f>
        <v>-1.1069698140401408E-4</v>
      </c>
      <c r="W67" s="1"/>
      <c r="X67" s="1">
        <f t="shared" ref="X67:X70" si="51">+P67-T67</f>
        <v>45</v>
      </c>
      <c r="Y67" s="1"/>
      <c r="Z67" s="5">
        <f t="shared" ref="Z67:Z70" si="52">IF(T67=0,0,X67/T67)</f>
        <v>-1</v>
      </c>
    </row>
    <row r="68" spans="1:26" s="24" customFormat="1" hidden="1" outlineLevel="2" x14ac:dyDescent="0.25">
      <c r="A68" s="27"/>
      <c r="B68" s="11" t="str">
        <f>CONCATENATE("          ", "6309", " - ", "TELEPHONE")</f>
        <v xml:space="preserve">          6309 - TELEPHONE</v>
      </c>
      <c r="C68" s="11"/>
      <c r="D68" s="7"/>
      <c r="E68" s="2"/>
      <c r="F68" s="6">
        <f t="shared" si="45"/>
        <v>0</v>
      </c>
      <c r="G68" s="2"/>
      <c r="H68" s="7"/>
      <c r="I68" s="2"/>
      <c r="J68" s="6">
        <f t="shared" si="46"/>
        <v>0</v>
      </c>
      <c r="K68" s="2"/>
      <c r="L68" s="7">
        <f t="shared" si="47"/>
        <v>0</v>
      </c>
      <c r="M68" s="2"/>
      <c r="N68" s="6">
        <f t="shared" si="48"/>
        <v>0</v>
      </c>
      <c r="O68" s="11"/>
      <c r="P68" s="7"/>
      <c r="Q68" s="2"/>
      <c r="R68" s="6">
        <f t="shared" si="49"/>
        <v>0</v>
      </c>
      <c r="S68" s="2"/>
      <c r="T68" s="7">
        <v>-45</v>
      </c>
      <c r="U68" s="2"/>
      <c r="V68" s="6">
        <f t="shared" si="50"/>
        <v>-1.1069698140401408E-4</v>
      </c>
      <c r="W68" s="2"/>
      <c r="X68" s="7">
        <f t="shared" si="51"/>
        <v>45</v>
      </c>
      <c r="Y68" s="2"/>
      <c r="Z68" s="6">
        <f t="shared" si="52"/>
        <v>-1</v>
      </c>
    </row>
    <row r="69" spans="1:26" s="25" customFormat="1" outlineLevel="1" collapsed="1" x14ac:dyDescent="0.25">
      <c r="A69" s="26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SUM(OSRRefD22_15x_0)</f>
        <v>0</v>
      </c>
      <c r="E69" s="1"/>
      <c r="F69" s="5">
        <f t="shared" si="45"/>
        <v>0</v>
      </c>
      <c r="G69" s="1"/>
      <c r="H69" s="1">
        <f>SUM(OSRRefH22_15x_0)</f>
        <v>0</v>
      </c>
      <c r="I69" s="1"/>
      <c r="J69" s="5">
        <f t="shared" si="46"/>
        <v>0</v>
      </c>
      <c r="K69" s="1"/>
      <c r="L69" s="1">
        <f t="shared" si="47"/>
        <v>0</v>
      </c>
      <c r="M69" s="1"/>
      <c r="N69" s="5">
        <f t="shared" si="48"/>
        <v>0</v>
      </c>
      <c r="O69" s="13"/>
      <c r="P69" s="1">
        <f>SUM(OSRRefP22_15x_0)</f>
        <v>0</v>
      </c>
      <c r="Q69" s="1"/>
      <c r="R69" s="5">
        <f t="shared" si="49"/>
        <v>0</v>
      </c>
      <c r="S69" s="1"/>
      <c r="T69" s="1">
        <f>SUM(OSRRefT22_15x_0)</f>
        <v>96</v>
      </c>
      <c r="U69" s="1"/>
      <c r="V69" s="5">
        <f t="shared" si="50"/>
        <v>2.3615356032856337E-4</v>
      </c>
      <c r="W69" s="1"/>
      <c r="X69" s="1">
        <f t="shared" si="51"/>
        <v>-96</v>
      </c>
      <c r="Y69" s="1"/>
      <c r="Z69" s="5">
        <f t="shared" si="52"/>
        <v>-1</v>
      </c>
    </row>
    <row r="70" spans="1:26" s="24" customFormat="1" hidden="1" outlineLevel="2" x14ac:dyDescent="0.25">
      <c r="A70" s="27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5"/>
        <v>0</v>
      </c>
      <c r="G70" s="2"/>
      <c r="H70" s="7"/>
      <c r="I70" s="2"/>
      <c r="J70" s="6">
        <f t="shared" si="46"/>
        <v>0</v>
      </c>
      <c r="K70" s="2"/>
      <c r="L70" s="7">
        <f t="shared" si="47"/>
        <v>0</v>
      </c>
      <c r="M70" s="2"/>
      <c r="N70" s="6">
        <f t="shared" si="48"/>
        <v>0</v>
      </c>
      <c r="O70" s="11"/>
      <c r="P70" s="7"/>
      <c r="Q70" s="2"/>
      <c r="R70" s="6">
        <f t="shared" si="49"/>
        <v>0</v>
      </c>
      <c r="S70" s="2"/>
      <c r="T70" s="7">
        <v>96</v>
      </c>
      <c r="U70" s="2"/>
      <c r="V70" s="6">
        <f t="shared" si="50"/>
        <v>2.3615356032856337E-4</v>
      </c>
      <c r="W70" s="2"/>
      <c r="X70" s="7">
        <f t="shared" si="51"/>
        <v>-96</v>
      </c>
      <c r="Y70" s="2"/>
      <c r="Z70" s="6">
        <f t="shared" si="52"/>
        <v>-1</v>
      </c>
    </row>
    <row r="71" spans="1:26" s="55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9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8" t="s">
        <v>3</v>
      </c>
      <c r="C74" s="28"/>
      <c r="D74" s="20">
        <f>+D20-D22+D72</f>
        <v>-1954.84</v>
      </c>
      <c r="E74" s="14"/>
      <c r="F74" s="21">
        <f>IF(D$12=0,0,D74/D$12)</f>
        <v>0</v>
      </c>
      <c r="G74" s="14"/>
      <c r="H74" s="20">
        <f>+H20-H22+H72</f>
        <v>10275.439999999991</v>
      </c>
      <c r="I74" s="14"/>
      <c r="J74" s="21">
        <f>IF(H$12=0,0,H74/H$12)</f>
        <v>0.18742088532558204</v>
      </c>
      <c r="K74" s="15"/>
      <c r="L74" s="20">
        <f>+D74-H74</f>
        <v>-12230.279999999992</v>
      </c>
      <c r="M74" s="15"/>
      <c r="N74" s="21">
        <f>IF(H74=0,0,L74/H74)</f>
        <v>-1.1902439214281824</v>
      </c>
      <c r="O74" s="29"/>
      <c r="P74" s="20">
        <f>+P20-P22+P72</f>
        <v>-11427.99</v>
      </c>
      <c r="Q74" s="14"/>
      <c r="R74" s="21">
        <f>IF(P$12=0,0,P74/P$12)</f>
        <v>-11.722097424377635</v>
      </c>
      <c r="S74" s="14"/>
      <c r="T74" s="20">
        <f>+T20-T22+T72</f>
        <v>75403.009999999951</v>
      </c>
      <c r="U74" s="14"/>
      <c r="V74" s="21">
        <f>IF(T$12=0,0,T74/T$12)</f>
        <v>0.18548634657281518</v>
      </c>
      <c r="W74" s="15"/>
      <c r="X74" s="20">
        <f>+P74-T74</f>
        <v>-86830.999999999956</v>
      </c>
      <c r="Y74" s="15"/>
      <c r="Z74" s="21">
        <f>IF(T74=0,0,X74/T74)</f>
        <v>-1.1515588038196354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1"/>
      <c r="B76" s="10" t="s">
        <v>13</v>
      </c>
      <c r="C76" s="10"/>
      <c r="D76" s="4">
        <v>25.47</v>
      </c>
      <c r="E76" s="4"/>
      <c r="F76" s="12">
        <f>IF(D$12=0,0,D76/D$12)</f>
        <v>0</v>
      </c>
      <c r="G76" s="4"/>
      <c r="H76" s="4">
        <v>6665.21</v>
      </c>
      <c r="I76" s="4"/>
      <c r="J76" s="12">
        <f>IF(H$12=0,0,H76/H$12)</f>
        <v>0.12157139344698853</v>
      </c>
      <c r="K76" s="4"/>
      <c r="L76" s="4">
        <f>+D76-H76</f>
        <v>-6639.74</v>
      </c>
      <c r="M76" s="4"/>
      <c r="N76" s="12">
        <f>IF(H76=0,0,L76/H76)</f>
        <v>-0.99617866503831087</v>
      </c>
      <c r="O76" s="10"/>
      <c r="P76" s="4">
        <v>180.38</v>
      </c>
      <c r="Q76" s="4"/>
      <c r="R76" s="12">
        <f>IF(P$12=0,0,P76/P$12)</f>
        <v>0.1850222071780985</v>
      </c>
      <c r="S76" s="4"/>
      <c r="T76" s="4">
        <v>43906.77</v>
      </c>
      <c r="U76" s="4"/>
      <c r="V76" s="12">
        <f>IF(T$12=0,0,T76/T$12)</f>
        <v>0.10800770893778495</v>
      </c>
      <c r="W76" s="4"/>
      <c r="X76" s="4">
        <f>+P76-T76</f>
        <v>-43726.39</v>
      </c>
      <c r="Y76" s="4"/>
      <c r="Z76" s="12">
        <f>IF(T76=0,0,X76/T76)</f>
        <v>-0.99589174972333427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4</v>
      </c>
      <c r="C78" s="28"/>
      <c r="D78" s="33">
        <f>+D74-D76</f>
        <v>-1980.31</v>
      </c>
      <c r="E78" s="14"/>
      <c r="F78" s="34">
        <f>IF(D$12=0,0,D78/D$12)</f>
        <v>0</v>
      </c>
      <c r="G78" s="14"/>
      <c r="H78" s="33">
        <f>+H74-H76</f>
        <v>3610.2299999999914</v>
      </c>
      <c r="I78" s="14"/>
      <c r="J78" s="34">
        <f>IF(H$12=0,0,H78/H$12)</f>
        <v>6.5849491878593527E-2</v>
      </c>
      <c r="K78" s="15"/>
      <c r="L78" s="33">
        <f>D78-H78</f>
        <v>-5590.5399999999918</v>
      </c>
      <c r="M78" s="15"/>
      <c r="N78" s="34">
        <f>IF(H78=0,0,L78/H78)</f>
        <v>-1.5485273791420506</v>
      </c>
      <c r="O78" s="29"/>
      <c r="P78" s="33">
        <f>+P74-P76</f>
        <v>-11608.369999999999</v>
      </c>
      <c r="Q78" s="14"/>
      <c r="R78" s="34">
        <f>IF(P$12=0,0,P78/P$12)</f>
        <v>-11.907119631555732</v>
      </c>
      <c r="S78" s="14"/>
      <c r="T78" s="33">
        <f>+T74-T76</f>
        <v>31496.239999999954</v>
      </c>
      <c r="U78" s="14"/>
      <c r="V78" s="34">
        <f>IF(T$12=0,0,T78/T$12)</f>
        <v>7.7478637635030212E-2</v>
      </c>
      <c r="W78" s="15"/>
      <c r="X78" s="33">
        <f>P78-T78</f>
        <v>-43104.609999999957</v>
      </c>
      <c r="Y78" s="15"/>
      <c r="Z78" s="34">
        <f>IF(T78=0,0,X78/T78)</f>
        <v>-1.3685636761721405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5</v>
      </c>
      <c r="C81" s="28"/>
      <c r="D81" s="30">
        <f>SUM(D78:D80)</f>
        <v>-1980.31</v>
      </c>
      <c r="E81" s="14"/>
      <c r="F81" s="32">
        <f>IF(D$12=0,0,D81/D$12)</f>
        <v>0</v>
      </c>
      <c r="G81" s="14"/>
      <c r="H81" s="30">
        <f>SUM(H78:H80)</f>
        <v>3610.2299999999914</v>
      </c>
      <c r="I81" s="14"/>
      <c r="J81" s="32">
        <f>IF(H$12=0,0,H81/H$12)</f>
        <v>6.5849491878593527E-2</v>
      </c>
      <c r="K81" s="15"/>
      <c r="L81" s="30">
        <f>+D81-H81</f>
        <v>-5590.5399999999918</v>
      </c>
      <c r="M81" s="15"/>
      <c r="N81" s="32">
        <f>IF(H81=0,0,L81/H81)</f>
        <v>-1.5485273791420506</v>
      </c>
      <c r="O81" s="29"/>
      <c r="P81" s="30">
        <f>SUM(P78:P80)</f>
        <v>-11608.369999999999</v>
      </c>
      <c r="Q81" s="14"/>
      <c r="R81" s="32">
        <f>IF(P$12=0,0,P81/P$12)</f>
        <v>-11.907119631555732</v>
      </c>
      <c r="S81" s="14"/>
      <c r="T81" s="30">
        <f>SUM(T78:T80)</f>
        <v>31496.239999999954</v>
      </c>
      <c r="U81" s="14"/>
      <c r="V81" s="32">
        <f>IF(T$12=0,0,T81/T$12)</f>
        <v>7.7478637635030212E-2</v>
      </c>
      <c r="W81" s="15"/>
      <c r="X81" s="30">
        <f>+P81-T81</f>
        <v>-43104.609999999957</v>
      </c>
      <c r="Y81" s="15"/>
      <c r="Z81" s="32">
        <f>IF(T81=0,0,X81/T81)</f>
        <v>-1.3685636761721405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6" x14ac:dyDescent="0.25">
      <c r="A83" s="9"/>
      <c r="B83" s="58">
        <v>44209.522077743059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25">
      <c r="A84" s="9"/>
      <c r="B84" s="61" t="s">
        <v>313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7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","415", " - ", "Outpost")</f>
        <v>Department 415 - Outpost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9791.7800000000007</v>
      </c>
      <c r="E12" s="4"/>
      <c r="F12" s="12"/>
      <c r="G12" s="4"/>
      <c r="H12" s="4">
        <f>SUM(OSRRefH13x_0)</f>
        <v>55170.100000000006</v>
      </c>
      <c r="I12" s="4"/>
      <c r="J12" s="12"/>
      <c r="K12" s="4"/>
      <c r="L12" s="4">
        <f t="shared" ref="L12:L14" si="0">+D12-H12</f>
        <v>-45378.320000000007</v>
      </c>
      <c r="M12" s="4"/>
      <c r="N12" s="12">
        <f t="shared" ref="N12:N14" si="1">IF(H12=0,0,L12/H12)</f>
        <v>-0.82251654428757615</v>
      </c>
      <c r="O12" s="10"/>
      <c r="P12" s="4">
        <f>SUM(OSRRefP13x_0)</f>
        <v>45135.7</v>
      </c>
      <c r="Q12" s="4"/>
      <c r="R12" s="12"/>
      <c r="S12" s="4"/>
      <c r="T12" s="4">
        <f>SUM(OSRRefT13x_0)</f>
        <v>451944.1</v>
      </c>
      <c r="U12" s="4"/>
      <c r="V12" s="12"/>
      <c r="W12" s="4"/>
      <c r="X12" s="4">
        <f t="shared" ref="X12:X14" si="2">+P12-T12</f>
        <v>-406808.39999999997</v>
      </c>
      <c r="Y12" s="4"/>
      <c r="Z12" s="12">
        <f t="shared" ref="Z12:Z14" si="3">IF(T12=0,0,X12/T12)</f>
        <v>-0.90012990544627092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--5713.27</f>
        <v>5713.27</v>
      </c>
      <c r="E13" s="2"/>
      <c r="F13" s="19"/>
      <c r="G13" s="2"/>
      <c r="H13" s="2">
        <f>--17862.44</f>
        <v>17862.439999999999</v>
      </c>
      <c r="I13" s="2"/>
      <c r="J13" s="19"/>
      <c r="K13" s="2"/>
      <c r="L13" s="2">
        <f t="shared" si="0"/>
        <v>-12149.169999999998</v>
      </c>
      <c r="M13" s="2"/>
      <c r="N13" s="19">
        <f t="shared" si="1"/>
        <v>-0.68015175978197817</v>
      </c>
      <c r="O13" s="11"/>
      <c r="P13" s="2">
        <f>--22964.48</f>
        <v>22964.48</v>
      </c>
      <c r="Q13" s="2"/>
      <c r="R13" s="19"/>
      <c r="S13" s="2"/>
      <c r="T13" s="2">
        <f>--136597.24</f>
        <v>136597.24</v>
      </c>
      <c r="U13" s="2"/>
      <c r="V13" s="19"/>
      <c r="W13" s="2"/>
      <c r="X13" s="2">
        <f t="shared" si="2"/>
        <v>-113632.76</v>
      </c>
      <c r="Y13" s="2"/>
      <c r="Z13" s="19">
        <f t="shared" si="3"/>
        <v>-0.83188181547445617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--4078.51</f>
        <v>4078.51</v>
      </c>
      <c r="E14" s="2"/>
      <c r="F14" s="19"/>
      <c r="G14" s="2"/>
      <c r="H14" s="2">
        <f>--37307.66</f>
        <v>37307.660000000003</v>
      </c>
      <c r="I14" s="2"/>
      <c r="J14" s="19"/>
      <c r="K14" s="2"/>
      <c r="L14" s="2">
        <f t="shared" si="0"/>
        <v>-33229.15</v>
      </c>
      <c r="M14" s="2"/>
      <c r="N14" s="19">
        <f t="shared" si="1"/>
        <v>-0.89067901873234612</v>
      </c>
      <c r="O14" s="11"/>
      <c r="P14" s="2">
        <f>--22171.22</f>
        <v>22171.22</v>
      </c>
      <c r="Q14" s="2"/>
      <c r="R14" s="19"/>
      <c r="S14" s="2"/>
      <c r="T14" s="2">
        <f>--315346.86</f>
        <v>315346.86</v>
      </c>
      <c r="U14" s="2"/>
      <c r="V14" s="19"/>
      <c r="W14" s="2"/>
      <c r="X14" s="2">
        <f t="shared" si="2"/>
        <v>-293175.64</v>
      </c>
      <c r="Y14" s="2"/>
      <c r="Z14" s="19">
        <f t="shared" si="3"/>
        <v>-0.92969259310208452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4197.08</v>
      </c>
      <c r="E16" s="4"/>
      <c r="F16" s="12">
        <f t="shared" ref="F16:F18" si="4">IF(D$12=0,0,D16/D$12)</f>
        <v>0.42863299624787315</v>
      </c>
      <c r="G16" s="4"/>
      <c r="H16" s="4">
        <f>SUM(OSRRefH16x_0)</f>
        <v>17782.25</v>
      </c>
      <c r="I16" s="4"/>
      <c r="J16" s="12">
        <f t="shared" ref="J16:J18" si="5">IF(H$12=0,0,H16/H$12)</f>
        <v>0.3223167984107333</v>
      </c>
      <c r="K16" s="4"/>
      <c r="L16" s="4">
        <f t="shared" ref="L16:L18" si="6">+D16-H16</f>
        <v>-13585.17</v>
      </c>
      <c r="M16" s="4"/>
      <c r="N16" s="12">
        <f t="shared" ref="N16:N18" si="7">IF(H16=0,0,L16/H16)</f>
        <v>-0.76397362538486413</v>
      </c>
      <c r="O16" s="10"/>
      <c r="P16" s="4">
        <f>SUM(OSRRefP16x_0)</f>
        <v>18853.48</v>
      </c>
      <c r="Q16" s="4"/>
      <c r="R16" s="12">
        <f t="shared" ref="R16:R18" si="8">IF(P$12=0,0,P16/P$12)</f>
        <v>0.41770660474967708</v>
      </c>
      <c r="S16" s="4"/>
      <c r="T16" s="4">
        <f>SUM(OSRRefT16x_0)</f>
        <v>145629.57</v>
      </c>
      <c r="U16" s="4"/>
      <c r="V16" s="12">
        <f t="shared" ref="V16:V18" si="9">IF(T$12=0,0,T16/T$12)</f>
        <v>0.3222291650670957</v>
      </c>
      <c r="W16" s="4"/>
      <c r="X16" s="4">
        <f t="shared" ref="X16:X18" si="10">+P16-T16</f>
        <v>-126776.09000000001</v>
      </c>
      <c r="Y16" s="4"/>
      <c r="Z16" s="12">
        <f t="shared" ref="Z16:Z18" si="11">IF(T16=0,0,X16/T16)</f>
        <v>-0.87053810568828849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1832.08</v>
      </c>
      <c r="E17" s="2"/>
      <c r="F17" s="19">
        <f t="shared" si="4"/>
        <v>0.18710387692533939</v>
      </c>
      <c r="G17" s="2"/>
      <c r="H17" s="2">
        <v>17149.25</v>
      </c>
      <c r="I17" s="2"/>
      <c r="J17" s="19">
        <f t="shared" si="5"/>
        <v>0.31084319223637435</v>
      </c>
      <c r="K17" s="2"/>
      <c r="L17" s="2">
        <f t="shared" si="6"/>
        <v>-15317.17</v>
      </c>
      <c r="M17" s="2"/>
      <c r="N17" s="19">
        <f t="shared" si="7"/>
        <v>-0.89316850591133723</v>
      </c>
      <c r="O17" s="11"/>
      <c r="P17" s="2">
        <v>13309.42</v>
      </c>
      <c r="Q17" s="2"/>
      <c r="R17" s="19">
        <f t="shared" si="8"/>
        <v>0.29487567490921823</v>
      </c>
      <c r="S17" s="2"/>
      <c r="T17" s="2">
        <v>144336.57</v>
      </c>
      <c r="U17" s="2"/>
      <c r="V17" s="19">
        <f t="shared" si="9"/>
        <v>0.3193681917741597</v>
      </c>
      <c r="W17" s="2"/>
      <c r="X17" s="2">
        <f t="shared" si="10"/>
        <v>-131027.15000000001</v>
      </c>
      <c r="Y17" s="2"/>
      <c r="Z17" s="19">
        <f t="shared" si="11"/>
        <v>-0.90778899623290199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2365</v>
      </c>
      <c r="E18" s="2"/>
      <c r="F18" s="19">
        <f t="shared" si="4"/>
        <v>0.24152911932253379</v>
      </c>
      <c r="G18" s="2"/>
      <c r="H18" s="2">
        <v>633</v>
      </c>
      <c r="I18" s="2"/>
      <c r="J18" s="19">
        <f t="shared" si="5"/>
        <v>1.1473606174358936E-2</v>
      </c>
      <c r="K18" s="2"/>
      <c r="L18" s="2">
        <f t="shared" si="6"/>
        <v>1732</v>
      </c>
      <c r="M18" s="2"/>
      <c r="N18" s="19">
        <f t="shared" si="7"/>
        <v>2.7361769352290679</v>
      </c>
      <c r="O18" s="11"/>
      <c r="P18" s="2">
        <v>5544.06</v>
      </c>
      <c r="Q18" s="2"/>
      <c r="R18" s="19">
        <f t="shared" si="8"/>
        <v>0.1228309298404589</v>
      </c>
      <c r="S18" s="2"/>
      <c r="T18" s="2">
        <v>1293</v>
      </c>
      <c r="U18" s="2"/>
      <c r="V18" s="19">
        <f t="shared" si="9"/>
        <v>2.8609732929360072E-3</v>
      </c>
      <c r="W18" s="2"/>
      <c r="X18" s="2">
        <f t="shared" si="10"/>
        <v>4251.0600000000004</v>
      </c>
      <c r="Y18" s="2"/>
      <c r="Z18" s="19">
        <f t="shared" si="11"/>
        <v>3.2877494199535966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5594.7000000000007</v>
      </c>
      <c r="E20" s="14"/>
      <c r="F20" s="21">
        <f>IF(D$12=0,0,D20/D$12)</f>
        <v>0.57136700375212679</v>
      </c>
      <c r="G20" s="14"/>
      <c r="H20" s="20">
        <f>H12-H16</f>
        <v>37387.850000000006</v>
      </c>
      <c r="I20" s="14"/>
      <c r="J20" s="21">
        <f>IF(H$12=0,0,H20/H$12)</f>
        <v>0.67768320158926665</v>
      </c>
      <c r="K20" s="15"/>
      <c r="L20" s="20">
        <f>+D20-H20</f>
        <v>-31793.150000000005</v>
      </c>
      <c r="M20" s="15"/>
      <c r="N20" s="21">
        <f>IF(H20=0,0,L20/H20)</f>
        <v>-0.85036047806974724</v>
      </c>
      <c r="O20" s="29"/>
      <c r="P20" s="20">
        <f>P12-P16</f>
        <v>26282.219999999998</v>
      </c>
      <c r="Q20" s="14"/>
      <c r="R20" s="21">
        <f>IF(P$12=0,0,P20/P$12)</f>
        <v>0.58229339525032286</v>
      </c>
      <c r="S20" s="14"/>
      <c r="T20" s="20">
        <f>T12-T16</f>
        <v>306314.52999999997</v>
      </c>
      <c r="U20" s="14"/>
      <c r="V20" s="21">
        <f>IF(T$12=0,0,T20/T$12)</f>
        <v>0.67777083493290424</v>
      </c>
      <c r="W20" s="15"/>
      <c r="X20" s="20">
        <f>+P20-T20</f>
        <v>-280032.31</v>
      </c>
      <c r="Y20" s="15"/>
      <c r="Z20" s="21">
        <f>IF(T20=0,0,X20/T20)</f>
        <v>-0.91419858535603915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59571.05999999999</v>
      </c>
      <c r="E22" s="22"/>
      <c r="F22" s="36">
        <f t="shared" ref="F22:F31" si="12">IF(D$12=0,0,D22/D$12)</f>
        <v>6.0837825196236013</v>
      </c>
      <c r="G22" s="22"/>
      <c r="H22" s="22">
        <f>SUM(OSRRefH22x_0)</f>
        <v>71596.25</v>
      </c>
      <c r="I22" s="22"/>
      <c r="J22" s="36">
        <f t="shared" ref="J22:J31" si="13">IF(H$12=0,0,H22/H$12)</f>
        <v>1.2977364550725845</v>
      </c>
      <c r="K22" s="4"/>
      <c r="L22" s="22">
        <f t="shared" ref="L22:L31" si="14">+D22-H22</f>
        <v>-12025.19000000001</v>
      </c>
      <c r="M22" s="4"/>
      <c r="N22" s="36">
        <f t="shared" ref="N22:N31" si="15">IF(H22=0,0,L22/H22)</f>
        <v>-0.16795837770832983</v>
      </c>
      <c r="O22" s="10"/>
      <c r="P22" s="22">
        <f>SUM(OSRRefP22x_0)</f>
        <v>383374.56</v>
      </c>
      <c r="Q22" s="22"/>
      <c r="R22" s="36">
        <f t="shared" ref="R22:R31" si="16">IF(P$12=0,0,P22/P$12)</f>
        <v>8.4938210773290326</v>
      </c>
      <c r="S22" s="22"/>
      <c r="T22" s="22">
        <f>SUM(OSRRefT22x_0)</f>
        <v>425177.25</v>
      </c>
      <c r="U22" s="22"/>
      <c r="V22" s="36">
        <f t="shared" ref="V22:V31" si="17">IF(T$12=0,0,T22/T$12)</f>
        <v>0.94077398067592877</v>
      </c>
      <c r="W22" s="4"/>
      <c r="X22" s="22">
        <f t="shared" ref="X22:X31" si="18">+P22-T22</f>
        <v>-41802.69</v>
      </c>
      <c r="Y22" s="4"/>
      <c r="Z22" s="36">
        <f t="shared" ref="Z22:Z31" si="19">IF(T22=0,0,X22/T22)</f>
        <v>-9.8318266087849243E-2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13322.75</v>
      </c>
      <c r="E23" s="1"/>
      <c r="F23" s="5">
        <f t="shared" si="12"/>
        <v>1.3606055283104808</v>
      </c>
      <c r="G23" s="1"/>
      <c r="H23" s="1">
        <f>SUM(OSRRefH22_0x_0)</f>
        <v>7417.6</v>
      </c>
      <c r="I23" s="1"/>
      <c r="J23" s="5">
        <f t="shared" si="13"/>
        <v>0.13444963848171382</v>
      </c>
      <c r="K23" s="1"/>
      <c r="L23" s="1">
        <f t="shared" si="14"/>
        <v>5905.15</v>
      </c>
      <c r="M23" s="1"/>
      <c r="N23" s="5">
        <f t="shared" si="15"/>
        <v>0.79609981665228635</v>
      </c>
      <c r="O23" s="13"/>
      <c r="P23" s="1">
        <f>SUM(OSRRefP22_0x_0)</f>
        <v>82118.58</v>
      </c>
      <c r="Q23" s="1"/>
      <c r="R23" s="5">
        <f t="shared" si="16"/>
        <v>1.8193709192501724</v>
      </c>
      <c r="S23" s="1"/>
      <c r="T23" s="1">
        <f>SUM(OSRRefT22_0x_0)</f>
        <v>49381.210000000006</v>
      </c>
      <c r="U23" s="1"/>
      <c r="V23" s="5">
        <f t="shared" si="17"/>
        <v>0.10926397755828654</v>
      </c>
      <c r="W23" s="1"/>
      <c r="X23" s="1">
        <f t="shared" si="18"/>
        <v>32737.369999999995</v>
      </c>
      <c r="Y23" s="1"/>
      <c r="Z23" s="5">
        <f t="shared" si="19"/>
        <v>0.66295196087742669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7">
        <v>1415.38</v>
      </c>
      <c r="E24" s="2"/>
      <c r="F24" s="6">
        <f t="shared" si="12"/>
        <v>0.14454777374491665</v>
      </c>
      <c r="G24" s="2"/>
      <c r="H24" s="7">
        <v>1134.81</v>
      </c>
      <c r="I24" s="2"/>
      <c r="J24" s="6">
        <f t="shared" si="13"/>
        <v>2.0569293874761869E-2</v>
      </c>
      <c r="K24" s="2"/>
      <c r="L24" s="7">
        <f t="shared" si="14"/>
        <v>280.57000000000016</v>
      </c>
      <c r="M24" s="2"/>
      <c r="N24" s="6">
        <f t="shared" si="15"/>
        <v>0.24723962601669017</v>
      </c>
      <c r="O24" s="11"/>
      <c r="P24" s="7">
        <v>9699.44</v>
      </c>
      <c r="Q24" s="2"/>
      <c r="R24" s="6">
        <f t="shared" si="16"/>
        <v>0.21489508304955945</v>
      </c>
      <c r="S24" s="2"/>
      <c r="T24" s="7">
        <v>8652.19</v>
      </c>
      <c r="U24" s="2"/>
      <c r="V24" s="6">
        <f t="shared" si="17"/>
        <v>1.9144380909054907E-2</v>
      </c>
      <c r="W24" s="2"/>
      <c r="X24" s="7">
        <f t="shared" si="18"/>
        <v>1047.25</v>
      </c>
      <c r="Y24" s="2"/>
      <c r="Z24" s="6">
        <f t="shared" si="19"/>
        <v>0.12103871967675235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>
        <v>1051.44</v>
      </c>
      <c r="E25" s="2"/>
      <c r="F25" s="6">
        <f t="shared" si="12"/>
        <v>0.10737986351817545</v>
      </c>
      <c r="G25" s="2"/>
      <c r="H25" s="7">
        <v>1156.3599999999999</v>
      </c>
      <c r="I25" s="2"/>
      <c r="J25" s="6">
        <f t="shared" si="13"/>
        <v>2.0959904005974247E-2</v>
      </c>
      <c r="K25" s="2"/>
      <c r="L25" s="7">
        <f t="shared" si="14"/>
        <v>-104.91999999999985</v>
      </c>
      <c r="M25" s="2"/>
      <c r="N25" s="6">
        <f t="shared" si="15"/>
        <v>-9.0732989726382662E-2</v>
      </c>
      <c r="O25" s="11"/>
      <c r="P25" s="7">
        <v>4531.63</v>
      </c>
      <c r="Q25" s="2"/>
      <c r="R25" s="6">
        <f t="shared" si="16"/>
        <v>0.10040012672895292</v>
      </c>
      <c r="S25" s="2"/>
      <c r="T25" s="7">
        <v>4320.75</v>
      </c>
      <c r="U25" s="2"/>
      <c r="V25" s="6">
        <f t="shared" si="17"/>
        <v>9.5603637706521676E-3</v>
      </c>
      <c r="W25" s="2"/>
      <c r="X25" s="7">
        <f t="shared" si="18"/>
        <v>210.88000000000011</v>
      </c>
      <c r="Y25" s="2"/>
      <c r="Z25" s="6">
        <f t="shared" si="19"/>
        <v>4.8806341491639212E-2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7">
        <v>6712.24</v>
      </c>
      <c r="E26" s="2"/>
      <c r="F26" s="6">
        <f t="shared" si="12"/>
        <v>0.6854974274340313</v>
      </c>
      <c r="G26" s="2"/>
      <c r="H26" s="7">
        <v>3090.03</v>
      </c>
      <c r="I26" s="2"/>
      <c r="J26" s="6">
        <f t="shared" si="13"/>
        <v>5.600914263341919E-2</v>
      </c>
      <c r="K26" s="2"/>
      <c r="L26" s="7">
        <f t="shared" si="14"/>
        <v>3622.2099999999996</v>
      </c>
      <c r="M26" s="2"/>
      <c r="N26" s="6">
        <f t="shared" si="15"/>
        <v>1.172224865130759</v>
      </c>
      <c r="O26" s="11"/>
      <c r="P26" s="7">
        <v>40931.39</v>
      </c>
      <c r="Q26" s="2"/>
      <c r="R26" s="6">
        <f t="shared" si="16"/>
        <v>0.90685178251362009</v>
      </c>
      <c r="S26" s="2"/>
      <c r="T26" s="7">
        <v>18540.5</v>
      </c>
      <c r="U26" s="2"/>
      <c r="V26" s="6">
        <f t="shared" si="17"/>
        <v>4.1023878838112947E-2</v>
      </c>
      <c r="W26" s="2"/>
      <c r="X26" s="7">
        <f t="shared" si="18"/>
        <v>22390.89</v>
      </c>
      <c r="Y26" s="2"/>
      <c r="Z26" s="6">
        <f t="shared" si="19"/>
        <v>1.2076745503087833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2"/>
        <v>0</v>
      </c>
      <c r="G27" s="2"/>
      <c r="H27" s="7">
        <v>77.489999999999995</v>
      </c>
      <c r="I27" s="2"/>
      <c r="J27" s="6">
        <f t="shared" si="13"/>
        <v>1.4045651539511435E-3</v>
      </c>
      <c r="K27" s="2"/>
      <c r="L27" s="7">
        <f t="shared" si="14"/>
        <v>-77.489999999999995</v>
      </c>
      <c r="M27" s="2"/>
      <c r="N27" s="6">
        <f t="shared" si="15"/>
        <v>-1</v>
      </c>
      <c r="O27" s="11"/>
      <c r="P27" s="7">
        <v>313</v>
      </c>
      <c r="Q27" s="2"/>
      <c r="R27" s="6">
        <f t="shared" si="16"/>
        <v>6.9346437520632232E-3</v>
      </c>
      <c r="S27" s="2"/>
      <c r="T27" s="7">
        <v>388.13</v>
      </c>
      <c r="U27" s="2"/>
      <c r="V27" s="6">
        <f t="shared" si="17"/>
        <v>8.5880090037683868E-4</v>
      </c>
      <c r="W27" s="2"/>
      <c r="X27" s="7">
        <f t="shared" si="18"/>
        <v>-75.13</v>
      </c>
      <c r="Y27" s="2"/>
      <c r="Z27" s="6">
        <f t="shared" si="19"/>
        <v>-0.19356916497049956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7">
        <v>1527.3</v>
      </c>
      <c r="E28" s="2"/>
      <c r="F28" s="6">
        <f t="shared" si="12"/>
        <v>0.15597776910837455</v>
      </c>
      <c r="G28" s="2"/>
      <c r="H28" s="7">
        <v>523.63</v>
      </c>
      <c r="I28" s="2"/>
      <c r="J28" s="6">
        <f t="shared" si="13"/>
        <v>9.4911917868555594E-3</v>
      </c>
      <c r="K28" s="2"/>
      <c r="L28" s="7">
        <f t="shared" si="14"/>
        <v>1003.67</v>
      </c>
      <c r="M28" s="2"/>
      <c r="N28" s="6">
        <f t="shared" si="15"/>
        <v>1.9167541966655843</v>
      </c>
      <c r="O28" s="11"/>
      <c r="P28" s="7">
        <v>9256.14</v>
      </c>
      <c r="Q28" s="2"/>
      <c r="R28" s="6">
        <f t="shared" si="16"/>
        <v>0.20507358919879387</v>
      </c>
      <c r="S28" s="2"/>
      <c r="T28" s="7">
        <v>3690.71</v>
      </c>
      <c r="U28" s="2"/>
      <c r="V28" s="6">
        <f t="shared" si="17"/>
        <v>8.1662975575961718E-3</v>
      </c>
      <c r="W28" s="2"/>
      <c r="X28" s="7">
        <f t="shared" si="18"/>
        <v>5565.4299999999994</v>
      </c>
      <c r="Y28" s="2"/>
      <c r="Z28" s="6">
        <f t="shared" si="19"/>
        <v>1.5079564636614633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7">
        <v>1377.86</v>
      </c>
      <c r="E29" s="2"/>
      <c r="F29" s="6">
        <f t="shared" si="12"/>
        <v>0.14071598830856083</v>
      </c>
      <c r="G29" s="2"/>
      <c r="H29" s="7">
        <v>714.17</v>
      </c>
      <c r="I29" s="2"/>
      <c r="J29" s="6">
        <f t="shared" si="13"/>
        <v>1.2944874125658644E-2</v>
      </c>
      <c r="K29" s="2"/>
      <c r="L29" s="7">
        <f t="shared" si="14"/>
        <v>663.68999999999994</v>
      </c>
      <c r="M29" s="2"/>
      <c r="N29" s="6">
        <f t="shared" si="15"/>
        <v>0.92931654928098351</v>
      </c>
      <c r="O29" s="11"/>
      <c r="P29" s="7">
        <v>8816.2199999999993</v>
      </c>
      <c r="Q29" s="2"/>
      <c r="R29" s="6">
        <f t="shared" si="16"/>
        <v>0.19532698063838602</v>
      </c>
      <c r="S29" s="2"/>
      <c r="T29" s="7">
        <v>5817.57</v>
      </c>
      <c r="U29" s="2"/>
      <c r="V29" s="6">
        <f t="shared" si="17"/>
        <v>1.2872322041597623E-2</v>
      </c>
      <c r="W29" s="2"/>
      <c r="X29" s="7">
        <f t="shared" si="18"/>
        <v>2998.6499999999996</v>
      </c>
      <c r="Y29" s="2"/>
      <c r="Z29" s="6">
        <f t="shared" si="19"/>
        <v>0.51544717124160089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7">
        <v>857.52</v>
      </c>
      <c r="E30" s="2"/>
      <c r="F30" s="6">
        <f t="shared" si="12"/>
        <v>8.7575496998502825E-2</v>
      </c>
      <c r="G30" s="2"/>
      <c r="H30" s="7">
        <v>392.9</v>
      </c>
      <c r="I30" s="2"/>
      <c r="J30" s="6">
        <f t="shared" si="13"/>
        <v>7.121611162568129E-3</v>
      </c>
      <c r="K30" s="2"/>
      <c r="L30" s="7">
        <f t="shared" si="14"/>
        <v>464.62</v>
      </c>
      <c r="M30" s="2"/>
      <c r="N30" s="6">
        <f t="shared" si="15"/>
        <v>1.1825400865360143</v>
      </c>
      <c r="O30" s="11"/>
      <c r="P30" s="7">
        <v>5584.6</v>
      </c>
      <c r="Q30" s="2"/>
      <c r="R30" s="6">
        <f t="shared" si="16"/>
        <v>0.12372911021652486</v>
      </c>
      <c r="S30" s="2"/>
      <c r="T30" s="7">
        <v>5996.78</v>
      </c>
      <c r="U30" s="2"/>
      <c r="V30" s="6">
        <f t="shared" si="17"/>
        <v>1.3268853382531158E-2</v>
      </c>
      <c r="W30" s="2"/>
      <c r="X30" s="7">
        <f t="shared" si="18"/>
        <v>-412.17999999999938</v>
      </c>
      <c r="Y30" s="2"/>
      <c r="Z30" s="6">
        <f t="shared" si="19"/>
        <v>-6.8733553673804848E-2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7">
        <v>381.01</v>
      </c>
      <c r="E31" s="2"/>
      <c r="F31" s="6">
        <f t="shared" si="12"/>
        <v>3.8911209197919065E-2</v>
      </c>
      <c r="G31" s="2"/>
      <c r="H31" s="7">
        <v>328.21</v>
      </c>
      <c r="I31" s="2"/>
      <c r="J31" s="6">
        <f t="shared" si="13"/>
        <v>5.9490557385250336E-3</v>
      </c>
      <c r="K31" s="2"/>
      <c r="L31" s="7">
        <f t="shared" si="14"/>
        <v>52.800000000000011</v>
      </c>
      <c r="M31" s="2"/>
      <c r="N31" s="6">
        <f t="shared" si="15"/>
        <v>0.16087261204716496</v>
      </c>
      <c r="O31" s="11"/>
      <c r="P31" s="7">
        <v>2986.16</v>
      </c>
      <c r="Q31" s="2"/>
      <c r="R31" s="6">
        <f t="shared" si="16"/>
        <v>6.6159603152271929E-2</v>
      </c>
      <c r="S31" s="2"/>
      <c r="T31" s="7">
        <v>1974.58</v>
      </c>
      <c r="U31" s="2"/>
      <c r="V31" s="6">
        <f t="shared" si="17"/>
        <v>4.3690801583647181E-3</v>
      </c>
      <c r="W31" s="2"/>
      <c r="X31" s="7">
        <f t="shared" si="18"/>
        <v>1011.5799999999999</v>
      </c>
      <c r="Y31" s="2"/>
      <c r="Z31" s="6">
        <f t="shared" si="19"/>
        <v>0.51230135016054046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15603.07</v>
      </c>
      <c r="E32" s="1"/>
      <c r="F32" s="5">
        <f t="shared" ref="F32:F37" si="20">IF(D$12=0,0,D32/D$12)</f>
        <v>1.5934865775170601</v>
      </c>
      <c r="G32" s="1"/>
      <c r="H32" s="1">
        <f>SUM(OSRRefH22_1x_0)</f>
        <v>18348.879999999997</v>
      </c>
      <c r="I32" s="1"/>
      <c r="J32" s="5">
        <f t="shared" ref="J32:J37" si="21">IF(H$12=0,0,H32/H$12)</f>
        <v>0.33258739788399866</v>
      </c>
      <c r="K32" s="1"/>
      <c r="L32" s="1">
        <f t="shared" ref="L32:L37" si="22">+D32-H32</f>
        <v>-2745.8099999999977</v>
      </c>
      <c r="M32" s="1"/>
      <c r="N32" s="5">
        <f t="shared" ref="N32:N37" si="23">IF(H32=0,0,L32/H32)</f>
        <v>-0.14964455596199866</v>
      </c>
      <c r="O32" s="13"/>
      <c r="P32" s="1">
        <f>SUM(OSRRefP22_1x_0)</f>
        <v>108077.08000000002</v>
      </c>
      <c r="Q32" s="1"/>
      <c r="R32" s="5">
        <f t="shared" ref="R32:R37" si="24">IF(P$12=0,0,P32/P$12)</f>
        <v>2.3944921647387774</v>
      </c>
      <c r="S32" s="1"/>
      <c r="T32" s="1">
        <f>SUM(OSRRefT22_1x_0)</f>
        <v>142555.15</v>
      </c>
      <c r="U32" s="1"/>
      <c r="V32" s="5">
        <f t="shared" ref="V32:V37" si="25">IF(T$12=0,0,T32/T$12)</f>
        <v>0.31542650960594465</v>
      </c>
      <c r="W32" s="1"/>
      <c r="X32" s="1">
        <f t="shared" ref="X32:X37" si="26">+P32-T32</f>
        <v>-34478.069999999978</v>
      </c>
      <c r="Y32" s="1"/>
      <c r="Z32" s="5">
        <f t="shared" ref="Z32:Z37" si="27">IF(T32=0,0,X32/T32)</f>
        <v>-0.24185776522279256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>
        <v>12942.91</v>
      </c>
      <c r="E33" s="2"/>
      <c r="F33" s="6">
        <f t="shared" si="20"/>
        <v>1.321813807091254</v>
      </c>
      <c r="G33" s="2"/>
      <c r="H33" s="7">
        <v>4610.76</v>
      </c>
      <c r="I33" s="2"/>
      <c r="J33" s="6">
        <f t="shared" si="21"/>
        <v>8.3573529864908708E-2</v>
      </c>
      <c r="K33" s="2"/>
      <c r="L33" s="7">
        <f t="shared" si="22"/>
        <v>8332.15</v>
      </c>
      <c r="M33" s="2"/>
      <c r="N33" s="6">
        <f t="shared" si="23"/>
        <v>1.8071098907772254</v>
      </c>
      <c r="O33" s="11"/>
      <c r="P33" s="7">
        <v>85051.03</v>
      </c>
      <c r="Q33" s="2"/>
      <c r="R33" s="6">
        <f t="shared" si="24"/>
        <v>1.8843405552589194</v>
      </c>
      <c r="S33" s="2"/>
      <c r="T33" s="7">
        <v>31215.09</v>
      </c>
      <c r="U33" s="2"/>
      <c r="V33" s="6">
        <f t="shared" si="25"/>
        <v>6.9068475503939533E-2</v>
      </c>
      <c r="W33" s="2"/>
      <c r="X33" s="7">
        <f t="shared" si="26"/>
        <v>53835.94</v>
      </c>
      <c r="Y33" s="2"/>
      <c r="Z33" s="6">
        <f t="shared" si="27"/>
        <v>1.7246767508919565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7">
        <v>2426.3000000000002</v>
      </c>
      <c r="E34" s="2"/>
      <c r="F34" s="6">
        <f t="shared" si="20"/>
        <v>0.24778947239419186</v>
      </c>
      <c r="G34" s="2"/>
      <c r="H34" s="7">
        <v>2716.16</v>
      </c>
      <c r="I34" s="2"/>
      <c r="J34" s="6">
        <f t="shared" si="21"/>
        <v>4.923246468648778E-2</v>
      </c>
      <c r="K34" s="2"/>
      <c r="L34" s="7">
        <f t="shared" si="22"/>
        <v>-289.85999999999967</v>
      </c>
      <c r="M34" s="2"/>
      <c r="N34" s="6">
        <f t="shared" si="23"/>
        <v>-0.10671683553251637</v>
      </c>
      <c r="O34" s="11"/>
      <c r="P34" s="7">
        <v>20524.63</v>
      </c>
      <c r="Q34" s="2"/>
      <c r="R34" s="6">
        <f t="shared" si="24"/>
        <v>0.45473162042463067</v>
      </c>
      <c r="S34" s="2"/>
      <c r="T34" s="7">
        <v>19705.449999999997</v>
      </c>
      <c r="U34" s="2"/>
      <c r="V34" s="6">
        <f t="shared" si="25"/>
        <v>4.3601520630538154E-2</v>
      </c>
      <c r="W34" s="2"/>
      <c r="X34" s="7">
        <f t="shared" si="26"/>
        <v>819.18000000000393</v>
      </c>
      <c r="Y34" s="2"/>
      <c r="Z34" s="6">
        <f t="shared" si="27"/>
        <v>4.157124044363382E-2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>
        <v>233.86</v>
      </c>
      <c r="E35" s="2"/>
      <c r="F35" s="6">
        <f t="shared" si="20"/>
        <v>2.3883298031614271E-2</v>
      </c>
      <c r="G35" s="2"/>
      <c r="H35" s="7">
        <v>6301.13</v>
      </c>
      <c r="I35" s="2"/>
      <c r="J35" s="6">
        <f t="shared" si="21"/>
        <v>0.11421277104808582</v>
      </c>
      <c r="K35" s="2"/>
      <c r="L35" s="7">
        <f t="shared" si="22"/>
        <v>-6067.27</v>
      </c>
      <c r="M35" s="2"/>
      <c r="N35" s="6">
        <f t="shared" si="23"/>
        <v>-0.96288602203096907</v>
      </c>
      <c r="O35" s="11"/>
      <c r="P35" s="7">
        <v>2431.71</v>
      </c>
      <c r="Q35" s="2"/>
      <c r="R35" s="6">
        <f t="shared" si="24"/>
        <v>5.3875535330126713E-2</v>
      </c>
      <c r="S35" s="2"/>
      <c r="T35" s="7">
        <v>45616.43</v>
      </c>
      <c r="U35" s="2"/>
      <c r="V35" s="6">
        <f t="shared" si="25"/>
        <v>0.10093378805033631</v>
      </c>
      <c r="W35" s="2"/>
      <c r="X35" s="7">
        <f t="shared" si="26"/>
        <v>-43184.72</v>
      </c>
      <c r="Y35" s="2"/>
      <c r="Z35" s="6">
        <f t="shared" si="27"/>
        <v>-0.9466922334781569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/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200.5</v>
      </c>
      <c r="U36" s="2"/>
      <c r="V36" s="6">
        <f t="shared" si="25"/>
        <v>4.4363893676231198E-4</v>
      </c>
      <c r="W36" s="2"/>
      <c r="X36" s="7">
        <f t="shared" si="26"/>
        <v>-200.5</v>
      </c>
      <c r="Y36" s="2"/>
      <c r="Z36" s="6">
        <f t="shared" si="27"/>
        <v>-1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4720.83</v>
      </c>
      <c r="I37" s="2"/>
      <c r="J37" s="6">
        <f t="shared" si="21"/>
        <v>8.5568632284516416E-2</v>
      </c>
      <c r="K37" s="2"/>
      <c r="L37" s="7">
        <f t="shared" si="22"/>
        <v>-4720.83</v>
      </c>
      <c r="M37" s="2"/>
      <c r="N37" s="6">
        <f t="shared" si="23"/>
        <v>-1</v>
      </c>
      <c r="O37" s="11"/>
      <c r="P37" s="7">
        <v>69.709999999999994</v>
      </c>
      <c r="Q37" s="2"/>
      <c r="R37" s="6">
        <f t="shared" si="24"/>
        <v>1.5444537251000871E-3</v>
      </c>
      <c r="S37" s="2"/>
      <c r="T37" s="7">
        <v>45817.68</v>
      </c>
      <c r="U37" s="2"/>
      <c r="V37" s="6">
        <f t="shared" si="25"/>
        <v>0.10137908648436832</v>
      </c>
      <c r="W37" s="2"/>
      <c r="X37" s="7">
        <f t="shared" si="26"/>
        <v>-45747.97</v>
      </c>
      <c r="Y37" s="2"/>
      <c r="Z37" s="6">
        <f t="shared" si="27"/>
        <v>-0.99847853492363647</v>
      </c>
    </row>
    <row r="38" spans="1:26" s="25" customFormat="1" outlineLevel="1" collapsed="1" x14ac:dyDescent="0.25">
      <c r="A38" s="26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7.42</v>
      </c>
      <c r="E38" s="1"/>
      <c r="F38" s="5">
        <f t="shared" ref="F38:F46" si="28">IF(D$12=0,0,D38/D$12)</f>
        <v>7.5777846315991566E-4</v>
      </c>
      <c r="G38" s="1"/>
      <c r="H38" s="1">
        <f>SUM(OSRRefH22_2x_0)</f>
        <v>552.72</v>
      </c>
      <c r="I38" s="1"/>
      <c r="J38" s="5">
        <f t="shared" ref="J38:J46" si="29">IF(H$12=0,0,H38/H$12)</f>
        <v>1.0018470149591898E-2</v>
      </c>
      <c r="K38" s="1"/>
      <c r="L38" s="1">
        <f t="shared" ref="L38:L46" si="30">+D38-H38</f>
        <v>-545.30000000000007</v>
      </c>
      <c r="M38" s="1"/>
      <c r="N38" s="5">
        <f t="shared" ref="N38:N46" si="31">IF(H38=0,0,L38/H38)</f>
        <v>-0.98657548125633243</v>
      </c>
      <c r="O38" s="13"/>
      <c r="P38" s="1">
        <f>SUM(OSRRefP22_2x_0)</f>
        <v>133.94999999999999</v>
      </c>
      <c r="Q38" s="1"/>
      <c r="R38" s="5">
        <f t="shared" ref="R38:R46" si="32">IF(P$12=0,0,P38/P$12)</f>
        <v>2.9677173501241809E-3</v>
      </c>
      <c r="S38" s="1"/>
      <c r="T38" s="1">
        <f>SUM(OSRRefT22_2x_0)</f>
        <v>3794.37</v>
      </c>
      <c r="U38" s="1"/>
      <c r="V38" s="5">
        <f t="shared" ref="V38:V46" si="33">IF(T$12=0,0,T38/T$12)</f>
        <v>8.395662206896826E-3</v>
      </c>
      <c r="W38" s="1"/>
      <c r="X38" s="1">
        <f t="shared" ref="X38:X46" si="34">+P38-T38</f>
        <v>-3660.42</v>
      </c>
      <c r="Y38" s="1"/>
      <c r="Z38" s="5">
        <f t="shared" ref="Z38:Z46" si="35">IF(T38=0,0,X38/T38)</f>
        <v>-0.96469769685086071</v>
      </c>
    </row>
    <row r="39" spans="1:26" s="24" customFormat="1" hidden="1" outlineLevel="2" x14ac:dyDescent="0.25">
      <c r="A39" s="27"/>
      <c r="B39" s="11" t="str">
        <f>CONCATENATE("          ", "6362", " - ", "ADVERTISING EXPENSE")</f>
        <v xml:space="preserve">          6362 - ADVERTISING EXPENSE</v>
      </c>
      <c r="C39" s="11"/>
      <c r="D39" s="7">
        <v>7.42</v>
      </c>
      <c r="E39" s="2"/>
      <c r="F39" s="6">
        <f t="shared" si="28"/>
        <v>7.5777846315991566E-4</v>
      </c>
      <c r="G39" s="2"/>
      <c r="H39" s="7">
        <v>552.72</v>
      </c>
      <c r="I39" s="2"/>
      <c r="J39" s="6">
        <f t="shared" si="29"/>
        <v>1.0018470149591898E-2</v>
      </c>
      <c r="K39" s="2"/>
      <c r="L39" s="7">
        <f t="shared" si="30"/>
        <v>-545.30000000000007</v>
      </c>
      <c r="M39" s="2"/>
      <c r="N39" s="6">
        <f t="shared" si="31"/>
        <v>-0.98657548125633243</v>
      </c>
      <c r="O39" s="11"/>
      <c r="P39" s="7">
        <v>133.94999999999999</v>
      </c>
      <c r="Q39" s="2"/>
      <c r="R39" s="6">
        <f t="shared" si="32"/>
        <v>2.9677173501241809E-3</v>
      </c>
      <c r="S39" s="2"/>
      <c r="T39" s="7">
        <v>3794.37</v>
      </c>
      <c r="U39" s="2"/>
      <c r="V39" s="6">
        <f t="shared" si="33"/>
        <v>8.395662206896826E-3</v>
      </c>
      <c r="W39" s="2"/>
      <c r="X39" s="7">
        <f t="shared" si="34"/>
        <v>-3660.42</v>
      </c>
      <c r="Y39" s="2"/>
      <c r="Z39" s="6">
        <f t="shared" si="35"/>
        <v>-0.96469769685086071</v>
      </c>
    </row>
    <row r="40" spans="1:26" s="25" customFormat="1" outlineLevel="1" collapsed="1" x14ac:dyDescent="0.25">
      <c r="A40" s="26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1.74</v>
      </c>
      <c r="E40" s="1"/>
      <c r="F40" s="5">
        <f t="shared" si="28"/>
        <v>1.7770007087577539E-4</v>
      </c>
      <c r="G40" s="1"/>
      <c r="H40" s="1">
        <f>SUM(OSRRefH22_3x_0)</f>
        <v>-5.72</v>
      </c>
      <c r="I40" s="1"/>
      <c r="J40" s="5">
        <f t="shared" si="29"/>
        <v>-1.0367934805265894E-4</v>
      </c>
      <c r="K40" s="1"/>
      <c r="L40" s="1">
        <f t="shared" si="30"/>
        <v>7.46</v>
      </c>
      <c r="M40" s="1"/>
      <c r="N40" s="5">
        <f t="shared" si="31"/>
        <v>-1.3041958041958042</v>
      </c>
      <c r="O40" s="13"/>
      <c r="P40" s="1">
        <f>SUM(OSRRefP22_3x_0)</f>
        <v>8.7899999999999991</v>
      </c>
      <c r="Q40" s="1"/>
      <c r="R40" s="5">
        <f t="shared" si="32"/>
        <v>1.9474606575282978E-4</v>
      </c>
      <c r="S40" s="1"/>
      <c r="T40" s="1">
        <f>SUM(OSRRefT22_3x_0)</f>
        <v>-17.309999999999999</v>
      </c>
      <c r="U40" s="1"/>
      <c r="V40" s="5">
        <f t="shared" si="33"/>
        <v>-3.8301196984317311E-5</v>
      </c>
      <c r="W40" s="1"/>
      <c r="X40" s="1">
        <f t="shared" si="34"/>
        <v>26.099999999999998</v>
      </c>
      <c r="Y40" s="1"/>
      <c r="Z40" s="5">
        <f t="shared" si="35"/>
        <v>-1.5077989601386481</v>
      </c>
    </row>
    <row r="41" spans="1:26" s="24" customFormat="1" hidden="1" outlineLevel="2" x14ac:dyDescent="0.25">
      <c r="A41" s="27"/>
      <c r="B41" s="11" t="str">
        <f>CONCATENATE("          ", "6272", " - ", "CASH (OVER/SHORT)")</f>
        <v xml:space="preserve">          6272 - CASH (OVER/SHORT)</v>
      </c>
      <c r="C41" s="11"/>
      <c r="D41" s="7">
        <v>1.74</v>
      </c>
      <c r="E41" s="2"/>
      <c r="F41" s="6">
        <f t="shared" si="28"/>
        <v>1.7770007087577539E-4</v>
      </c>
      <c r="G41" s="2"/>
      <c r="H41" s="7">
        <v>-5.72</v>
      </c>
      <c r="I41" s="2"/>
      <c r="J41" s="6">
        <f t="shared" si="29"/>
        <v>-1.0367934805265894E-4</v>
      </c>
      <c r="K41" s="2"/>
      <c r="L41" s="7">
        <f t="shared" si="30"/>
        <v>7.46</v>
      </c>
      <c r="M41" s="2"/>
      <c r="N41" s="6">
        <f t="shared" si="31"/>
        <v>-1.3041958041958042</v>
      </c>
      <c r="O41" s="11"/>
      <c r="P41" s="7">
        <v>8.7899999999999991</v>
      </c>
      <c r="Q41" s="2"/>
      <c r="R41" s="6">
        <f t="shared" si="32"/>
        <v>1.9474606575282978E-4</v>
      </c>
      <c r="S41" s="2"/>
      <c r="T41" s="7">
        <v>-17.309999999999999</v>
      </c>
      <c r="U41" s="2"/>
      <c r="V41" s="6">
        <f t="shared" si="33"/>
        <v>-3.8301196984317311E-5</v>
      </c>
      <c r="W41" s="2"/>
      <c r="X41" s="7">
        <f t="shared" si="34"/>
        <v>26.099999999999998</v>
      </c>
      <c r="Y41" s="2"/>
      <c r="Z41" s="6">
        <f t="shared" si="35"/>
        <v>-1.5077989601386481</v>
      </c>
    </row>
    <row r="42" spans="1:26" s="25" customFormat="1" outlineLevel="1" collapsed="1" x14ac:dyDescent="0.25">
      <c r="A42" s="26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277.60000000000002</v>
      </c>
      <c r="E42" s="1"/>
      <c r="F42" s="5">
        <f t="shared" si="28"/>
        <v>2.8350310158112214E-2</v>
      </c>
      <c r="G42" s="1"/>
      <c r="H42" s="1">
        <f>SUM(OSRRefH22_4x_0)</f>
        <v>4396.76</v>
      </c>
      <c r="I42" s="1"/>
      <c r="J42" s="5">
        <f t="shared" si="29"/>
        <v>7.9694617193008521E-2</v>
      </c>
      <c r="K42" s="1"/>
      <c r="L42" s="1">
        <f t="shared" si="30"/>
        <v>-4119.16</v>
      </c>
      <c r="M42" s="1"/>
      <c r="N42" s="5">
        <f t="shared" si="31"/>
        <v>-0.93686259882276945</v>
      </c>
      <c r="O42" s="13"/>
      <c r="P42" s="1">
        <f>SUM(OSRRefP22_4x_0)</f>
        <v>1066.8499999999999</v>
      </c>
      <c r="Q42" s="1"/>
      <c r="R42" s="5">
        <f t="shared" si="32"/>
        <v>2.3636500597088335E-2</v>
      </c>
      <c r="S42" s="1"/>
      <c r="T42" s="1">
        <f>SUM(OSRRefT22_4x_0)</f>
        <v>19249.47</v>
      </c>
      <c r="U42" s="1"/>
      <c r="V42" s="5">
        <f t="shared" si="33"/>
        <v>4.2592590543830536E-2</v>
      </c>
      <c r="W42" s="1"/>
      <c r="X42" s="1">
        <f t="shared" si="34"/>
        <v>-18182.620000000003</v>
      </c>
      <c r="Y42" s="1"/>
      <c r="Z42" s="5">
        <f t="shared" si="35"/>
        <v>-0.94457769486640419</v>
      </c>
    </row>
    <row r="43" spans="1:26" s="24" customFormat="1" hidden="1" outlineLevel="2" x14ac:dyDescent="0.25">
      <c r="A43" s="27"/>
      <c r="B43" s="11" t="str">
        <f>CONCATENATE("          ", "6381", " - ", "BANK/CREDIT CARD FEES")</f>
        <v xml:space="preserve">          6381 - BANK/CREDIT CARD FEES</v>
      </c>
      <c r="C43" s="11"/>
      <c r="D43" s="7">
        <v>277.60000000000002</v>
      </c>
      <c r="E43" s="2"/>
      <c r="F43" s="6">
        <f t="shared" si="28"/>
        <v>2.8350310158112214E-2</v>
      </c>
      <c r="G43" s="2"/>
      <c r="H43" s="7">
        <v>4396.76</v>
      </c>
      <c r="I43" s="2"/>
      <c r="J43" s="6">
        <f t="shared" si="29"/>
        <v>7.9694617193008521E-2</v>
      </c>
      <c r="K43" s="2"/>
      <c r="L43" s="7">
        <f t="shared" si="30"/>
        <v>-4119.16</v>
      </c>
      <c r="M43" s="2"/>
      <c r="N43" s="6">
        <f t="shared" si="31"/>
        <v>-0.93686259882276945</v>
      </c>
      <c r="O43" s="11"/>
      <c r="P43" s="7">
        <v>1066.8499999999999</v>
      </c>
      <c r="Q43" s="2"/>
      <c r="R43" s="6">
        <f t="shared" si="32"/>
        <v>2.3636500597088335E-2</v>
      </c>
      <c r="S43" s="2"/>
      <c r="T43" s="7">
        <v>19249.47</v>
      </c>
      <c r="U43" s="2"/>
      <c r="V43" s="6">
        <f t="shared" si="33"/>
        <v>4.2592590543830536E-2</v>
      </c>
      <c r="W43" s="2"/>
      <c r="X43" s="7">
        <f t="shared" si="34"/>
        <v>-18182.620000000003</v>
      </c>
      <c r="Y43" s="2"/>
      <c r="Z43" s="6">
        <f t="shared" si="35"/>
        <v>-0.94457769486640419</v>
      </c>
    </row>
    <row r="44" spans="1:26" s="25" customFormat="1" outlineLevel="1" collapsed="1" x14ac:dyDescent="0.25">
      <c r="A44" s="26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13902.32</v>
      </c>
      <c r="E44" s="1"/>
      <c r="F44" s="5">
        <f t="shared" si="28"/>
        <v>1.4197949708837412</v>
      </c>
      <c r="G44" s="1"/>
      <c r="H44" s="1">
        <f>SUM(OSRRefH22_5x_0)</f>
        <v>13580.689999999999</v>
      </c>
      <c r="I44" s="1"/>
      <c r="J44" s="5">
        <f t="shared" si="29"/>
        <v>0.2461603295988225</v>
      </c>
      <c r="K44" s="1"/>
      <c r="L44" s="1">
        <f t="shared" si="30"/>
        <v>321.63000000000102</v>
      </c>
      <c r="M44" s="1"/>
      <c r="N44" s="5">
        <f t="shared" si="31"/>
        <v>2.3682890928222428E-2</v>
      </c>
      <c r="O44" s="13"/>
      <c r="P44" s="1">
        <f>SUM(OSRRefP22_5x_0)</f>
        <v>83379.199999999983</v>
      </c>
      <c r="Q44" s="1"/>
      <c r="R44" s="5">
        <f t="shared" si="32"/>
        <v>1.8473004739042485</v>
      </c>
      <c r="S44" s="1"/>
      <c r="T44" s="1">
        <f>SUM(OSRRefT22_5x_0)</f>
        <v>79915.239999999991</v>
      </c>
      <c r="U44" s="1"/>
      <c r="V44" s="5">
        <f t="shared" si="33"/>
        <v>0.17682549678157097</v>
      </c>
      <c r="W44" s="1"/>
      <c r="X44" s="1">
        <f t="shared" si="34"/>
        <v>3463.9599999999919</v>
      </c>
      <c r="Y44" s="1"/>
      <c r="Z44" s="5">
        <f t="shared" si="35"/>
        <v>4.3345424477233531E-2</v>
      </c>
    </row>
    <row r="45" spans="1:26" s="24" customFormat="1" hidden="1" outlineLevel="2" x14ac:dyDescent="0.25">
      <c r="A45" s="27"/>
      <c r="B45" s="11" t="str">
        <f>CONCATENATE("          ", "6321", " - ", "BUILDING DEPRECIATION")</f>
        <v xml:space="preserve">          6321 - BUILDING DEPRECIATION</v>
      </c>
      <c r="C45" s="11"/>
      <c r="D45" s="7">
        <v>10597.26</v>
      </c>
      <c r="E45" s="2"/>
      <c r="F45" s="6">
        <f t="shared" si="28"/>
        <v>1.0822608351086318</v>
      </c>
      <c r="G45" s="2"/>
      <c r="H45" s="7">
        <v>10612.46</v>
      </c>
      <c r="I45" s="2"/>
      <c r="J45" s="6">
        <f t="shared" si="29"/>
        <v>0.1923589045515596</v>
      </c>
      <c r="K45" s="2"/>
      <c r="L45" s="7">
        <f t="shared" si="30"/>
        <v>-15.199999999998909</v>
      </c>
      <c r="M45" s="2"/>
      <c r="N45" s="6">
        <f t="shared" si="31"/>
        <v>-1.4322786611208815E-3</v>
      </c>
      <c r="O45" s="11"/>
      <c r="P45" s="7">
        <v>63583.55999999999</v>
      </c>
      <c r="Q45" s="2"/>
      <c r="R45" s="6">
        <f t="shared" si="32"/>
        <v>1.4087199267985209</v>
      </c>
      <c r="S45" s="2"/>
      <c r="T45" s="7">
        <v>63674.759999999995</v>
      </c>
      <c r="U45" s="2"/>
      <c r="V45" s="6">
        <f t="shared" si="33"/>
        <v>0.14089078715708425</v>
      </c>
      <c r="W45" s="2"/>
      <c r="X45" s="7">
        <f t="shared" si="34"/>
        <v>-91.200000000004366</v>
      </c>
      <c r="Y45" s="2"/>
      <c r="Z45" s="6">
        <f t="shared" si="35"/>
        <v>-1.4322786611210528E-3</v>
      </c>
    </row>
    <row r="46" spans="1:26" s="24" customFormat="1" hidden="1" outlineLevel="2" x14ac:dyDescent="0.2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3305.06</v>
      </c>
      <c r="E46" s="2"/>
      <c r="F46" s="6">
        <f t="shared" si="28"/>
        <v>0.33753413577510932</v>
      </c>
      <c r="G46" s="2"/>
      <c r="H46" s="7">
        <v>2968.23</v>
      </c>
      <c r="I46" s="2"/>
      <c r="J46" s="6">
        <f t="shared" si="29"/>
        <v>5.3801425047262916E-2</v>
      </c>
      <c r="K46" s="2"/>
      <c r="L46" s="7">
        <f t="shared" si="30"/>
        <v>336.82999999999993</v>
      </c>
      <c r="M46" s="2"/>
      <c r="N46" s="6">
        <f t="shared" si="31"/>
        <v>0.11347840295394897</v>
      </c>
      <c r="O46" s="11"/>
      <c r="P46" s="7">
        <v>19795.64</v>
      </c>
      <c r="Q46" s="2"/>
      <c r="R46" s="6">
        <f t="shared" si="32"/>
        <v>0.43858054710572786</v>
      </c>
      <c r="S46" s="2"/>
      <c r="T46" s="7">
        <v>16240.48</v>
      </c>
      <c r="U46" s="2"/>
      <c r="V46" s="6">
        <f t="shared" si="33"/>
        <v>3.5934709624486749E-2</v>
      </c>
      <c r="W46" s="2"/>
      <c r="X46" s="7">
        <f t="shared" si="34"/>
        <v>3555.16</v>
      </c>
      <c r="Y46" s="2"/>
      <c r="Z46" s="6">
        <f t="shared" si="35"/>
        <v>0.21890732293626788</v>
      </c>
    </row>
    <row r="47" spans="1:26" s="25" customFormat="1" outlineLevel="1" collapsed="1" x14ac:dyDescent="0.25">
      <c r="A47" s="26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10</v>
      </c>
      <c r="E47" s="1"/>
      <c r="F47" s="5">
        <f t="shared" ref="F47:F60" si="36">IF(D$12=0,0,D47/D$12)</f>
        <v>1.0212647751481343E-3</v>
      </c>
      <c r="G47" s="1"/>
      <c r="H47" s="1">
        <f>SUM(OSRRefH22_6x_0)</f>
        <v>12.63</v>
      </c>
      <c r="I47" s="1"/>
      <c r="J47" s="5">
        <f t="shared" ref="J47:J60" si="37">IF(H$12=0,0,H47/H$12)</f>
        <v>2.2892835068270674E-4</v>
      </c>
      <c r="K47" s="1"/>
      <c r="L47" s="1">
        <f t="shared" ref="L47:L60" si="38">+D47-H47</f>
        <v>-2.6300000000000008</v>
      </c>
      <c r="M47" s="1"/>
      <c r="N47" s="5">
        <f t="shared" ref="N47:N60" si="39">IF(H47=0,0,L47/H47)</f>
        <v>-0.20823436262866196</v>
      </c>
      <c r="O47" s="13"/>
      <c r="P47" s="1">
        <f>SUM(OSRRefP22_6x_0)</f>
        <v>10</v>
      </c>
      <c r="Q47" s="1"/>
      <c r="R47" s="5">
        <f t="shared" ref="R47:R60" si="40">IF(P$12=0,0,P47/P$12)</f>
        <v>2.2155411348444802E-4</v>
      </c>
      <c r="S47" s="1"/>
      <c r="T47" s="1">
        <f>SUM(OSRRefT22_6x_0)</f>
        <v>96.36</v>
      </c>
      <c r="U47" s="1"/>
      <c r="V47" s="5">
        <f t="shared" ref="V47:V60" si="41">IF(T$12=0,0,T47/T$12)</f>
        <v>2.1321220920905926E-4</v>
      </c>
      <c r="W47" s="1"/>
      <c r="X47" s="1">
        <f t="shared" ref="X47:X60" si="42">+P47-T47</f>
        <v>-86.36</v>
      </c>
      <c r="Y47" s="1"/>
      <c r="Z47" s="5">
        <f t="shared" ref="Z47:Z60" si="43">IF(T47=0,0,X47/T47)</f>
        <v>-0.89622249896222494</v>
      </c>
    </row>
    <row r="48" spans="1:26" s="24" customFormat="1" hidden="1" outlineLevel="2" x14ac:dyDescent="0.25">
      <c r="A48" s="27"/>
      <c r="B48" s="11" t="str">
        <f>CONCATENATE("          ", "6277", " - ", "EMPLOYEE APPRECIATION")</f>
        <v xml:space="preserve">          6277 - EMPLOYEE APPRECIATION</v>
      </c>
      <c r="C48" s="11"/>
      <c r="D48" s="7">
        <v>10</v>
      </c>
      <c r="E48" s="2"/>
      <c r="F48" s="6">
        <f t="shared" si="36"/>
        <v>1.0212647751481343E-3</v>
      </c>
      <c r="G48" s="2"/>
      <c r="H48" s="7">
        <v>12.63</v>
      </c>
      <c r="I48" s="2"/>
      <c r="J48" s="6">
        <f t="shared" si="37"/>
        <v>2.2892835068270674E-4</v>
      </c>
      <c r="K48" s="2"/>
      <c r="L48" s="7">
        <f t="shared" si="38"/>
        <v>-2.6300000000000008</v>
      </c>
      <c r="M48" s="2"/>
      <c r="N48" s="6">
        <f t="shared" si="39"/>
        <v>-0.20823436262866196</v>
      </c>
      <c r="O48" s="11"/>
      <c r="P48" s="7">
        <v>10</v>
      </c>
      <c r="Q48" s="2"/>
      <c r="R48" s="6">
        <f t="shared" si="40"/>
        <v>2.2155411348444802E-4</v>
      </c>
      <c r="S48" s="2"/>
      <c r="T48" s="7">
        <v>96.36</v>
      </c>
      <c r="U48" s="2"/>
      <c r="V48" s="6">
        <f t="shared" si="41"/>
        <v>2.1321220920905926E-4</v>
      </c>
      <c r="W48" s="2"/>
      <c r="X48" s="7">
        <f t="shared" si="42"/>
        <v>-86.36</v>
      </c>
      <c r="Y48" s="2"/>
      <c r="Z48" s="6">
        <f t="shared" si="43"/>
        <v>-0.89622249896222494</v>
      </c>
    </row>
    <row r="49" spans="1:26" s="25" customFormat="1" outlineLevel="1" collapsed="1" x14ac:dyDescent="0.25">
      <c r="A49" s="26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206.67</v>
      </c>
      <c r="E49" s="1"/>
      <c r="F49" s="5">
        <f t="shared" si="36"/>
        <v>2.1106479107986492E-2</v>
      </c>
      <c r="G49" s="1"/>
      <c r="H49" s="1">
        <f>SUM(OSRRefH22_7x_0)</f>
        <v>95.04</v>
      </c>
      <c r="I49" s="1"/>
      <c r="J49" s="5">
        <f t="shared" si="37"/>
        <v>1.7226722445672564E-3</v>
      </c>
      <c r="K49" s="1"/>
      <c r="L49" s="1">
        <f t="shared" si="38"/>
        <v>111.62999999999998</v>
      </c>
      <c r="M49" s="1"/>
      <c r="N49" s="5">
        <f t="shared" si="39"/>
        <v>1.1745580808080804</v>
      </c>
      <c r="O49" s="13"/>
      <c r="P49" s="1">
        <f>SUM(OSRRefP22_7x_0)</f>
        <v>1000.07</v>
      </c>
      <c r="Q49" s="1"/>
      <c r="R49" s="5">
        <f t="shared" si="40"/>
        <v>2.2156962227239195E-2</v>
      </c>
      <c r="S49" s="1"/>
      <c r="T49" s="1">
        <f>SUM(OSRRefT22_7x_0)</f>
        <v>668.96</v>
      </c>
      <c r="U49" s="1"/>
      <c r="V49" s="5">
        <f t="shared" si="41"/>
        <v>1.4801830580374875E-3</v>
      </c>
      <c r="W49" s="1"/>
      <c r="X49" s="1">
        <f t="shared" si="42"/>
        <v>331.11</v>
      </c>
      <c r="Y49" s="1"/>
      <c r="Z49" s="5">
        <f t="shared" si="43"/>
        <v>0.49496232958622338</v>
      </c>
    </row>
    <row r="50" spans="1:26" s="24" customFormat="1" hidden="1" outlineLevel="2" x14ac:dyDescent="0.25">
      <c r="A50" s="27"/>
      <c r="B50" s="11" t="str">
        <f>CONCATENATE("          ", "6351", " - ", "EQUIPMENT RENTAL")</f>
        <v xml:space="preserve">          6351 - EQUIPMENT RENTAL</v>
      </c>
      <c r="C50" s="11"/>
      <c r="D50" s="7">
        <v>206.67</v>
      </c>
      <c r="E50" s="2"/>
      <c r="F50" s="6">
        <f t="shared" si="36"/>
        <v>2.1106479107986492E-2</v>
      </c>
      <c r="G50" s="2"/>
      <c r="H50" s="7">
        <v>95.04</v>
      </c>
      <c r="I50" s="2"/>
      <c r="J50" s="6">
        <f t="shared" si="37"/>
        <v>1.7226722445672564E-3</v>
      </c>
      <c r="K50" s="2"/>
      <c r="L50" s="7">
        <f t="shared" si="38"/>
        <v>111.62999999999998</v>
      </c>
      <c r="M50" s="2"/>
      <c r="N50" s="6">
        <f t="shared" si="39"/>
        <v>1.1745580808080804</v>
      </c>
      <c r="O50" s="11"/>
      <c r="P50" s="7">
        <v>1000.07</v>
      </c>
      <c r="Q50" s="2"/>
      <c r="R50" s="6">
        <f t="shared" si="40"/>
        <v>2.2156962227239195E-2</v>
      </c>
      <c r="S50" s="2"/>
      <c r="T50" s="7">
        <v>668.96</v>
      </c>
      <c r="U50" s="2"/>
      <c r="V50" s="6">
        <f t="shared" si="41"/>
        <v>1.4801830580374875E-3</v>
      </c>
      <c r="W50" s="2"/>
      <c r="X50" s="7">
        <f t="shared" si="42"/>
        <v>331.11</v>
      </c>
      <c r="Y50" s="2"/>
      <c r="Z50" s="6">
        <f t="shared" si="43"/>
        <v>0.49496232958622338</v>
      </c>
    </row>
    <row r="51" spans="1:26" s="25" customFormat="1" outlineLevel="1" collapsed="1" x14ac:dyDescent="0.25">
      <c r="A51" s="26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455</v>
      </c>
      <c r="E51" s="1"/>
      <c r="F51" s="5">
        <f t="shared" si="36"/>
        <v>4.6467547269240114E-2</v>
      </c>
      <c r="G51" s="1"/>
      <c r="H51" s="1">
        <f>SUM(OSRRefH22_8x_0)</f>
        <v>455</v>
      </c>
      <c r="I51" s="1"/>
      <c r="J51" s="5">
        <f t="shared" si="37"/>
        <v>8.2472208678251429E-3</v>
      </c>
      <c r="K51" s="1"/>
      <c r="L51" s="1">
        <f t="shared" si="38"/>
        <v>0</v>
      </c>
      <c r="M51" s="1"/>
      <c r="N51" s="5">
        <f t="shared" si="39"/>
        <v>0</v>
      </c>
      <c r="O51" s="13"/>
      <c r="P51" s="1">
        <f>SUM(OSRRefP22_8x_0)</f>
        <v>2410.0700000000002</v>
      </c>
      <c r="Q51" s="1"/>
      <c r="R51" s="5">
        <f t="shared" si="40"/>
        <v>5.3396092228546368E-2</v>
      </c>
      <c r="S51" s="1"/>
      <c r="T51" s="1">
        <f>SUM(OSRRefT22_8x_0)</f>
        <v>1826.61</v>
      </c>
      <c r="U51" s="1"/>
      <c r="V51" s="5">
        <f t="shared" si="41"/>
        <v>4.0416724103711056E-3</v>
      </c>
      <c r="W51" s="1"/>
      <c r="X51" s="1">
        <f t="shared" si="42"/>
        <v>583.46000000000026</v>
      </c>
      <c r="Y51" s="1"/>
      <c r="Z51" s="5">
        <f t="shared" si="43"/>
        <v>0.31942231784562675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7">
        <v>455</v>
      </c>
      <c r="E52" s="2"/>
      <c r="F52" s="6">
        <f t="shared" si="36"/>
        <v>4.6467547269240114E-2</v>
      </c>
      <c r="G52" s="2"/>
      <c r="H52" s="7">
        <v>455</v>
      </c>
      <c r="I52" s="2"/>
      <c r="J52" s="6">
        <f t="shared" si="37"/>
        <v>8.2472208678251429E-3</v>
      </c>
      <c r="K52" s="2"/>
      <c r="L52" s="7">
        <f t="shared" si="38"/>
        <v>0</v>
      </c>
      <c r="M52" s="2"/>
      <c r="N52" s="6">
        <f t="shared" si="39"/>
        <v>0</v>
      </c>
      <c r="O52" s="11"/>
      <c r="P52" s="7">
        <v>2410.0700000000002</v>
      </c>
      <c r="Q52" s="2"/>
      <c r="R52" s="6">
        <f t="shared" si="40"/>
        <v>5.3396092228546368E-2</v>
      </c>
      <c r="S52" s="2"/>
      <c r="T52" s="7">
        <v>1826.61</v>
      </c>
      <c r="U52" s="2"/>
      <c r="V52" s="6">
        <f t="shared" si="41"/>
        <v>4.0416724103711056E-3</v>
      </c>
      <c r="W52" s="2"/>
      <c r="X52" s="7">
        <f t="shared" si="42"/>
        <v>583.46000000000026</v>
      </c>
      <c r="Y52" s="2"/>
      <c r="Z52" s="6">
        <f t="shared" si="43"/>
        <v>0.31942231784562675</v>
      </c>
    </row>
    <row r="53" spans="1:26" s="25" customFormat="1" outlineLevel="1" collapsed="1" x14ac:dyDescent="0.25">
      <c r="A53" s="26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SUM(OSRRefD22_9x_0)</f>
        <v>641.28</v>
      </c>
      <c r="E53" s="1"/>
      <c r="F53" s="5">
        <f t="shared" si="36"/>
        <v>6.5491667500699555E-2</v>
      </c>
      <c r="G53" s="1"/>
      <c r="H53" s="1">
        <f>SUM(OSRRefH22_9x_0)</f>
        <v>641.28</v>
      </c>
      <c r="I53" s="1"/>
      <c r="J53" s="5">
        <f t="shared" si="37"/>
        <v>1.1623687468393203E-2</v>
      </c>
      <c r="K53" s="1"/>
      <c r="L53" s="1">
        <f t="shared" si="38"/>
        <v>0</v>
      </c>
      <c r="M53" s="1"/>
      <c r="N53" s="5">
        <f t="shared" si="39"/>
        <v>0</v>
      </c>
      <c r="O53" s="13"/>
      <c r="P53" s="1">
        <f>SUM(OSRRefP22_9x_0)</f>
        <v>3847.68</v>
      </c>
      <c r="Q53" s="1"/>
      <c r="R53" s="5">
        <f t="shared" si="40"/>
        <v>8.5246933137184094E-2</v>
      </c>
      <c r="S53" s="1"/>
      <c r="T53" s="1">
        <f>SUM(OSRRefT22_9x_0)</f>
        <v>3847.68</v>
      </c>
      <c r="U53" s="1"/>
      <c r="V53" s="5">
        <f t="shared" si="41"/>
        <v>8.513619272825998E-3</v>
      </c>
      <c r="W53" s="1"/>
      <c r="X53" s="1">
        <f t="shared" si="42"/>
        <v>0</v>
      </c>
      <c r="Y53" s="1"/>
      <c r="Z53" s="5">
        <f t="shared" si="43"/>
        <v>0</v>
      </c>
    </row>
    <row r="54" spans="1:26" s="24" customFormat="1" hidden="1" outlineLevel="2" x14ac:dyDescent="0.25">
      <c r="A54" s="27"/>
      <c r="B54" s="11" t="str">
        <f>CONCATENATE("          ", "6314", " - ", "LIABILITY INSURANCE")</f>
        <v xml:space="preserve">          6314 - LIABILITY INSURANCE</v>
      </c>
      <c r="C54" s="11"/>
      <c r="D54" s="7">
        <v>641.28</v>
      </c>
      <c r="E54" s="2"/>
      <c r="F54" s="6">
        <f t="shared" si="36"/>
        <v>6.5491667500699555E-2</v>
      </c>
      <c r="G54" s="2"/>
      <c r="H54" s="7">
        <v>641.28</v>
      </c>
      <c r="I54" s="2"/>
      <c r="J54" s="6">
        <f t="shared" si="37"/>
        <v>1.1623687468393203E-2</v>
      </c>
      <c r="K54" s="2"/>
      <c r="L54" s="7">
        <f t="shared" si="38"/>
        <v>0</v>
      </c>
      <c r="M54" s="2"/>
      <c r="N54" s="6">
        <f t="shared" si="39"/>
        <v>0</v>
      </c>
      <c r="O54" s="11"/>
      <c r="P54" s="7">
        <v>3847.68</v>
      </c>
      <c r="Q54" s="2"/>
      <c r="R54" s="6">
        <f t="shared" si="40"/>
        <v>8.5246933137184094E-2</v>
      </c>
      <c r="S54" s="2"/>
      <c r="T54" s="7">
        <v>3847.68</v>
      </c>
      <c r="U54" s="2"/>
      <c r="V54" s="6">
        <f t="shared" si="41"/>
        <v>8.513619272825998E-3</v>
      </c>
      <c r="W54" s="2"/>
      <c r="X54" s="7">
        <f t="shared" si="42"/>
        <v>0</v>
      </c>
      <c r="Y54" s="2"/>
      <c r="Z54" s="6">
        <f t="shared" si="43"/>
        <v>0</v>
      </c>
    </row>
    <row r="55" spans="1:26" s="25" customFormat="1" outlineLevel="1" collapsed="1" x14ac:dyDescent="0.25">
      <c r="A55" s="26"/>
      <c r="B55" s="13" t="str">
        <f>CONCATENATE("     ","Interest                                          ")</f>
        <v xml:space="preserve">     Interest                                          </v>
      </c>
      <c r="C55" s="13"/>
      <c r="D55" s="1">
        <f>SUM(OSRRefD22_10x_0)</f>
        <v>7510</v>
      </c>
      <c r="E55" s="1"/>
      <c r="F55" s="5">
        <f t="shared" si="36"/>
        <v>0.76696984613624897</v>
      </c>
      <c r="G55" s="1"/>
      <c r="H55" s="1">
        <f>SUM(OSRRefH22_10x_0)</f>
        <v>7754</v>
      </c>
      <c r="I55" s="1"/>
      <c r="J55" s="5">
        <f t="shared" si="37"/>
        <v>0.1405471441958597</v>
      </c>
      <c r="K55" s="1"/>
      <c r="L55" s="1">
        <f t="shared" si="38"/>
        <v>-244</v>
      </c>
      <c r="M55" s="1"/>
      <c r="N55" s="5">
        <f t="shared" si="39"/>
        <v>-3.1467629610523601E-2</v>
      </c>
      <c r="O55" s="13"/>
      <c r="P55" s="1">
        <f>SUM(OSRRefP22_10x_0)</f>
        <v>44573.15</v>
      </c>
      <c r="Q55" s="1"/>
      <c r="R55" s="5">
        <f t="shared" si="40"/>
        <v>0.98753647334593242</v>
      </c>
      <c r="S55" s="1"/>
      <c r="T55" s="1">
        <f>SUM(OSRRefT22_10x_0)</f>
        <v>46131.049999999996</v>
      </c>
      <c r="U55" s="1"/>
      <c r="V55" s="5">
        <f t="shared" si="41"/>
        <v>0.10207246869690299</v>
      </c>
      <c r="W55" s="1"/>
      <c r="X55" s="1">
        <f t="shared" si="42"/>
        <v>-1557.8999999999942</v>
      </c>
      <c r="Y55" s="1"/>
      <c r="Z55" s="5">
        <f t="shared" si="43"/>
        <v>-3.3771180148728333E-2</v>
      </c>
    </row>
    <row r="56" spans="1:26" s="24" customFormat="1" hidden="1" outlineLevel="2" x14ac:dyDescent="0.25">
      <c r="A56" s="27"/>
      <c r="B56" s="11" t="str">
        <f>CONCATENATE("          ", "6401", " - ", "INTEREST EXPENSE")</f>
        <v xml:space="preserve">          6401 - INTEREST EXPENSE</v>
      </c>
      <c r="C56" s="11"/>
      <c r="D56" s="7">
        <v>7510</v>
      </c>
      <c r="E56" s="2"/>
      <c r="F56" s="6">
        <f t="shared" si="36"/>
        <v>0.76696984613624897</v>
      </c>
      <c r="G56" s="2"/>
      <c r="H56" s="7">
        <v>7754</v>
      </c>
      <c r="I56" s="2"/>
      <c r="J56" s="6">
        <f t="shared" si="37"/>
        <v>0.1405471441958597</v>
      </c>
      <c r="K56" s="2"/>
      <c r="L56" s="7">
        <f t="shared" si="38"/>
        <v>-244</v>
      </c>
      <c r="M56" s="2"/>
      <c r="N56" s="6">
        <f t="shared" si="39"/>
        <v>-3.1467629610523601E-2</v>
      </c>
      <c r="O56" s="11"/>
      <c r="P56" s="7">
        <v>44573.15</v>
      </c>
      <c r="Q56" s="2"/>
      <c r="R56" s="6">
        <f t="shared" si="40"/>
        <v>0.98753647334593242</v>
      </c>
      <c r="S56" s="2"/>
      <c r="T56" s="7">
        <v>46131.049999999996</v>
      </c>
      <c r="U56" s="2"/>
      <c r="V56" s="6">
        <f t="shared" si="41"/>
        <v>0.10207246869690299</v>
      </c>
      <c r="W56" s="2"/>
      <c r="X56" s="7">
        <f t="shared" si="42"/>
        <v>-1557.8999999999942</v>
      </c>
      <c r="Y56" s="2"/>
      <c r="Z56" s="6">
        <f t="shared" si="43"/>
        <v>-3.3771180148728333E-2</v>
      </c>
    </row>
    <row r="57" spans="1:26" s="25" customFormat="1" outlineLevel="1" collapsed="1" x14ac:dyDescent="0.25">
      <c r="A57" s="26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SUM(OSRRefD22_11x_0)</f>
        <v>387.52</v>
      </c>
      <c r="E57" s="1"/>
      <c r="F57" s="5">
        <f t="shared" si="36"/>
        <v>3.9576052566540502E-2</v>
      </c>
      <c r="G57" s="1"/>
      <c r="H57" s="1">
        <f>SUM(OSRRefH22_11x_0)</f>
        <v>3341.56</v>
      </c>
      <c r="I57" s="1"/>
      <c r="J57" s="5">
        <f t="shared" si="37"/>
        <v>6.0568315083713818E-2</v>
      </c>
      <c r="K57" s="1"/>
      <c r="L57" s="1">
        <f t="shared" si="38"/>
        <v>-2954.04</v>
      </c>
      <c r="M57" s="1"/>
      <c r="N57" s="5">
        <f t="shared" si="39"/>
        <v>-0.88403021343324673</v>
      </c>
      <c r="O57" s="13"/>
      <c r="P57" s="1">
        <f>SUM(OSRRefP22_11x_0)</f>
        <v>12571.59</v>
      </c>
      <c r="Q57" s="1"/>
      <c r="R57" s="5">
        <f t="shared" si="40"/>
        <v>0.27852874775399522</v>
      </c>
      <c r="S57" s="1"/>
      <c r="T57" s="1">
        <f>SUM(OSRRefT22_11x_0)</f>
        <v>19082.010000000002</v>
      </c>
      <c r="U57" s="1"/>
      <c r="V57" s="5">
        <f t="shared" si="41"/>
        <v>4.2222057993455395E-2</v>
      </c>
      <c r="W57" s="1"/>
      <c r="X57" s="1">
        <f t="shared" si="42"/>
        <v>-6510.4200000000019</v>
      </c>
      <c r="Y57" s="1"/>
      <c r="Z57" s="5">
        <f t="shared" si="43"/>
        <v>-0.34118103910437114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/>
      <c r="Q58" s="2"/>
      <c r="R58" s="6">
        <f t="shared" si="40"/>
        <v>0</v>
      </c>
      <c r="S58" s="2"/>
      <c r="T58" s="7">
        <v>2623.84</v>
      </c>
      <c r="U58" s="2"/>
      <c r="V58" s="6">
        <f t="shared" si="41"/>
        <v>5.8056737547851614E-3</v>
      </c>
      <c r="W58" s="2"/>
      <c r="X58" s="7">
        <f t="shared" si="42"/>
        <v>-2623.84</v>
      </c>
      <c r="Y58" s="2"/>
      <c r="Z58" s="6">
        <f t="shared" si="43"/>
        <v>-1</v>
      </c>
    </row>
    <row r="59" spans="1:26" s="24" customFormat="1" hidden="1" outlineLevel="2" x14ac:dyDescent="0.25">
      <c r="A59" s="27"/>
      <c r="B59" s="11" t="str">
        <f>CONCATENATE("          ", "6373", " - ", "MAINTENANCE CONTRACTS")</f>
        <v xml:space="preserve">          6373 - MAINTENANCE CONTRACTS</v>
      </c>
      <c r="C59" s="11"/>
      <c r="D59" s="7">
        <v>108.52</v>
      </c>
      <c r="E59" s="2"/>
      <c r="F59" s="6">
        <f t="shared" si="36"/>
        <v>1.1082765339907553E-2</v>
      </c>
      <c r="G59" s="2"/>
      <c r="H59" s="7">
        <v>1861.03</v>
      </c>
      <c r="I59" s="2"/>
      <c r="J59" s="6">
        <f t="shared" si="37"/>
        <v>3.373258341021676E-2</v>
      </c>
      <c r="K59" s="2"/>
      <c r="L59" s="7">
        <f t="shared" si="38"/>
        <v>-1752.51</v>
      </c>
      <c r="M59" s="2"/>
      <c r="N59" s="6">
        <f t="shared" si="39"/>
        <v>-0.94168820491878158</v>
      </c>
      <c r="O59" s="11"/>
      <c r="P59" s="7">
        <v>6596.34</v>
      </c>
      <c r="Q59" s="2"/>
      <c r="R59" s="6">
        <f t="shared" si="40"/>
        <v>0.1461446260942004</v>
      </c>
      <c r="S59" s="2"/>
      <c r="T59" s="7">
        <v>3768.74</v>
      </c>
      <c r="U59" s="2"/>
      <c r="V59" s="6">
        <f t="shared" si="41"/>
        <v>8.3389516535341424E-3</v>
      </c>
      <c r="W59" s="2"/>
      <c r="X59" s="7">
        <f t="shared" si="42"/>
        <v>2827.6000000000004</v>
      </c>
      <c r="Y59" s="2"/>
      <c r="Z59" s="6">
        <f t="shared" si="43"/>
        <v>0.75027728100107738</v>
      </c>
    </row>
    <row r="60" spans="1:26" s="24" customFormat="1" hidden="1" outlineLevel="2" x14ac:dyDescent="0.25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7">
        <v>279</v>
      </c>
      <c r="E60" s="2"/>
      <c r="F60" s="6">
        <f t="shared" si="36"/>
        <v>2.8493287226632951E-2</v>
      </c>
      <c r="G60" s="2"/>
      <c r="H60" s="7">
        <v>1480.53</v>
      </c>
      <c r="I60" s="2"/>
      <c r="J60" s="6">
        <f t="shared" si="37"/>
        <v>2.6835731673497055E-2</v>
      </c>
      <c r="K60" s="2"/>
      <c r="L60" s="7">
        <f t="shared" si="38"/>
        <v>-1201.53</v>
      </c>
      <c r="M60" s="2"/>
      <c r="N60" s="6">
        <f t="shared" si="39"/>
        <v>-0.81155397053757772</v>
      </c>
      <c r="O60" s="11"/>
      <c r="P60" s="7">
        <v>5975.25</v>
      </c>
      <c r="Q60" s="2"/>
      <c r="R60" s="6">
        <f t="shared" si="40"/>
        <v>0.1323841216597948</v>
      </c>
      <c r="S60" s="2"/>
      <c r="T60" s="7">
        <v>12689.43</v>
      </c>
      <c r="U60" s="2"/>
      <c r="V60" s="6">
        <f t="shared" si="41"/>
        <v>2.8077432585136085E-2</v>
      </c>
      <c r="W60" s="2"/>
      <c r="X60" s="7">
        <f t="shared" si="42"/>
        <v>-6714.18</v>
      </c>
      <c r="Y60" s="2"/>
      <c r="Z60" s="6">
        <f t="shared" si="43"/>
        <v>-0.52911596501970537</v>
      </c>
    </row>
    <row r="61" spans="1:26" s="25" customFormat="1" outlineLevel="1" collapsed="1" x14ac:dyDescent="0.25">
      <c r="A61" s="26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SUM(OSRRefD22_12x_0)</f>
        <v>4285.9900000000007</v>
      </c>
      <c r="E61" s="1"/>
      <c r="F61" s="5">
        <f t="shared" ref="F61:F66" si="44">IF(D$12=0,0,D61/D$12)</f>
        <v>0.43771306136371529</v>
      </c>
      <c r="G61" s="1"/>
      <c r="H61" s="1">
        <f>SUM(OSRRefH22_12x_0)</f>
        <v>6009.67</v>
      </c>
      <c r="I61" s="1"/>
      <c r="J61" s="5">
        <f t="shared" ref="J61:J66" si="45">IF(H$12=0,0,H61/H$12)</f>
        <v>0.10892983699503897</v>
      </c>
      <c r="K61" s="1"/>
      <c r="L61" s="1">
        <f t="shared" ref="L61:L66" si="46">+D61-H61</f>
        <v>-1723.6799999999994</v>
      </c>
      <c r="M61" s="1"/>
      <c r="N61" s="5">
        <f t="shared" ref="N61:N66" si="47">IF(H61=0,0,L61/H61)</f>
        <v>-0.28681774540032967</v>
      </c>
      <c r="O61" s="13"/>
      <c r="P61" s="1">
        <f>SUM(OSRRefP22_12x_0)</f>
        <v>20470.02</v>
      </c>
      <c r="Q61" s="1"/>
      <c r="R61" s="5">
        <f t="shared" ref="R61:R66" si="48">IF(P$12=0,0,P61/P$12)</f>
        <v>0.45352171341089209</v>
      </c>
      <c r="S61" s="1"/>
      <c r="T61" s="1">
        <f>SUM(OSRRefT22_12x_0)</f>
        <v>27104.82</v>
      </c>
      <c r="U61" s="1"/>
      <c r="V61" s="5">
        <f t="shared" ref="V61:V66" si="49">IF(T$12=0,0,T61/T$12)</f>
        <v>5.9973833047051617E-2</v>
      </c>
      <c r="W61" s="1"/>
      <c r="X61" s="1">
        <f t="shared" ref="X61:X66" si="50">+P61-T61</f>
        <v>-6634.7999999999993</v>
      </c>
      <c r="Y61" s="1"/>
      <c r="Z61" s="5">
        <f t="shared" ref="Z61:Z66" si="51">IF(T61=0,0,X61/T61)</f>
        <v>-0.24478303120994713</v>
      </c>
    </row>
    <row r="62" spans="1:26" s="24" customFormat="1" hidden="1" outlineLevel="2" x14ac:dyDescent="0.25">
      <c r="A62" s="27"/>
      <c r="B62" s="11" t="str">
        <f>CONCATENATE("          ", "6282", " - ", "JANITORIAL/EXTERMINATOR EXPENS")</f>
        <v xml:space="preserve">          6282 - JANITORIAL/EXTERMINATOR EXPENS</v>
      </c>
      <c r="C62" s="11"/>
      <c r="D62" s="7"/>
      <c r="E62" s="2"/>
      <c r="F62" s="6">
        <f t="shared" si="44"/>
        <v>0</v>
      </c>
      <c r="G62" s="2"/>
      <c r="H62" s="7">
        <v>657.08</v>
      </c>
      <c r="I62" s="2"/>
      <c r="J62" s="6">
        <f t="shared" si="45"/>
        <v>1.1910074478748452E-2</v>
      </c>
      <c r="K62" s="2"/>
      <c r="L62" s="7">
        <f t="shared" si="46"/>
        <v>-657.08</v>
      </c>
      <c r="M62" s="2"/>
      <c r="N62" s="6">
        <f t="shared" si="47"/>
        <v>-1</v>
      </c>
      <c r="O62" s="11"/>
      <c r="P62" s="7">
        <v>1466.03</v>
      </c>
      <c r="Q62" s="2"/>
      <c r="R62" s="6">
        <f t="shared" si="48"/>
        <v>3.2480497699160532E-2</v>
      </c>
      <c r="S62" s="2"/>
      <c r="T62" s="7">
        <v>2299.7800000000002</v>
      </c>
      <c r="U62" s="2"/>
      <c r="V62" s="6">
        <f t="shared" si="49"/>
        <v>5.0886381744999001E-3</v>
      </c>
      <c r="W62" s="2"/>
      <c r="X62" s="7">
        <f t="shared" si="50"/>
        <v>-833.75000000000023</v>
      </c>
      <c r="Y62" s="2"/>
      <c r="Z62" s="6">
        <f t="shared" si="51"/>
        <v>-0.36253467722999599</v>
      </c>
    </row>
    <row r="63" spans="1:26" s="24" customFormat="1" hidden="1" outlineLevel="2" x14ac:dyDescent="0.25">
      <c r="A63" s="27"/>
      <c r="B63" s="11" t="str">
        <f>CONCATENATE("          ", "6283", " - ", "PLANT SERVICE")</f>
        <v xml:space="preserve">          6283 - PLANT SERVICE</v>
      </c>
      <c r="C63" s="11"/>
      <c r="D63" s="7"/>
      <c r="E63" s="2"/>
      <c r="F63" s="6">
        <f t="shared" si="44"/>
        <v>0</v>
      </c>
      <c r="G63" s="2"/>
      <c r="H63" s="7"/>
      <c r="I63" s="2"/>
      <c r="J63" s="6">
        <f t="shared" si="45"/>
        <v>0</v>
      </c>
      <c r="K63" s="2"/>
      <c r="L63" s="7">
        <f t="shared" si="46"/>
        <v>0</v>
      </c>
      <c r="M63" s="2"/>
      <c r="N63" s="6">
        <f t="shared" si="47"/>
        <v>0</v>
      </c>
      <c r="O63" s="11"/>
      <c r="P63" s="7"/>
      <c r="Q63" s="2"/>
      <c r="R63" s="6">
        <f t="shared" si="48"/>
        <v>0</v>
      </c>
      <c r="S63" s="2"/>
      <c r="T63" s="7">
        <v>246.2</v>
      </c>
      <c r="U63" s="2"/>
      <c r="V63" s="6">
        <f t="shared" si="49"/>
        <v>5.4475763706175165E-4</v>
      </c>
      <c r="W63" s="2"/>
      <c r="X63" s="7">
        <f t="shared" si="50"/>
        <v>-246.2</v>
      </c>
      <c r="Y63" s="2"/>
      <c r="Z63" s="6">
        <f t="shared" si="51"/>
        <v>-1</v>
      </c>
    </row>
    <row r="64" spans="1:26" s="24" customFormat="1" hidden="1" outlineLevel="2" x14ac:dyDescent="0.25">
      <c r="A64" s="27"/>
      <c r="B64" s="11" t="str">
        <f>CONCATENATE("          ", "6284", " - ", "TRASH REMOVAL EXPENSE")</f>
        <v xml:space="preserve">          6284 - TRASH REMOVAL EXPENSE</v>
      </c>
      <c r="C64" s="11"/>
      <c r="D64" s="7">
        <v>1000</v>
      </c>
      <c r="E64" s="2"/>
      <c r="F64" s="6">
        <f t="shared" si="44"/>
        <v>0.10212647751481344</v>
      </c>
      <c r="G64" s="2"/>
      <c r="H64" s="7">
        <v>2066</v>
      </c>
      <c r="I64" s="2"/>
      <c r="J64" s="6">
        <f t="shared" si="45"/>
        <v>3.744782046797087E-2</v>
      </c>
      <c r="K64" s="2"/>
      <c r="L64" s="7">
        <f t="shared" si="46"/>
        <v>-1066</v>
      </c>
      <c r="M64" s="2"/>
      <c r="N64" s="6">
        <f t="shared" si="47"/>
        <v>-0.51597289448209105</v>
      </c>
      <c r="O64" s="11"/>
      <c r="P64" s="7">
        <v>5761</v>
      </c>
      <c r="Q64" s="2"/>
      <c r="R64" s="6">
        <f t="shared" si="48"/>
        <v>0.12763732477839052</v>
      </c>
      <c r="S64" s="2"/>
      <c r="T64" s="7">
        <v>4558</v>
      </c>
      <c r="U64" s="2"/>
      <c r="V64" s="6">
        <f t="shared" si="49"/>
        <v>1.0085318073629017E-2</v>
      </c>
      <c r="W64" s="2"/>
      <c r="X64" s="7">
        <f t="shared" si="50"/>
        <v>1203</v>
      </c>
      <c r="Y64" s="2"/>
      <c r="Z64" s="6">
        <f t="shared" si="51"/>
        <v>0.26393154892496706</v>
      </c>
    </row>
    <row r="65" spans="1:26" s="24" customFormat="1" hidden="1" outlineLevel="2" x14ac:dyDescent="0.25">
      <c r="A65" s="27"/>
      <c r="B65" s="11" t="str">
        <f>CONCATENATE("          ", "6285", " - ", "JANITORIAL SERVICES")</f>
        <v xml:space="preserve">          6285 - JANITORIAL SERVICES</v>
      </c>
      <c r="C65" s="11"/>
      <c r="D65" s="7">
        <v>3179.44</v>
      </c>
      <c r="E65" s="2"/>
      <c r="F65" s="6">
        <f t="shared" si="44"/>
        <v>0.32470500766969845</v>
      </c>
      <c r="G65" s="2"/>
      <c r="H65" s="7">
        <v>3040.95</v>
      </c>
      <c r="I65" s="2"/>
      <c r="J65" s="6">
        <f t="shared" si="45"/>
        <v>5.5119530325303007E-2</v>
      </c>
      <c r="K65" s="2"/>
      <c r="L65" s="7">
        <f t="shared" si="46"/>
        <v>138.49000000000024</v>
      </c>
      <c r="M65" s="2"/>
      <c r="N65" s="6">
        <f t="shared" si="47"/>
        <v>4.5541689274733302E-2</v>
      </c>
      <c r="O65" s="11"/>
      <c r="P65" s="7">
        <v>12770.81</v>
      </c>
      <c r="Q65" s="2"/>
      <c r="R65" s="6">
        <f t="shared" si="48"/>
        <v>0.28294254880283237</v>
      </c>
      <c r="S65" s="2"/>
      <c r="T65" s="7">
        <v>18545.7</v>
      </c>
      <c r="U65" s="2"/>
      <c r="V65" s="6">
        <f t="shared" si="49"/>
        <v>4.1035384685849427E-2</v>
      </c>
      <c r="W65" s="2"/>
      <c r="X65" s="7">
        <f t="shared" si="50"/>
        <v>-5774.8900000000012</v>
      </c>
      <c r="Y65" s="2"/>
      <c r="Z65" s="6">
        <f t="shared" si="51"/>
        <v>-0.31138700615236958</v>
      </c>
    </row>
    <row r="66" spans="1:26" s="24" customFormat="1" hidden="1" outlineLevel="2" x14ac:dyDescent="0.25">
      <c r="A66" s="27"/>
      <c r="B66" s="11" t="str">
        <f>CONCATENATE("          ", "6286", " - ", "LAUNDRY EXPENSE")</f>
        <v xml:space="preserve">          6286 - LAUNDRY EXPENSE</v>
      </c>
      <c r="C66" s="11"/>
      <c r="D66" s="7">
        <v>106.55</v>
      </c>
      <c r="E66" s="2"/>
      <c r="F66" s="6">
        <f t="shared" si="44"/>
        <v>1.0881576179203371E-2</v>
      </c>
      <c r="G66" s="2"/>
      <c r="H66" s="7">
        <v>245.64</v>
      </c>
      <c r="I66" s="2"/>
      <c r="J66" s="6">
        <f t="shared" si="45"/>
        <v>4.4524117230166334E-3</v>
      </c>
      <c r="K66" s="2"/>
      <c r="L66" s="7">
        <f t="shared" si="46"/>
        <v>-139.08999999999997</v>
      </c>
      <c r="M66" s="2"/>
      <c r="N66" s="6">
        <f t="shared" si="47"/>
        <v>-0.56623514085653792</v>
      </c>
      <c r="O66" s="11"/>
      <c r="P66" s="7">
        <v>472.18</v>
      </c>
      <c r="Q66" s="2"/>
      <c r="R66" s="6">
        <f t="shared" si="48"/>
        <v>1.0461342130508667E-2</v>
      </c>
      <c r="S66" s="2"/>
      <c r="T66" s="7">
        <v>1455.14</v>
      </c>
      <c r="U66" s="2"/>
      <c r="V66" s="6">
        <f t="shared" si="49"/>
        <v>3.2197344760115246E-3</v>
      </c>
      <c r="W66" s="2"/>
      <c r="X66" s="7">
        <f t="shared" si="50"/>
        <v>-982.96</v>
      </c>
      <c r="Y66" s="2"/>
      <c r="Z66" s="6">
        <f t="shared" si="51"/>
        <v>-0.67550888574295254</v>
      </c>
    </row>
    <row r="67" spans="1:26" s="25" customFormat="1" outlineLevel="1" collapsed="1" x14ac:dyDescent="0.25">
      <c r="A67" s="26"/>
      <c r="B67" s="13" t="str">
        <f>CONCATENATE("     ","Subscriptions &amp; Dues                              ")</f>
        <v xml:space="preserve">     Subscriptions &amp; Dues                              </v>
      </c>
      <c r="C67" s="13"/>
      <c r="D67" s="1">
        <f>SUM(OSRRefD22_13x_0)</f>
        <v>262.83999999999997</v>
      </c>
      <c r="E67" s="1"/>
      <c r="F67" s="5">
        <f t="shared" ref="F67:F69" si="52">IF(D$12=0,0,D67/D$12)</f>
        <v>2.6842923349993563E-2</v>
      </c>
      <c r="G67" s="1"/>
      <c r="H67" s="1">
        <f>SUM(OSRRefH22_13x_0)</f>
        <v>1174.71</v>
      </c>
      <c r="I67" s="1"/>
      <c r="J67" s="5">
        <f t="shared" ref="J67:J69" si="53">IF(H$12=0,0,H67/H$12)</f>
        <v>2.1292511704709614E-2</v>
      </c>
      <c r="K67" s="1"/>
      <c r="L67" s="1">
        <f t="shared" ref="L67:L69" si="54">+D67-H67</f>
        <v>-911.87000000000012</v>
      </c>
      <c r="M67" s="1"/>
      <c r="N67" s="5">
        <f t="shared" ref="N67:N69" si="55">IF(H67=0,0,L67/H67)</f>
        <v>-0.77625115986073168</v>
      </c>
      <c r="O67" s="13"/>
      <c r="P67" s="1">
        <f>SUM(OSRRefP22_13x_0)</f>
        <v>534.16999999999996</v>
      </c>
      <c r="Q67" s="1"/>
      <c r="R67" s="5">
        <f t="shared" ref="R67:R69" si="56">IF(P$12=0,0,P67/P$12)</f>
        <v>1.1834756079998759E-2</v>
      </c>
      <c r="S67" s="1"/>
      <c r="T67" s="1">
        <f>SUM(OSRRefT22_13x_0)</f>
        <v>2158.2600000000002</v>
      </c>
      <c r="U67" s="1"/>
      <c r="V67" s="5">
        <f t="shared" ref="V67:V69" si="57">IF(T$12=0,0,T67/T$12)</f>
        <v>4.7755021030255742E-3</v>
      </c>
      <c r="W67" s="1"/>
      <c r="X67" s="1">
        <f t="shared" ref="X67:X69" si="58">+P67-T67</f>
        <v>-1624.0900000000001</v>
      </c>
      <c r="Y67" s="1"/>
      <c r="Z67" s="5">
        <f t="shared" ref="Z67:Z69" si="59">IF(T67=0,0,X67/T67)</f>
        <v>-0.75249969883146606</v>
      </c>
    </row>
    <row r="68" spans="1:26" s="24" customFormat="1" hidden="1" outlineLevel="2" x14ac:dyDescent="0.25">
      <c r="A68" s="27"/>
      <c r="B68" s="11" t="str">
        <f>CONCATENATE("          ", "6258", " - ", "MEMBERSHIP DUES")</f>
        <v xml:space="preserve">          6258 - MEMBERSHIP DUES</v>
      </c>
      <c r="C68" s="11"/>
      <c r="D68" s="7"/>
      <c r="E68" s="2"/>
      <c r="F68" s="6">
        <f t="shared" si="52"/>
        <v>0</v>
      </c>
      <c r="G68" s="2"/>
      <c r="H68" s="7">
        <v>978</v>
      </c>
      <c r="I68" s="2"/>
      <c r="J68" s="6">
        <f t="shared" si="53"/>
        <v>1.7726993425786791E-2</v>
      </c>
      <c r="K68" s="2"/>
      <c r="L68" s="7">
        <f t="shared" si="54"/>
        <v>-978</v>
      </c>
      <c r="M68" s="2"/>
      <c r="N68" s="6">
        <f t="shared" si="55"/>
        <v>-1</v>
      </c>
      <c r="O68" s="11"/>
      <c r="P68" s="7"/>
      <c r="Q68" s="2"/>
      <c r="R68" s="6">
        <f t="shared" si="56"/>
        <v>0</v>
      </c>
      <c r="S68" s="2"/>
      <c r="T68" s="7">
        <v>978</v>
      </c>
      <c r="U68" s="2"/>
      <c r="V68" s="6">
        <f t="shared" si="57"/>
        <v>2.1639844396685345E-3</v>
      </c>
      <c r="W68" s="2"/>
      <c r="X68" s="7">
        <f t="shared" si="58"/>
        <v>-978</v>
      </c>
      <c r="Y68" s="2"/>
      <c r="Z68" s="6">
        <f t="shared" si="59"/>
        <v>-1</v>
      </c>
    </row>
    <row r="69" spans="1:26" s="24" customFormat="1" hidden="1" outlineLevel="2" x14ac:dyDescent="0.25">
      <c r="A69" s="27"/>
      <c r="B69" s="11" t="str">
        <f>CONCATENATE("          ", "6275", " - ", "SUBSCRIPTIONS")</f>
        <v xml:space="preserve">          6275 - SUBSCRIPTIONS</v>
      </c>
      <c r="C69" s="11"/>
      <c r="D69" s="7">
        <v>262.83999999999997</v>
      </c>
      <c r="E69" s="2"/>
      <c r="F69" s="6">
        <f t="shared" si="52"/>
        <v>2.6842923349993563E-2</v>
      </c>
      <c r="G69" s="2"/>
      <c r="H69" s="7">
        <v>196.71</v>
      </c>
      <c r="I69" s="2"/>
      <c r="J69" s="6">
        <f t="shared" si="53"/>
        <v>3.5655182789228221E-3</v>
      </c>
      <c r="K69" s="2"/>
      <c r="L69" s="7">
        <f t="shared" si="54"/>
        <v>66.129999999999967</v>
      </c>
      <c r="M69" s="2"/>
      <c r="N69" s="6">
        <f t="shared" si="55"/>
        <v>0.3361801636927455</v>
      </c>
      <c r="O69" s="11"/>
      <c r="P69" s="7">
        <v>534.16999999999996</v>
      </c>
      <c r="Q69" s="2"/>
      <c r="R69" s="6">
        <f t="shared" si="56"/>
        <v>1.1834756079998759E-2</v>
      </c>
      <c r="S69" s="2"/>
      <c r="T69" s="7">
        <v>1180.26</v>
      </c>
      <c r="U69" s="2"/>
      <c r="V69" s="6">
        <f t="shared" si="57"/>
        <v>2.6115176633570393E-3</v>
      </c>
      <c r="W69" s="2"/>
      <c r="X69" s="7">
        <f t="shared" si="58"/>
        <v>-646.09</v>
      </c>
      <c r="Y69" s="2"/>
      <c r="Z69" s="6">
        <f t="shared" si="59"/>
        <v>-0.54741328181926019</v>
      </c>
    </row>
    <row r="70" spans="1:26" s="25" customFormat="1" outlineLevel="1" collapsed="1" x14ac:dyDescent="0.25">
      <c r="A70" s="26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18.86</v>
      </c>
      <c r="E70" s="1"/>
      <c r="F70" s="5">
        <f t="shared" ref="F70:F78" si="60">IF(D$12=0,0,D70/D$12)</f>
        <v>1.9261053659293814E-3</v>
      </c>
      <c r="G70" s="1"/>
      <c r="H70" s="1">
        <f>SUM(OSRRefH22_14x_0)</f>
        <v>2579.98</v>
      </c>
      <c r="I70" s="1"/>
      <c r="J70" s="5">
        <f t="shared" ref="J70:J78" si="61">IF(H$12=0,0,H70/H$12)</f>
        <v>4.6764098669387945E-2</v>
      </c>
      <c r="K70" s="1"/>
      <c r="L70" s="1">
        <f t="shared" ref="L70:L78" si="62">+D70-H70</f>
        <v>-2561.12</v>
      </c>
      <c r="M70" s="1"/>
      <c r="N70" s="5">
        <f t="shared" ref="N70:N78" si="63">IF(H70=0,0,L70/H70)</f>
        <v>-0.99268986581291319</v>
      </c>
      <c r="O70" s="13"/>
      <c r="P70" s="1">
        <f>SUM(OSRRefP22_14x_0)</f>
        <v>7505.36</v>
      </c>
      <c r="Q70" s="1"/>
      <c r="R70" s="5">
        <f t="shared" ref="R70:R78" si="64">IF(P$12=0,0,P70/P$12)</f>
        <v>0.16628433811816368</v>
      </c>
      <c r="S70" s="1"/>
      <c r="T70" s="1">
        <f>SUM(OSRRefT22_14x_0)</f>
        <v>15155.369999999999</v>
      </c>
      <c r="U70" s="1"/>
      <c r="V70" s="5">
        <f t="shared" ref="V70:V78" si="65">IF(T$12=0,0,T70/T$12)</f>
        <v>3.3533726848077004E-2</v>
      </c>
      <c r="W70" s="1"/>
      <c r="X70" s="1">
        <f t="shared" ref="X70:X78" si="66">+P70-T70</f>
        <v>-7650.0099999999993</v>
      </c>
      <c r="Y70" s="1"/>
      <c r="Z70" s="5">
        <f t="shared" ref="Z70:Z78" si="67">IF(T70=0,0,X70/T70)</f>
        <v>-0.50477223584775566</v>
      </c>
    </row>
    <row r="71" spans="1:26" s="24" customFormat="1" hidden="1" outlineLevel="2" x14ac:dyDescent="0.25">
      <c r="A71" s="27"/>
      <c r="B71" s="11" t="str">
        <f>CONCATENATE("          ", "6234", " - ", "EXPENDABLE SUPPLIES &amp; EQUIPMEN")</f>
        <v xml:space="preserve">          6234 - EXPENDABLE SUPPLIES &amp; EQUIPMEN</v>
      </c>
      <c r="C71" s="11"/>
      <c r="D71" s="7"/>
      <c r="E71" s="2"/>
      <c r="F71" s="6">
        <f t="shared" si="60"/>
        <v>0</v>
      </c>
      <c r="G71" s="2"/>
      <c r="H71" s="7"/>
      <c r="I71" s="2"/>
      <c r="J71" s="6">
        <f t="shared" si="61"/>
        <v>0</v>
      </c>
      <c r="K71" s="2"/>
      <c r="L71" s="7">
        <f t="shared" si="62"/>
        <v>0</v>
      </c>
      <c r="M71" s="2"/>
      <c r="N71" s="6">
        <f t="shared" si="63"/>
        <v>0</v>
      </c>
      <c r="O71" s="11"/>
      <c r="P71" s="7">
        <v>310.91000000000003</v>
      </c>
      <c r="Q71" s="2"/>
      <c r="R71" s="6">
        <f t="shared" si="64"/>
        <v>6.8883389423449737E-3</v>
      </c>
      <c r="S71" s="2"/>
      <c r="T71" s="7">
        <v>67.72</v>
      </c>
      <c r="U71" s="2"/>
      <c r="V71" s="6">
        <f t="shared" si="65"/>
        <v>1.498415401373754E-4</v>
      </c>
      <c r="W71" s="2"/>
      <c r="X71" s="7">
        <f t="shared" si="66"/>
        <v>243.19000000000003</v>
      </c>
      <c r="Y71" s="2"/>
      <c r="Z71" s="6">
        <f t="shared" si="67"/>
        <v>3.5911104548139403</v>
      </c>
    </row>
    <row r="72" spans="1:26" s="24" customFormat="1" hidden="1" outlineLevel="2" x14ac:dyDescent="0.25">
      <c r="A72" s="27"/>
      <c r="B72" s="11" t="str">
        <f>CONCATENATE("          ", "6235", " - ", "COVID-19 EXPENSES")</f>
        <v xml:space="preserve">          6235 - COVID-19 EXPENSES</v>
      </c>
      <c r="C72" s="11"/>
      <c r="D72" s="7"/>
      <c r="E72" s="2"/>
      <c r="F72" s="6">
        <f t="shared" si="60"/>
        <v>0</v>
      </c>
      <c r="G72" s="2"/>
      <c r="H72" s="7"/>
      <c r="I72" s="2"/>
      <c r="J72" s="6">
        <f t="shared" si="61"/>
        <v>0</v>
      </c>
      <c r="K72" s="2"/>
      <c r="L72" s="7">
        <f t="shared" si="62"/>
        <v>0</v>
      </c>
      <c r="M72" s="2"/>
      <c r="N72" s="6">
        <f t="shared" si="63"/>
        <v>0</v>
      </c>
      <c r="O72" s="11"/>
      <c r="P72" s="7">
        <v>6753.97</v>
      </c>
      <c r="Q72" s="2"/>
      <c r="R72" s="6">
        <f t="shared" si="64"/>
        <v>0.14963698358505576</v>
      </c>
      <c r="S72" s="2"/>
      <c r="T72" s="7"/>
      <c r="U72" s="2"/>
      <c r="V72" s="6">
        <f t="shared" si="65"/>
        <v>0</v>
      </c>
      <c r="W72" s="2"/>
      <c r="X72" s="7">
        <f t="shared" si="66"/>
        <v>6753.97</v>
      </c>
      <c r="Y72" s="2"/>
      <c r="Z72" s="6">
        <f t="shared" si="67"/>
        <v>0</v>
      </c>
    </row>
    <row r="73" spans="1:26" s="24" customFormat="1" hidden="1" outlineLevel="2" x14ac:dyDescent="0.25">
      <c r="A73" s="27"/>
      <c r="B73" s="11" t="str">
        <f>CONCATENATE("          ", "6237", " - ", "JANITORIAL SUPPLIES")</f>
        <v xml:space="preserve">          6237 - JANITORIAL SUPPLIES</v>
      </c>
      <c r="C73" s="11"/>
      <c r="D73" s="7">
        <v>18.86</v>
      </c>
      <c r="E73" s="2"/>
      <c r="F73" s="6">
        <f t="shared" si="60"/>
        <v>1.9261053659293814E-3</v>
      </c>
      <c r="G73" s="2"/>
      <c r="H73" s="7">
        <v>2010.71</v>
      </c>
      <c r="I73" s="2"/>
      <c r="J73" s="6">
        <f t="shared" si="61"/>
        <v>3.6445647189329002E-2</v>
      </c>
      <c r="K73" s="2"/>
      <c r="L73" s="7">
        <f t="shared" si="62"/>
        <v>-1991.8500000000001</v>
      </c>
      <c r="M73" s="2"/>
      <c r="N73" s="6">
        <f t="shared" si="63"/>
        <v>-0.99062022867544308</v>
      </c>
      <c r="O73" s="11"/>
      <c r="P73" s="7">
        <v>286.91000000000003</v>
      </c>
      <c r="Q73" s="2"/>
      <c r="R73" s="6">
        <f t="shared" si="64"/>
        <v>6.3566090699822986E-3</v>
      </c>
      <c r="S73" s="2"/>
      <c r="T73" s="7">
        <v>5708.7</v>
      </c>
      <c r="U73" s="2"/>
      <c r="V73" s="6">
        <f t="shared" si="65"/>
        <v>1.2631429417930226E-2</v>
      </c>
      <c r="W73" s="2"/>
      <c r="X73" s="7">
        <f t="shared" si="66"/>
        <v>-5421.79</v>
      </c>
      <c r="Y73" s="2"/>
      <c r="Z73" s="6">
        <f t="shared" si="67"/>
        <v>-0.94974162243593119</v>
      </c>
    </row>
    <row r="74" spans="1:26" s="24" customFormat="1" hidden="1" outlineLevel="2" x14ac:dyDescent="0.25">
      <c r="A74" s="27"/>
      <c r="B74" s="11" t="str">
        <f>CONCATENATE("          ", "6239", " - ", "KITCHEN SUPPLIES")</f>
        <v xml:space="preserve">          6239 - KITCHEN SUPPLIES</v>
      </c>
      <c r="C74" s="11"/>
      <c r="D74" s="7"/>
      <c r="E74" s="2"/>
      <c r="F74" s="6">
        <f t="shared" si="60"/>
        <v>0</v>
      </c>
      <c r="G74" s="2"/>
      <c r="H74" s="7"/>
      <c r="I74" s="2"/>
      <c r="J74" s="6">
        <f t="shared" si="61"/>
        <v>0</v>
      </c>
      <c r="K74" s="2"/>
      <c r="L74" s="7">
        <f t="shared" si="62"/>
        <v>0</v>
      </c>
      <c r="M74" s="2"/>
      <c r="N74" s="6">
        <f t="shared" si="63"/>
        <v>0</v>
      </c>
      <c r="O74" s="11"/>
      <c r="P74" s="7">
        <v>19.829999999999998</v>
      </c>
      <c r="Q74" s="2"/>
      <c r="R74" s="6">
        <f t="shared" si="64"/>
        <v>4.3934180703966041E-4</v>
      </c>
      <c r="S74" s="2"/>
      <c r="T74" s="7">
        <v>231.26</v>
      </c>
      <c r="U74" s="2"/>
      <c r="V74" s="6">
        <f t="shared" si="65"/>
        <v>5.1170045144963725E-4</v>
      </c>
      <c r="W74" s="2"/>
      <c r="X74" s="7">
        <f t="shared" si="66"/>
        <v>-211.43</v>
      </c>
      <c r="Y74" s="2"/>
      <c r="Z74" s="6">
        <f t="shared" si="67"/>
        <v>-0.91425235665484739</v>
      </c>
    </row>
    <row r="75" spans="1:26" s="24" customFormat="1" hidden="1" outlineLevel="2" x14ac:dyDescent="0.25">
      <c r="A75" s="27"/>
      <c r="B75" s="11" t="str">
        <f>CONCATENATE("          ", "6241", " - ", "OFFICE EXPENSE")</f>
        <v xml:space="preserve">          6241 - OFFICE EXPENSE</v>
      </c>
      <c r="C75" s="11"/>
      <c r="D75" s="7"/>
      <c r="E75" s="2"/>
      <c r="F75" s="6">
        <f t="shared" si="60"/>
        <v>0</v>
      </c>
      <c r="G75" s="2"/>
      <c r="H75" s="7">
        <v>313.06</v>
      </c>
      <c r="I75" s="2"/>
      <c r="J75" s="6">
        <f t="shared" si="61"/>
        <v>5.6744504722666799E-3</v>
      </c>
      <c r="K75" s="2"/>
      <c r="L75" s="7">
        <f t="shared" si="62"/>
        <v>-313.06</v>
      </c>
      <c r="M75" s="2"/>
      <c r="N75" s="6">
        <f t="shared" si="63"/>
        <v>-1</v>
      </c>
      <c r="O75" s="11"/>
      <c r="P75" s="7">
        <v>133.74</v>
      </c>
      <c r="Q75" s="2"/>
      <c r="R75" s="6">
        <f t="shared" si="64"/>
        <v>2.9630647137410082E-3</v>
      </c>
      <c r="S75" s="2"/>
      <c r="T75" s="7">
        <v>5574.82</v>
      </c>
      <c r="U75" s="2"/>
      <c r="V75" s="6">
        <f t="shared" si="65"/>
        <v>1.233519809197642E-2</v>
      </c>
      <c r="W75" s="2"/>
      <c r="X75" s="7">
        <f t="shared" si="66"/>
        <v>-5441.08</v>
      </c>
      <c r="Y75" s="2"/>
      <c r="Z75" s="6">
        <f t="shared" si="67"/>
        <v>-0.97600998776642123</v>
      </c>
    </row>
    <row r="76" spans="1:26" s="24" customFormat="1" hidden="1" outlineLevel="2" x14ac:dyDescent="0.25">
      <c r="A76" s="27"/>
      <c r="B76" s="11" t="str">
        <f>CONCATENATE("          ", "6243", " - ", "PAPER SUPPLIES")</f>
        <v xml:space="preserve">          6243 - PAPER SUPPLIES</v>
      </c>
      <c r="C76" s="11"/>
      <c r="D76" s="7"/>
      <c r="E76" s="2"/>
      <c r="F76" s="6">
        <f t="shared" si="60"/>
        <v>0</v>
      </c>
      <c r="G76" s="2"/>
      <c r="H76" s="7">
        <v>256.20999999999998</v>
      </c>
      <c r="I76" s="2"/>
      <c r="J76" s="6">
        <f t="shared" si="61"/>
        <v>4.6440010077922634E-3</v>
      </c>
      <c r="K76" s="2"/>
      <c r="L76" s="7">
        <f t="shared" si="62"/>
        <v>-256.20999999999998</v>
      </c>
      <c r="M76" s="2"/>
      <c r="N76" s="6">
        <f t="shared" si="63"/>
        <v>-1</v>
      </c>
      <c r="O76" s="11"/>
      <c r="P76" s="7"/>
      <c r="Q76" s="2"/>
      <c r="R76" s="6">
        <f t="shared" si="64"/>
        <v>0</v>
      </c>
      <c r="S76" s="2"/>
      <c r="T76" s="7">
        <v>3146.84</v>
      </c>
      <c r="U76" s="2"/>
      <c r="V76" s="6">
        <f t="shared" si="65"/>
        <v>6.96289651751179E-3</v>
      </c>
      <c r="W76" s="2"/>
      <c r="X76" s="7">
        <f t="shared" si="66"/>
        <v>-3146.84</v>
      </c>
      <c r="Y76" s="2"/>
      <c r="Z76" s="6">
        <f t="shared" si="67"/>
        <v>-1</v>
      </c>
    </row>
    <row r="77" spans="1:26" s="24" customFormat="1" hidden="1" outlineLevel="2" x14ac:dyDescent="0.25">
      <c r="A77" s="27"/>
      <c r="B77" s="11" t="str">
        <f>CONCATENATE("          ", "6247", " - ", "STORE SUPPLIES")</f>
        <v xml:space="preserve">          6247 - STORE SUPPLIES</v>
      </c>
      <c r="C77" s="11"/>
      <c r="D77" s="7"/>
      <c r="E77" s="2"/>
      <c r="F77" s="6">
        <f t="shared" si="60"/>
        <v>0</v>
      </c>
      <c r="G77" s="2"/>
      <c r="H77" s="7"/>
      <c r="I77" s="2"/>
      <c r="J77" s="6">
        <f t="shared" si="61"/>
        <v>0</v>
      </c>
      <c r="K77" s="2"/>
      <c r="L77" s="7">
        <f t="shared" si="62"/>
        <v>0</v>
      </c>
      <c r="M77" s="2"/>
      <c r="N77" s="6">
        <f t="shared" si="63"/>
        <v>0</v>
      </c>
      <c r="O77" s="11"/>
      <c r="P77" s="7"/>
      <c r="Q77" s="2"/>
      <c r="R77" s="6">
        <f t="shared" si="64"/>
        <v>0</v>
      </c>
      <c r="S77" s="2"/>
      <c r="T77" s="7">
        <v>410.56</v>
      </c>
      <c r="U77" s="2"/>
      <c r="V77" s="6">
        <f t="shared" si="65"/>
        <v>9.0843093205553529E-4</v>
      </c>
      <c r="W77" s="2"/>
      <c r="X77" s="7">
        <f t="shared" si="66"/>
        <v>-410.56</v>
      </c>
      <c r="Y77" s="2"/>
      <c r="Z77" s="6">
        <f t="shared" si="67"/>
        <v>-1</v>
      </c>
    </row>
    <row r="78" spans="1:26" s="24" customFormat="1" hidden="1" outlineLevel="2" x14ac:dyDescent="0.25">
      <c r="A78" s="27"/>
      <c r="B78" s="11" t="str">
        <f>CONCATENATE("          ", "6248", " - ", "UNIFORMS")</f>
        <v xml:space="preserve">          6248 - UNIFORMS</v>
      </c>
      <c r="C78" s="11"/>
      <c r="D78" s="7"/>
      <c r="E78" s="2"/>
      <c r="F78" s="6">
        <f t="shared" si="60"/>
        <v>0</v>
      </c>
      <c r="G78" s="2"/>
      <c r="H78" s="7"/>
      <c r="I78" s="2"/>
      <c r="J78" s="6">
        <f t="shared" si="61"/>
        <v>0</v>
      </c>
      <c r="K78" s="2"/>
      <c r="L78" s="7">
        <f t="shared" si="62"/>
        <v>0</v>
      </c>
      <c r="M78" s="2"/>
      <c r="N78" s="6">
        <f t="shared" si="63"/>
        <v>0</v>
      </c>
      <c r="O78" s="11"/>
      <c r="P78" s="7"/>
      <c r="Q78" s="2"/>
      <c r="R78" s="6">
        <f t="shared" si="64"/>
        <v>0</v>
      </c>
      <c r="S78" s="2"/>
      <c r="T78" s="7">
        <v>15.47</v>
      </c>
      <c r="U78" s="2"/>
      <c r="V78" s="6">
        <f t="shared" si="65"/>
        <v>3.4229897016024773E-5</v>
      </c>
      <c r="W78" s="2"/>
      <c r="X78" s="7">
        <f t="shared" si="66"/>
        <v>-15.47</v>
      </c>
      <c r="Y78" s="2"/>
      <c r="Z78" s="6">
        <f t="shared" si="67"/>
        <v>-1</v>
      </c>
    </row>
    <row r="79" spans="1:26" s="25" customFormat="1" outlineLevel="1" collapsed="1" x14ac:dyDescent="0.25">
      <c r="A79" s="26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SUM(OSRRefD22_15x_0)</f>
        <v>366</v>
      </c>
      <c r="E79" s="1"/>
      <c r="F79" s="5">
        <f t="shared" ref="F79:F84" si="68">IF(D$12=0,0,D79/D$12)</f>
        <v>3.7378290770421721E-2</v>
      </c>
      <c r="G79" s="1"/>
      <c r="H79" s="1">
        <f>SUM(OSRRefH22_15x_0)</f>
        <v>133.44999999999999</v>
      </c>
      <c r="I79" s="1"/>
      <c r="J79" s="5">
        <f t="shared" ref="J79:J84" si="69">IF(H$12=0,0,H79/H$12)</f>
        <v>2.4188826918928909E-3</v>
      </c>
      <c r="K79" s="1"/>
      <c r="L79" s="1">
        <f t="shared" ref="L79:L84" si="70">+D79-H79</f>
        <v>232.55</v>
      </c>
      <c r="M79" s="1"/>
      <c r="N79" s="5">
        <f t="shared" ref="N79:N84" si="71">IF(H79=0,0,L79/H79)</f>
        <v>1.7426002248032975</v>
      </c>
      <c r="O79" s="13"/>
      <c r="P79" s="1">
        <f>SUM(OSRRefP22_15x_0)</f>
        <v>1444</v>
      </c>
      <c r="Q79" s="1"/>
      <c r="R79" s="5">
        <f t="shared" ref="R79:R84" si="72">IF(P$12=0,0,P79/P$12)</f>
        <v>3.1992413987154293E-2</v>
      </c>
      <c r="S79" s="1"/>
      <c r="T79" s="1">
        <f>SUM(OSRRefT22_15x_0)</f>
        <v>852</v>
      </c>
      <c r="U79" s="1"/>
      <c r="V79" s="5">
        <f t="shared" ref="V79:V84" si="73">IF(T$12=0,0,T79/T$12)</f>
        <v>1.8851888983615452E-3</v>
      </c>
      <c r="W79" s="1"/>
      <c r="X79" s="1">
        <f t="shared" ref="X79:X84" si="74">+P79-T79</f>
        <v>592</v>
      </c>
      <c r="Y79" s="1"/>
      <c r="Z79" s="5">
        <f t="shared" ref="Z79:Z84" si="75">IF(T79=0,0,X79/T79)</f>
        <v>0.69483568075117375</v>
      </c>
    </row>
    <row r="80" spans="1:26" s="24" customFormat="1" hidden="1" outlineLevel="2" x14ac:dyDescent="0.25">
      <c r="A80" s="27"/>
      <c r="B80" s="11" t="str">
        <f>CONCATENATE("          ", "6309", " - ", "TELEPHONE")</f>
        <v xml:space="preserve">          6309 - TELEPHONE</v>
      </c>
      <c r="C80" s="11"/>
      <c r="D80" s="7">
        <v>366</v>
      </c>
      <c r="E80" s="2"/>
      <c r="F80" s="6">
        <f t="shared" si="68"/>
        <v>3.7378290770421721E-2</v>
      </c>
      <c r="G80" s="2"/>
      <c r="H80" s="7">
        <v>133.44999999999999</v>
      </c>
      <c r="I80" s="2"/>
      <c r="J80" s="6">
        <f t="shared" si="69"/>
        <v>2.4188826918928909E-3</v>
      </c>
      <c r="K80" s="2"/>
      <c r="L80" s="7">
        <f t="shared" si="70"/>
        <v>232.55</v>
      </c>
      <c r="M80" s="2"/>
      <c r="N80" s="6">
        <f t="shared" si="71"/>
        <v>1.7426002248032975</v>
      </c>
      <c r="O80" s="11"/>
      <c r="P80" s="7">
        <v>1444</v>
      </c>
      <c r="Q80" s="2"/>
      <c r="R80" s="6">
        <f t="shared" si="72"/>
        <v>3.1992413987154293E-2</v>
      </c>
      <c r="S80" s="2"/>
      <c r="T80" s="7">
        <v>852</v>
      </c>
      <c r="U80" s="2"/>
      <c r="V80" s="6">
        <f t="shared" si="73"/>
        <v>1.8851888983615452E-3</v>
      </c>
      <c r="W80" s="2"/>
      <c r="X80" s="7">
        <f t="shared" si="74"/>
        <v>592</v>
      </c>
      <c r="Y80" s="2"/>
      <c r="Z80" s="6">
        <f t="shared" si="75"/>
        <v>0.69483568075117375</v>
      </c>
    </row>
    <row r="81" spans="1:26" s="25" customFormat="1" outlineLevel="1" collapsed="1" x14ac:dyDescent="0.25">
      <c r="A81" s="26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SUM(OSRRefD22_16x_0)</f>
        <v>0</v>
      </c>
      <c r="E81" s="1"/>
      <c r="F81" s="5">
        <f t="shared" si="68"/>
        <v>0</v>
      </c>
      <c r="G81" s="1"/>
      <c r="H81" s="1">
        <f>SUM(OSRRefH22_16x_0)</f>
        <v>20</v>
      </c>
      <c r="I81" s="1"/>
      <c r="J81" s="5">
        <f t="shared" si="69"/>
        <v>3.6251520298132499E-4</v>
      </c>
      <c r="K81" s="1"/>
      <c r="L81" s="1">
        <f t="shared" si="70"/>
        <v>-20</v>
      </c>
      <c r="M81" s="1"/>
      <c r="N81" s="5">
        <f t="shared" si="71"/>
        <v>-1</v>
      </c>
      <c r="O81" s="13"/>
      <c r="P81" s="1">
        <f>SUM(OSRRefP22_16x_0)</f>
        <v>400</v>
      </c>
      <c r="Q81" s="1"/>
      <c r="R81" s="5">
        <f t="shared" si="72"/>
        <v>8.8621645393779213E-3</v>
      </c>
      <c r="S81" s="1"/>
      <c r="T81" s="1">
        <f>SUM(OSRRefT22_16x_0)</f>
        <v>164</v>
      </c>
      <c r="U81" s="1"/>
      <c r="V81" s="5">
        <f t="shared" si="73"/>
        <v>3.6287673630433498E-4</v>
      </c>
      <c r="W81" s="1"/>
      <c r="X81" s="1">
        <f t="shared" si="74"/>
        <v>236</v>
      </c>
      <c r="Y81" s="1"/>
      <c r="Z81" s="5">
        <f t="shared" si="75"/>
        <v>1.4390243902439024</v>
      </c>
    </row>
    <row r="82" spans="1:26" s="24" customFormat="1" hidden="1" outlineLevel="2" x14ac:dyDescent="0.25">
      <c r="A82" s="27"/>
      <c r="B82" s="11" t="str">
        <f>CONCATENATE("          ", "6376", " - ", "TRAINING")</f>
        <v xml:space="preserve">          6376 - TRAINING</v>
      </c>
      <c r="C82" s="11"/>
      <c r="D82" s="7"/>
      <c r="E82" s="2"/>
      <c r="F82" s="6">
        <f t="shared" si="68"/>
        <v>0</v>
      </c>
      <c r="G82" s="2"/>
      <c r="H82" s="7">
        <v>20</v>
      </c>
      <c r="I82" s="2"/>
      <c r="J82" s="6">
        <f t="shared" si="69"/>
        <v>3.6251520298132499E-4</v>
      </c>
      <c r="K82" s="2"/>
      <c r="L82" s="7">
        <f t="shared" si="70"/>
        <v>-20</v>
      </c>
      <c r="M82" s="2"/>
      <c r="N82" s="6">
        <f t="shared" si="71"/>
        <v>-1</v>
      </c>
      <c r="O82" s="11"/>
      <c r="P82" s="7">
        <v>400</v>
      </c>
      <c r="Q82" s="2"/>
      <c r="R82" s="6">
        <f t="shared" si="72"/>
        <v>8.8621645393779213E-3</v>
      </c>
      <c r="S82" s="2"/>
      <c r="T82" s="7">
        <v>164</v>
      </c>
      <c r="U82" s="2"/>
      <c r="V82" s="6">
        <f t="shared" si="73"/>
        <v>3.6287673630433498E-4</v>
      </c>
      <c r="W82" s="2"/>
      <c r="X82" s="7">
        <f t="shared" si="74"/>
        <v>236</v>
      </c>
      <c r="Y82" s="2"/>
      <c r="Z82" s="6">
        <f t="shared" si="75"/>
        <v>1.4390243902439024</v>
      </c>
    </row>
    <row r="83" spans="1:26" s="25" customFormat="1" outlineLevel="1" collapsed="1" x14ac:dyDescent="0.25">
      <c r="A83" s="26"/>
      <c r="B83" s="13" t="str">
        <f>CONCATENATE("     ","Utilities                                         ")</f>
        <v xml:space="preserve">     Utilities                                         </v>
      </c>
      <c r="C83" s="13"/>
      <c r="D83" s="1">
        <f>SUM(OSRRefD22_17x_0)</f>
        <v>2312</v>
      </c>
      <c r="E83" s="1"/>
      <c r="F83" s="5">
        <f t="shared" si="68"/>
        <v>0.23611641601424868</v>
      </c>
      <c r="G83" s="1"/>
      <c r="H83" s="1">
        <f>SUM(OSRRefH22_17x_0)</f>
        <v>5088</v>
      </c>
      <c r="I83" s="1"/>
      <c r="J83" s="5">
        <f t="shared" si="69"/>
        <v>9.2223867638449072E-2</v>
      </c>
      <c r="K83" s="1"/>
      <c r="L83" s="1">
        <f t="shared" si="70"/>
        <v>-2776</v>
      </c>
      <c r="M83" s="1"/>
      <c r="N83" s="5">
        <f t="shared" si="71"/>
        <v>-0.54559748427672961</v>
      </c>
      <c r="O83" s="13"/>
      <c r="P83" s="1">
        <f>SUM(OSRRefP22_17x_0)</f>
        <v>13824</v>
      </c>
      <c r="Q83" s="1"/>
      <c r="R83" s="5">
        <f t="shared" si="72"/>
        <v>0.30627640648090093</v>
      </c>
      <c r="S83" s="1"/>
      <c r="T83" s="1">
        <f>SUM(OSRRefT22_17x_0)</f>
        <v>13212</v>
      </c>
      <c r="U83" s="1"/>
      <c r="V83" s="5">
        <f t="shared" si="73"/>
        <v>2.9233703902761428E-2</v>
      </c>
      <c r="W83" s="1"/>
      <c r="X83" s="1">
        <f t="shared" si="74"/>
        <v>612</v>
      </c>
      <c r="Y83" s="1"/>
      <c r="Z83" s="5">
        <f t="shared" si="75"/>
        <v>4.632152588555858E-2</v>
      </c>
    </row>
    <row r="84" spans="1:26" s="24" customFormat="1" hidden="1" outlineLevel="2" x14ac:dyDescent="0.25">
      <c r="A84" s="27"/>
      <c r="B84" s="11" t="str">
        <f>CONCATENATE("          ", "6274", " - ", "UTILITIES")</f>
        <v xml:space="preserve">          6274 - UTILITIES</v>
      </c>
      <c r="C84" s="11"/>
      <c r="D84" s="7">
        <v>2312</v>
      </c>
      <c r="E84" s="2"/>
      <c r="F84" s="6">
        <f t="shared" si="68"/>
        <v>0.23611641601424868</v>
      </c>
      <c r="G84" s="2"/>
      <c r="H84" s="7">
        <v>5088</v>
      </c>
      <c r="I84" s="2"/>
      <c r="J84" s="6">
        <f t="shared" si="69"/>
        <v>9.2223867638449072E-2</v>
      </c>
      <c r="K84" s="2"/>
      <c r="L84" s="7">
        <f t="shared" si="70"/>
        <v>-2776</v>
      </c>
      <c r="M84" s="2"/>
      <c r="N84" s="6">
        <f t="shared" si="71"/>
        <v>-0.54559748427672961</v>
      </c>
      <c r="O84" s="11"/>
      <c r="P84" s="7">
        <v>13824</v>
      </c>
      <c r="Q84" s="2"/>
      <c r="R84" s="6">
        <f t="shared" si="72"/>
        <v>0.30627640648090093</v>
      </c>
      <c r="S84" s="2"/>
      <c r="T84" s="7">
        <v>13212</v>
      </c>
      <c r="U84" s="2"/>
      <c r="V84" s="6">
        <f t="shared" si="73"/>
        <v>2.9233703902761428E-2</v>
      </c>
      <c r="W84" s="2"/>
      <c r="X84" s="7">
        <f t="shared" si="74"/>
        <v>612</v>
      </c>
      <c r="Y84" s="2"/>
      <c r="Z84" s="6">
        <f t="shared" si="75"/>
        <v>4.632152588555858E-2</v>
      </c>
    </row>
    <row r="85" spans="1:26" s="55" customFormat="1" x14ac:dyDescent="0.25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collapsed="1" x14ac:dyDescent="0.25">
      <c r="A86" s="10"/>
      <c r="B86" s="29" t="s">
        <v>0</v>
      </c>
      <c r="C86" s="10"/>
      <c r="D86" s="4">
        <f>SUM(OSRRefD25x_0)</f>
        <v>0</v>
      </c>
      <c r="E86" s="4"/>
      <c r="F86" s="12">
        <f t="shared" ref="F86:F87" si="76">IF(D$12=0,0,D86/D$12)</f>
        <v>0</v>
      </c>
      <c r="G86" s="4"/>
      <c r="H86" s="4">
        <f>SUM(OSRRefH25x_0)</f>
        <v>68.760000000000005</v>
      </c>
      <c r="I86" s="4"/>
      <c r="J86" s="12">
        <f t="shared" ref="J86:J87" si="77">IF(H$12=0,0,H86/H$12)</f>
        <v>1.2463272678497955E-3</v>
      </c>
      <c r="K86" s="4"/>
      <c r="L86" s="4">
        <f t="shared" ref="L86:L87" si="78">+D86-H86</f>
        <v>-68.760000000000005</v>
      </c>
      <c r="M86" s="4"/>
      <c r="N86" s="12">
        <f t="shared" ref="N86:N87" si="79">IF(H86=0,0,L86/H86)</f>
        <v>-1</v>
      </c>
      <c r="O86" s="10"/>
      <c r="P86" s="4">
        <f>SUM(OSRRefP25x_0)</f>
        <v>0</v>
      </c>
      <c r="Q86" s="4"/>
      <c r="R86" s="12">
        <f t="shared" ref="R86:R87" si="80">IF(P$12=0,0,P86/P$12)</f>
        <v>0</v>
      </c>
      <c r="S86" s="4"/>
      <c r="T86" s="4">
        <f>SUM(OSRRefT25x_0)</f>
        <v>68.760000000000005</v>
      </c>
      <c r="U86" s="4"/>
      <c r="V86" s="12">
        <f t="shared" ref="V86:V87" si="81">IF(T$12=0,0,T86/T$12)</f>
        <v>1.5214270968467119E-4</v>
      </c>
      <c r="W86" s="4"/>
      <c r="X86" s="4">
        <f t="shared" ref="X86:X87" si="82">+P86-T86</f>
        <v>-68.760000000000005</v>
      </c>
      <c r="Y86" s="4"/>
      <c r="Z86" s="12">
        <f t="shared" ref="Z86:Z87" si="83">IF(T86=0,0,X86/T86)</f>
        <v>-1</v>
      </c>
    </row>
    <row r="87" spans="1:26" s="24" customFormat="1" hidden="1" outlineLevel="1" x14ac:dyDescent="0.25">
      <c r="A87" s="44"/>
      <c r="B87" s="11" t="str">
        <f>CONCATENATE("          ", "9150", " - ", "MISC. INCOME")</f>
        <v xml:space="preserve">          9150 - MISC. INCOME</v>
      </c>
      <c r="C87" s="11"/>
      <c r="D87" s="2">
        <f>0</f>
        <v>0</v>
      </c>
      <c r="E87" s="2"/>
      <c r="F87" s="19">
        <f t="shared" si="76"/>
        <v>0</v>
      </c>
      <c r="G87" s="2"/>
      <c r="H87" s="2">
        <f>--68.76</f>
        <v>68.760000000000005</v>
      </c>
      <c r="I87" s="2"/>
      <c r="J87" s="19">
        <f t="shared" si="77"/>
        <v>1.2463272678497955E-3</v>
      </c>
      <c r="K87" s="2"/>
      <c r="L87" s="2">
        <f t="shared" si="78"/>
        <v>-68.760000000000005</v>
      </c>
      <c r="M87" s="2"/>
      <c r="N87" s="19">
        <f t="shared" si="79"/>
        <v>-1</v>
      </c>
      <c r="O87" s="11"/>
      <c r="P87" s="2">
        <f>0</f>
        <v>0</v>
      </c>
      <c r="Q87" s="2"/>
      <c r="R87" s="19">
        <f t="shared" si="80"/>
        <v>0</v>
      </c>
      <c r="S87" s="2"/>
      <c r="T87" s="2">
        <f>--68.76</f>
        <v>68.760000000000005</v>
      </c>
      <c r="U87" s="2"/>
      <c r="V87" s="19">
        <f t="shared" si="81"/>
        <v>1.5214270968467119E-4</v>
      </c>
      <c r="W87" s="2"/>
      <c r="X87" s="2">
        <f t="shared" si="82"/>
        <v>-68.760000000000005</v>
      </c>
      <c r="Y87" s="2"/>
      <c r="Z87" s="19">
        <f t="shared" si="83"/>
        <v>-1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8" t="s">
        <v>3</v>
      </c>
      <c r="C89" s="28"/>
      <c r="D89" s="20">
        <f>+D20-D22+D86</f>
        <v>-53976.359999999986</v>
      </c>
      <c r="E89" s="14"/>
      <c r="F89" s="21">
        <f>IF(D$12=0,0,D89/D$12)</f>
        <v>-5.5124155158714743</v>
      </c>
      <c r="G89" s="14"/>
      <c r="H89" s="20">
        <f>+H20-H22+H86</f>
        <v>-34139.639999999992</v>
      </c>
      <c r="I89" s="14"/>
      <c r="J89" s="21">
        <f>IF(H$12=0,0,H89/H$12)</f>
        <v>-0.61880692621546796</v>
      </c>
      <c r="K89" s="15"/>
      <c r="L89" s="20">
        <f>+D89-H89</f>
        <v>-19836.719999999994</v>
      </c>
      <c r="M89" s="15"/>
      <c r="N89" s="21">
        <f>IF(H89=0,0,L89/H89)</f>
        <v>0.58104654882125295</v>
      </c>
      <c r="O89" s="29"/>
      <c r="P89" s="20">
        <f>+P20-P22+P86</f>
        <v>-357092.34</v>
      </c>
      <c r="Q89" s="14"/>
      <c r="R89" s="21">
        <f>IF(P$12=0,0,P89/P$12)</f>
        <v>-7.9115276820787104</v>
      </c>
      <c r="S89" s="14"/>
      <c r="T89" s="20">
        <f>+T20-T22+T86</f>
        <v>-118793.96000000004</v>
      </c>
      <c r="U89" s="14"/>
      <c r="V89" s="21">
        <f>IF(T$12=0,0,T89/T$12)</f>
        <v>-0.26285100303333986</v>
      </c>
      <c r="W89" s="15"/>
      <c r="X89" s="20">
        <f>+P89-T89</f>
        <v>-238298.38</v>
      </c>
      <c r="Y89" s="15"/>
      <c r="Z89" s="21">
        <f>IF(T89=0,0,X89/T89)</f>
        <v>2.0059806070948381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1"/>
      <c r="B91" s="10" t="s">
        <v>13</v>
      </c>
      <c r="C91" s="10"/>
      <c r="D91" s="4">
        <v>2734.91</v>
      </c>
      <c r="E91" s="4"/>
      <c r="F91" s="12">
        <f>IF(D$12=0,0,D91/D$12)</f>
        <v>0.27930672462003842</v>
      </c>
      <c r="G91" s="4"/>
      <c r="H91" s="4">
        <v>6797.76</v>
      </c>
      <c r="I91" s="4"/>
      <c r="J91" s="12">
        <f>IF(H$12=0,0,H91/H$12)</f>
        <v>0.1232145673109166</v>
      </c>
      <c r="K91" s="4"/>
      <c r="L91" s="4">
        <f>+D91-H91</f>
        <v>-4062.8500000000004</v>
      </c>
      <c r="M91" s="4"/>
      <c r="N91" s="12">
        <f>IF(H91=0,0,L91/H91)</f>
        <v>-0.59767482229440294</v>
      </c>
      <c r="O91" s="10"/>
      <c r="P91" s="4">
        <v>8351.06</v>
      </c>
      <c r="Q91" s="4"/>
      <c r="R91" s="12">
        <f>IF(P$12=0,0,P91/P$12)</f>
        <v>0.18502116949554345</v>
      </c>
      <c r="S91" s="4"/>
      <c r="T91" s="4">
        <v>48813.440000000002</v>
      </c>
      <c r="U91" s="4"/>
      <c r="V91" s="12">
        <f>IF(T$12=0,0,T91/T$12)</f>
        <v>0.10800769387187488</v>
      </c>
      <c r="W91" s="4"/>
      <c r="X91" s="4">
        <f>+P91-T91</f>
        <v>-40462.380000000005</v>
      </c>
      <c r="Y91" s="4"/>
      <c r="Z91" s="12">
        <f>IF(T91=0,0,X91/T91)</f>
        <v>-0.82891883874605032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4</v>
      </c>
      <c r="C93" s="28"/>
      <c r="D93" s="33">
        <f>+D89-D91</f>
        <v>-56711.26999999999</v>
      </c>
      <c r="E93" s="14"/>
      <c r="F93" s="34">
        <f>IF(D$12=0,0,D93/D$12)</f>
        <v>-5.791722240491513</v>
      </c>
      <c r="G93" s="14"/>
      <c r="H93" s="33">
        <f>+H89-H91</f>
        <v>-40937.399999999994</v>
      </c>
      <c r="I93" s="14"/>
      <c r="J93" s="34">
        <f>IF(H$12=0,0,H93/H$12)</f>
        <v>-0.74202149352638458</v>
      </c>
      <c r="K93" s="15"/>
      <c r="L93" s="33">
        <f>D93-H93</f>
        <v>-15773.869999999995</v>
      </c>
      <c r="M93" s="15"/>
      <c r="N93" s="34">
        <f>IF(H93=0,0,L93/H93)</f>
        <v>0.38531684962894558</v>
      </c>
      <c r="O93" s="29"/>
      <c r="P93" s="33">
        <f>+P89-P91</f>
        <v>-365443.4</v>
      </c>
      <c r="Q93" s="14"/>
      <c r="R93" s="34">
        <f>IF(P$12=0,0,P93/P$12)</f>
        <v>-8.0965488515742532</v>
      </c>
      <c r="S93" s="14"/>
      <c r="T93" s="33">
        <f>+T89-T91</f>
        <v>-167607.40000000002</v>
      </c>
      <c r="U93" s="14"/>
      <c r="V93" s="34">
        <f>IF(T$12=0,0,T93/T$12)</f>
        <v>-0.37085869690521467</v>
      </c>
      <c r="W93" s="15"/>
      <c r="X93" s="33">
        <f>P93-T93</f>
        <v>-197836</v>
      </c>
      <c r="Y93" s="15"/>
      <c r="Z93" s="34">
        <f>IF(T93=0,0,X93/T93)</f>
        <v>1.1803536120720206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5</v>
      </c>
      <c r="C96" s="28"/>
      <c r="D96" s="30">
        <f>SUM(D93:D95)</f>
        <v>-56711.26999999999</v>
      </c>
      <c r="E96" s="14"/>
      <c r="F96" s="32">
        <f>IF(D$12=0,0,D96/D$12)</f>
        <v>-5.791722240491513</v>
      </c>
      <c r="G96" s="14"/>
      <c r="H96" s="30">
        <f>SUM(H93:H95)</f>
        <v>-40937.399999999994</v>
      </c>
      <c r="I96" s="14"/>
      <c r="J96" s="32">
        <f>IF(H$12=0,0,H96/H$12)</f>
        <v>-0.74202149352638458</v>
      </c>
      <c r="K96" s="15"/>
      <c r="L96" s="30">
        <f>+D96-H96</f>
        <v>-15773.869999999995</v>
      </c>
      <c r="M96" s="15"/>
      <c r="N96" s="32">
        <f>IF(H96=0,0,L96/H96)</f>
        <v>0.38531684962894558</v>
      </c>
      <c r="O96" s="29"/>
      <c r="P96" s="30">
        <f>SUM(P93:P95)</f>
        <v>-365443.4</v>
      </c>
      <c r="Q96" s="14"/>
      <c r="R96" s="32">
        <f>IF(P$12=0,0,P96/P$12)</f>
        <v>-8.0965488515742532</v>
      </c>
      <c r="S96" s="14"/>
      <c r="T96" s="30">
        <f>SUM(T93:T95)</f>
        <v>-167607.40000000002</v>
      </c>
      <c r="U96" s="14"/>
      <c r="V96" s="32">
        <f>IF(T$12=0,0,T96/T$12)</f>
        <v>-0.37085869690521467</v>
      </c>
      <c r="W96" s="15"/>
      <c r="X96" s="30">
        <f>+P96-T96</f>
        <v>-197836</v>
      </c>
      <c r="Y96" s="15"/>
      <c r="Z96" s="32">
        <f>IF(T96=0,0,X96/T96)</f>
        <v>1.1803536120720206</v>
      </c>
    </row>
    <row r="97" spans="1:24" ht="15.75" thickTop="1" x14ac:dyDescent="0.25">
      <c r="A97" s="9"/>
      <c r="C97" s="9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58">
        <v>44209.522091435188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A99" s="9"/>
      <c r="B99" s="61" t="s">
        <v>313</v>
      </c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25">
      <c r="A100" s="9"/>
      <c r="B100" s="57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4" x14ac:dyDescent="0.25"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","418", " - ", "Nugget")</f>
        <v>Department 418 - Nugget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100001.24</v>
      </c>
      <c r="I12" s="4"/>
      <c r="J12" s="12"/>
      <c r="K12" s="4"/>
      <c r="L12" s="4">
        <f t="shared" ref="L12:L14" si="0">+D12-H12</f>
        <v>-100001.24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756574.4</v>
      </c>
      <c r="U12" s="4"/>
      <c r="V12" s="12"/>
      <c r="W12" s="4"/>
      <c r="X12" s="4">
        <f t="shared" ref="X12:X14" si="2">+P12-T12</f>
        <v>-756574.4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4" si="4">0</f>
        <v>0</v>
      </c>
      <c r="E13" s="2"/>
      <c r="F13" s="19"/>
      <c r="G13" s="2"/>
      <c r="H13" s="2">
        <f>--36745.98</f>
        <v>36745.980000000003</v>
      </c>
      <c r="I13" s="2"/>
      <c r="J13" s="19"/>
      <c r="K13" s="2"/>
      <c r="L13" s="2">
        <f t="shared" si="0"/>
        <v>-36745.980000000003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--271853.95</f>
        <v>271853.95</v>
      </c>
      <c r="U13" s="2"/>
      <c r="V13" s="19"/>
      <c r="W13" s="2"/>
      <c r="X13" s="2">
        <f t="shared" si="2"/>
        <v>-271853.95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 t="shared" si="4"/>
        <v>0</v>
      </c>
      <c r="E14" s="2"/>
      <c r="F14" s="19"/>
      <c r="G14" s="2"/>
      <c r="H14" s="2">
        <f>--63255.26</f>
        <v>63255.26</v>
      </c>
      <c r="I14" s="2"/>
      <c r="J14" s="19"/>
      <c r="K14" s="2"/>
      <c r="L14" s="2">
        <f t="shared" si="0"/>
        <v>-63255.26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--484720.45</f>
        <v>484720.45</v>
      </c>
      <c r="U14" s="2"/>
      <c r="V14" s="19"/>
      <c r="W14" s="2"/>
      <c r="X14" s="2">
        <f t="shared" si="2"/>
        <v>-484720.45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29523.11</v>
      </c>
      <c r="I16" s="4"/>
      <c r="J16" s="12">
        <f t="shared" ref="J16:J18" si="7">IF(H$12=0,0,H16/H$12)</f>
        <v>0.29522743917975414</v>
      </c>
      <c r="K16" s="4"/>
      <c r="L16" s="4">
        <f t="shared" ref="L16:L18" si="8">+D16-H16</f>
        <v>-29523.11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246045.73</v>
      </c>
      <c r="U16" s="4"/>
      <c r="V16" s="12">
        <f t="shared" ref="V16:V18" si="11">IF(T$12=0,0,T16/T$12)</f>
        <v>0.32521022387223253</v>
      </c>
      <c r="W16" s="4"/>
      <c r="X16" s="4">
        <f t="shared" ref="X16:X18" si="12">+P16-T16</f>
        <v>-246045.73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34087.11</v>
      </c>
      <c r="I17" s="2"/>
      <c r="J17" s="19">
        <f t="shared" si="7"/>
        <v>0.3408668732507717</v>
      </c>
      <c r="K17" s="2"/>
      <c r="L17" s="2">
        <f t="shared" si="8"/>
        <v>-34087.11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255146.73</v>
      </c>
      <c r="U17" s="2"/>
      <c r="V17" s="19">
        <f t="shared" si="11"/>
        <v>0.33723944399916256</v>
      </c>
      <c r="W17" s="2"/>
      <c r="X17" s="2">
        <f t="shared" si="12"/>
        <v>-255146.73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-4564</v>
      </c>
      <c r="I18" s="2"/>
      <c r="J18" s="19">
        <f t="shared" si="7"/>
        <v>-4.5639434071017518E-2</v>
      </c>
      <c r="K18" s="2"/>
      <c r="L18" s="2">
        <f t="shared" si="8"/>
        <v>4564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-9101</v>
      </c>
      <c r="U18" s="2"/>
      <c r="V18" s="19">
        <f t="shared" si="11"/>
        <v>-1.2029220126930015E-2</v>
      </c>
      <c r="W18" s="2"/>
      <c r="X18" s="2">
        <f t="shared" si="12"/>
        <v>9101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70478.13</v>
      </c>
      <c r="I20" s="14"/>
      <c r="J20" s="21">
        <f>IF(H$12=0,0,H20/H$12)</f>
        <v>0.70477256082024586</v>
      </c>
      <c r="K20" s="15"/>
      <c r="L20" s="20">
        <f>+D20-H20</f>
        <v>-70478.13</v>
      </c>
      <c r="M20" s="15"/>
      <c r="N20" s="21">
        <f>IF(H20=0,0,L20/H20)</f>
        <v>-1</v>
      </c>
      <c r="O20" s="29"/>
      <c r="P20" s="20">
        <f>P12-P16</f>
        <v>0</v>
      </c>
      <c r="Q20" s="14"/>
      <c r="R20" s="21">
        <f>IF(P$12=0,0,P20/P$12)</f>
        <v>0</v>
      </c>
      <c r="S20" s="14"/>
      <c r="T20" s="20">
        <f>T12-T16</f>
        <v>510528.67000000004</v>
      </c>
      <c r="U20" s="14"/>
      <c r="V20" s="21">
        <f>IF(T$12=0,0,T20/T$12)</f>
        <v>0.67478977612776747</v>
      </c>
      <c r="W20" s="15"/>
      <c r="X20" s="20">
        <f>+P20-T20</f>
        <v>-510528.67000000004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6944.03</v>
      </c>
      <c r="E22" s="22"/>
      <c r="F22" s="36">
        <f t="shared" ref="F22:F31" si="14">IF(D$12=0,0,D22/D$12)</f>
        <v>0</v>
      </c>
      <c r="G22" s="22"/>
      <c r="H22" s="22">
        <f>SUM(OSRRefH22x_0)</f>
        <v>62860.740000000005</v>
      </c>
      <c r="I22" s="22"/>
      <c r="J22" s="36">
        <f t="shared" ref="J22:J31" si="15">IF(H$12=0,0,H22/H$12)</f>
        <v>0.62859960536489345</v>
      </c>
      <c r="K22" s="4"/>
      <c r="L22" s="22">
        <f t="shared" ref="L22:L31" si="16">+D22-H22</f>
        <v>-55916.710000000006</v>
      </c>
      <c r="M22" s="4"/>
      <c r="N22" s="36">
        <f t="shared" ref="N22:N31" si="17">IF(H22=0,0,L22/H22)</f>
        <v>-0.88953311717297634</v>
      </c>
      <c r="O22" s="10"/>
      <c r="P22" s="22">
        <f>SUM(OSRRefP22x_0)</f>
        <v>52281.650000000016</v>
      </c>
      <c r="Q22" s="22"/>
      <c r="R22" s="36">
        <f t="shared" ref="R22:R31" si="18">IF(P$12=0,0,P22/P$12)</f>
        <v>0</v>
      </c>
      <c r="S22" s="22"/>
      <c r="T22" s="22">
        <f>SUM(OSRRefT22x_0)</f>
        <v>366968.29</v>
      </c>
      <c r="U22" s="22"/>
      <c r="V22" s="36">
        <f t="shared" ref="V22:V31" si="19">IF(T$12=0,0,T22/T$12)</f>
        <v>0.4850392638186013</v>
      </c>
      <c r="W22" s="4"/>
      <c r="X22" s="22">
        <f t="shared" ref="X22:X31" si="20">+P22-T22</f>
        <v>-314686.63999999996</v>
      </c>
      <c r="Y22" s="4"/>
      <c r="Z22" s="36">
        <f t="shared" ref="Z22:Z31" si="21">IF(T22=0,0,X22/T22)</f>
        <v>-0.85753087821293761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11171.379999999997</v>
      </c>
      <c r="I23" s="1"/>
      <c r="J23" s="5">
        <f t="shared" si="15"/>
        <v>0.11171241476605687</v>
      </c>
      <c r="K23" s="1"/>
      <c r="L23" s="1">
        <f t="shared" si="16"/>
        <v>-11171.379999999997</v>
      </c>
      <c r="M23" s="1"/>
      <c r="N23" s="5">
        <f t="shared" si="17"/>
        <v>-1</v>
      </c>
      <c r="O23" s="13"/>
      <c r="P23" s="1">
        <f>SUM(OSRRefP22_0x_0)</f>
        <v>6086.32</v>
      </c>
      <c r="Q23" s="1"/>
      <c r="R23" s="5">
        <f t="shared" si="18"/>
        <v>0</v>
      </c>
      <c r="S23" s="1"/>
      <c r="T23" s="1">
        <f>SUM(OSRRefT22_0x_0)</f>
        <v>49884.289999999994</v>
      </c>
      <c r="U23" s="1"/>
      <c r="V23" s="5">
        <f t="shared" si="19"/>
        <v>6.5934414381454087E-2</v>
      </c>
      <c r="W23" s="1"/>
      <c r="X23" s="1">
        <f t="shared" si="20"/>
        <v>-43797.969999999994</v>
      </c>
      <c r="Y23" s="1"/>
      <c r="Z23" s="5">
        <f t="shared" si="21"/>
        <v>-0.87799124734460487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1776.22</v>
      </c>
      <c r="I24" s="2"/>
      <c r="J24" s="6">
        <f t="shared" si="15"/>
        <v>1.7761979751451083E-2</v>
      </c>
      <c r="K24" s="2"/>
      <c r="L24" s="7">
        <f t="shared" si="16"/>
        <v>-1776.22</v>
      </c>
      <c r="M24" s="2"/>
      <c r="N24" s="6">
        <f t="shared" si="17"/>
        <v>-1</v>
      </c>
      <c r="O24" s="11"/>
      <c r="P24" s="7">
        <v>237.51</v>
      </c>
      <c r="Q24" s="2"/>
      <c r="R24" s="6">
        <f t="shared" si="18"/>
        <v>0</v>
      </c>
      <c r="S24" s="2"/>
      <c r="T24" s="7">
        <v>11052.27</v>
      </c>
      <c r="U24" s="2"/>
      <c r="V24" s="6">
        <f t="shared" si="19"/>
        <v>1.4608305541398177E-2</v>
      </c>
      <c r="W24" s="2"/>
      <c r="X24" s="7">
        <f t="shared" si="20"/>
        <v>-10814.76</v>
      </c>
      <c r="Y24" s="2"/>
      <c r="Z24" s="6">
        <f t="shared" si="21"/>
        <v>-0.97851029697971548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1799.17</v>
      </c>
      <c r="I25" s="2"/>
      <c r="J25" s="6">
        <f t="shared" si="15"/>
        <v>1.7991476905686369E-2</v>
      </c>
      <c r="K25" s="2"/>
      <c r="L25" s="7">
        <f t="shared" si="16"/>
        <v>-1799.17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5806.33</v>
      </c>
      <c r="U25" s="2"/>
      <c r="V25" s="6">
        <f t="shared" si="19"/>
        <v>7.6744996922972807E-3</v>
      </c>
      <c r="W25" s="2"/>
      <c r="X25" s="7">
        <f t="shared" si="20"/>
        <v>-5806.33</v>
      </c>
      <c r="Y25" s="2"/>
      <c r="Z25" s="6">
        <f t="shared" si="21"/>
        <v>-1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5096.34</v>
      </c>
      <c r="I26" s="2"/>
      <c r="J26" s="6">
        <f t="shared" si="15"/>
        <v>5.0962768061676031E-2</v>
      </c>
      <c r="K26" s="2"/>
      <c r="L26" s="7">
        <f t="shared" si="16"/>
        <v>-5096.34</v>
      </c>
      <c r="M26" s="2"/>
      <c r="N26" s="6">
        <f t="shared" si="17"/>
        <v>-1</v>
      </c>
      <c r="O26" s="11"/>
      <c r="P26" s="7">
        <v>4780.67</v>
      </c>
      <c r="Q26" s="2"/>
      <c r="R26" s="6">
        <f t="shared" si="18"/>
        <v>0</v>
      </c>
      <c r="S26" s="2"/>
      <c r="T26" s="7">
        <v>20428.3</v>
      </c>
      <c r="U26" s="2"/>
      <c r="V26" s="6">
        <f t="shared" si="19"/>
        <v>2.7001045766285509E-2</v>
      </c>
      <c r="W26" s="2"/>
      <c r="X26" s="7">
        <f t="shared" si="20"/>
        <v>-15647.63</v>
      </c>
      <c r="Y26" s="2"/>
      <c r="Z26" s="6">
        <f t="shared" si="21"/>
        <v>-0.7659780794290274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120.56</v>
      </c>
      <c r="I27" s="2"/>
      <c r="J27" s="6">
        <f t="shared" si="15"/>
        <v>1.2055850507453707E-3</v>
      </c>
      <c r="K27" s="2"/>
      <c r="L27" s="7">
        <f t="shared" si="16"/>
        <v>-120.56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526.35</v>
      </c>
      <c r="U27" s="2"/>
      <c r="V27" s="6">
        <f t="shared" si="19"/>
        <v>6.9570157277327918E-4</v>
      </c>
      <c r="W27" s="2"/>
      <c r="X27" s="7">
        <f t="shared" si="20"/>
        <v>-526.35</v>
      </c>
      <c r="Y27" s="2"/>
      <c r="Z27" s="6">
        <f t="shared" si="21"/>
        <v>-1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617.47</v>
      </c>
      <c r="I28" s="2"/>
      <c r="J28" s="6">
        <f t="shared" si="15"/>
        <v>6.1746234346694105E-3</v>
      </c>
      <c r="K28" s="2"/>
      <c r="L28" s="7">
        <f t="shared" si="16"/>
        <v>-617.47</v>
      </c>
      <c r="M28" s="2"/>
      <c r="N28" s="6">
        <f t="shared" si="17"/>
        <v>-1</v>
      </c>
      <c r="O28" s="11"/>
      <c r="P28" s="7">
        <v>678.15</v>
      </c>
      <c r="Q28" s="2"/>
      <c r="R28" s="6">
        <f t="shared" si="18"/>
        <v>0</v>
      </c>
      <c r="S28" s="2"/>
      <c r="T28" s="7">
        <v>2901.55</v>
      </c>
      <c r="U28" s="2"/>
      <c r="V28" s="6">
        <f t="shared" si="19"/>
        <v>3.8351152246229852E-3</v>
      </c>
      <c r="W28" s="2"/>
      <c r="X28" s="7">
        <f t="shared" si="20"/>
        <v>-2223.4</v>
      </c>
      <c r="Y28" s="2"/>
      <c r="Z28" s="6">
        <f t="shared" si="21"/>
        <v>-0.76628009167513911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629.32000000000005</v>
      </c>
      <c r="I29" s="2"/>
      <c r="J29" s="6">
        <f t="shared" si="15"/>
        <v>6.2931219652876307E-3</v>
      </c>
      <c r="K29" s="2"/>
      <c r="L29" s="7">
        <f t="shared" si="16"/>
        <v>-629.32000000000005</v>
      </c>
      <c r="M29" s="2"/>
      <c r="N29" s="6">
        <f t="shared" si="17"/>
        <v>-1</v>
      </c>
      <c r="O29" s="11"/>
      <c r="P29" s="7">
        <v>248.21</v>
      </c>
      <c r="Q29" s="2"/>
      <c r="R29" s="6">
        <f t="shared" si="18"/>
        <v>0</v>
      </c>
      <c r="S29" s="2"/>
      <c r="T29" s="7">
        <v>3420.91</v>
      </c>
      <c r="U29" s="2"/>
      <c r="V29" s="6">
        <f t="shared" si="19"/>
        <v>4.5215777853440447E-3</v>
      </c>
      <c r="W29" s="2"/>
      <c r="X29" s="7">
        <f t="shared" si="20"/>
        <v>-3172.7</v>
      </c>
      <c r="Y29" s="2"/>
      <c r="Z29" s="6">
        <f t="shared" si="21"/>
        <v>-0.92744328263532216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665.96</v>
      </c>
      <c r="I30" s="2"/>
      <c r="J30" s="6">
        <f t="shared" si="15"/>
        <v>6.6595174219839671E-3</v>
      </c>
      <c r="K30" s="2"/>
      <c r="L30" s="7">
        <f t="shared" si="16"/>
        <v>-665.96</v>
      </c>
      <c r="M30" s="2"/>
      <c r="N30" s="6">
        <f t="shared" si="17"/>
        <v>-1</v>
      </c>
      <c r="O30" s="11"/>
      <c r="P30" s="7">
        <v>141.78</v>
      </c>
      <c r="Q30" s="2"/>
      <c r="R30" s="6">
        <f t="shared" si="18"/>
        <v>0</v>
      </c>
      <c r="S30" s="2"/>
      <c r="T30" s="7">
        <v>3499.9</v>
      </c>
      <c r="U30" s="2"/>
      <c r="V30" s="6">
        <f t="shared" si="19"/>
        <v>4.6259825867753391E-3</v>
      </c>
      <c r="W30" s="2"/>
      <c r="X30" s="7">
        <f t="shared" si="20"/>
        <v>-3358.12</v>
      </c>
      <c r="Y30" s="2"/>
      <c r="Z30" s="6">
        <f t="shared" si="21"/>
        <v>-0.95949027115060426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466.34</v>
      </c>
      <c r="I31" s="2"/>
      <c r="J31" s="6">
        <f t="shared" si="15"/>
        <v>4.6633421745570346E-3</v>
      </c>
      <c r="K31" s="2"/>
      <c r="L31" s="7">
        <f t="shared" si="16"/>
        <v>-466.34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2248.6799999999998</v>
      </c>
      <c r="U31" s="2"/>
      <c r="V31" s="6">
        <f t="shared" si="19"/>
        <v>2.9721862119574754E-3</v>
      </c>
      <c r="W31" s="2"/>
      <c r="X31" s="7">
        <f t="shared" si="20"/>
        <v>-2248.6799999999998</v>
      </c>
      <c r="Y31" s="2"/>
      <c r="Z31" s="6">
        <f t="shared" si="21"/>
        <v>-1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8" si="22">IF(D$12=0,0,D32/D$12)</f>
        <v>0</v>
      </c>
      <c r="G32" s="1"/>
      <c r="H32" s="1">
        <f>SUM(OSRRefH22_1x_0)</f>
        <v>29826.13</v>
      </c>
      <c r="I32" s="1"/>
      <c r="J32" s="5">
        <f t="shared" ref="J32:J38" si="23">IF(H$12=0,0,H32/H$12)</f>
        <v>0.29825760160574011</v>
      </c>
      <c r="K32" s="1"/>
      <c r="L32" s="1">
        <f t="shared" ref="L32:L38" si="24">+D32-H32</f>
        <v>-29826.13</v>
      </c>
      <c r="M32" s="1"/>
      <c r="N32" s="5">
        <f t="shared" ref="N32:N38" si="25">IF(H32=0,0,L32/H32)</f>
        <v>-1</v>
      </c>
      <c r="O32" s="13"/>
      <c r="P32" s="1">
        <f>SUM(OSRRefP22_1x_0)</f>
        <v>2151.69</v>
      </c>
      <c r="Q32" s="1"/>
      <c r="R32" s="5">
        <f t="shared" ref="R32:R38" si="26">IF(P$12=0,0,P32/P$12)</f>
        <v>0</v>
      </c>
      <c r="S32" s="1"/>
      <c r="T32" s="1">
        <f>SUM(OSRRefT22_1x_0)</f>
        <v>196538.28</v>
      </c>
      <c r="U32" s="1"/>
      <c r="V32" s="5">
        <f t="shared" ref="V32:V38" si="27">IF(T$12=0,0,T32/T$12)</f>
        <v>0.25977389665841188</v>
      </c>
      <c r="W32" s="1"/>
      <c r="X32" s="1">
        <f t="shared" ref="X32:X38" si="28">+P32-T32</f>
        <v>-194386.59</v>
      </c>
      <c r="Y32" s="1"/>
      <c r="Z32" s="5">
        <f t="shared" ref="Z32:Z38" si="29">IF(T32=0,0,X32/T32)</f>
        <v>-0.98905205642381733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8648</v>
      </c>
      <c r="I33" s="2"/>
      <c r="J33" s="6">
        <f t="shared" si="23"/>
        <v>8.6478927661297E-2</v>
      </c>
      <c r="K33" s="2"/>
      <c r="L33" s="7">
        <f t="shared" si="24"/>
        <v>-8648</v>
      </c>
      <c r="M33" s="2"/>
      <c r="N33" s="6">
        <f t="shared" si="25"/>
        <v>-1</v>
      </c>
      <c r="O33" s="11"/>
      <c r="P33" s="7">
        <v>2151.69</v>
      </c>
      <c r="Q33" s="2"/>
      <c r="R33" s="6">
        <f t="shared" si="26"/>
        <v>0</v>
      </c>
      <c r="S33" s="2"/>
      <c r="T33" s="7">
        <v>44616</v>
      </c>
      <c r="U33" s="2"/>
      <c r="V33" s="6">
        <f t="shared" si="27"/>
        <v>5.8971067485233439E-2</v>
      </c>
      <c r="W33" s="2"/>
      <c r="X33" s="7">
        <f t="shared" si="28"/>
        <v>-42464.31</v>
      </c>
      <c r="Y33" s="2"/>
      <c r="Z33" s="6">
        <f t="shared" si="29"/>
        <v>-0.95177313071543834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2"/>
        <v>0</v>
      </c>
      <c r="G34" s="2"/>
      <c r="H34" s="7">
        <v>4813.22</v>
      </c>
      <c r="I34" s="2"/>
      <c r="J34" s="6">
        <f t="shared" si="23"/>
        <v>4.8131603168120714E-2</v>
      </c>
      <c r="K34" s="2"/>
      <c r="L34" s="7">
        <f t="shared" si="24"/>
        <v>-4813.22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21827.21</v>
      </c>
      <c r="U34" s="2"/>
      <c r="V34" s="6">
        <f t="shared" si="27"/>
        <v>2.88500509665672E-2</v>
      </c>
      <c r="W34" s="2"/>
      <c r="X34" s="7">
        <f t="shared" si="28"/>
        <v>-21827.21</v>
      </c>
      <c r="Y34" s="2"/>
      <c r="Z34" s="6">
        <f t="shared" si="29"/>
        <v>-1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2"/>
        <v>0</v>
      </c>
      <c r="G35" s="2"/>
      <c r="H35" s="7">
        <v>8636.11</v>
      </c>
      <c r="I35" s="2"/>
      <c r="J35" s="6">
        <f t="shared" si="23"/>
        <v>8.6360029135638713E-2</v>
      </c>
      <c r="K35" s="2"/>
      <c r="L35" s="7">
        <f t="shared" si="24"/>
        <v>-8636.11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58407.950000000004</v>
      </c>
      <c r="U35" s="2"/>
      <c r="V35" s="6">
        <f t="shared" si="27"/>
        <v>7.7200537052271395E-2</v>
      </c>
      <c r="W35" s="2"/>
      <c r="X35" s="7">
        <f t="shared" si="28"/>
        <v>-58407.950000000004</v>
      </c>
      <c r="Y35" s="2"/>
      <c r="Z35" s="6">
        <f t="shared" si="29"/>
        <v>-1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2"/>
        <v>0</v>
      </c>
      <c r="G36" s="2"/>
      <c r="H36" s="7">
        <v>568.75</v>
      </c>
      <c r="I36" s="2"/>
      <c r="J36" s="6">
        <f t="shared" si="23"/>
        <v>5.6874294758744986E-3</v>
      </c>
      <c r="K36" s="2"/>
      <c r="L36" s="7">
        <f t="shared" si="24"/>
        <v>-568.75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7215.01</v>
      </c>
      <c r="U36" s="2"/>
      <c r="V36" s="6">
        <f t="shared" si="27"/>
        <v>9.5364183614988825E-3</v>
      </c>
      <c r="W36" s="2"/>
      <c r="X36" s="7">
        <f t="shared" si="28"/>
        <v>-7215.01</v>
      </c>
      <c r="Y36" s="2"/>
      <c r="Z36" s="6">
        <f t="shared" si="29"/>
        <v>-1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2"/>
        <v>0</v>
      </c>
      <c r="G37" s="2"/>
      <c r="H37" s="7">
        <v>7160.05</v>
      </c>
      <c r="I37" s="2"/>
      <c r="J37" s="6">
        <f t="shared" si="23"/>
        <v>7.1599612164809159E-2</v>
      </c>
      <c r="K37" s="2"/>
      <c r="L37" s="7">
        <f t="shared" si="24"/>
        <v>-7160.05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62642.109999999993</v>
      </c>
      <c r="U37" s="2"/>
      <c r="V37" s="6">
        <f t="shared" si="27"/>
        <v>8.2797025646122832E-2</v>
      </c>
      <c r="W37" s="2"/>
      <c r="X37" s="7">
        <f t="shared" si="28"/>
        <v>-62642.109999999993</v>
      </c>
      <c r="Y37" s="2"/>
      <c r="Z37" s="6">
        <f t="shared" si="29"/>
        <v>-1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2"/>
        <v>0</v>
      </c>
      <c r="G38" s="2"/>
      <c r="H38" s="7"/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1830</v>
      </c>
      <c r="U38" s="2"/>
      <c r="V38" s="6">
        <f t="shared" si="27"/>
        <v>2.4187971467181549E-3</v>
      </c>
      <c r="W38" s="2"/>
      <c r="X38" s="7">
        <f t="shared" si="28"/>
        <v>-1830</v>
      </c>
      <c r="Y38" s="2"/>
      <c r="Z38" s="6">
        <f t="shared" si="29"/>
        <v>-1</v>
      </c>
    </row>
    <row r="39" spans="1:26" s="25" customFormat="1" outlineLevel="1" collapsed="1" x14ac:dyDescent="0.25">
      <c r="A39" s="26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47" si="30">IF(D$12=0,0,D39/D$12)</f>
        <v>0</v>
      </c>
      <c r="G39" s="1"/>
      <c r="H39" s="1">
        <f>SUM(OSRRefH22_2x_0)</f>
        <v>0</v>
      </c>
      <c r="I39" s="1"/>
      <c r="J39" s="5">
        <f t="shared" ref="J39:J47" si="31">IF(H$12=0,0,H39/H$12)</f>
        <v>0</v>
      </c>
      <c r="K39" s="1"/>
      <c r="L39" s="1">
        <f t="shared" ref="L39:L47" si="32">+D39-H39</f>
        <v>0</v>
      </c>
      <c r="M39" s="1"/>
      <c r="N39" s="5">
        <f t="shared" ref="N39:N47" si="33">IF(H39=0,0,L39/H39)</f>
        <v>0</v>
      </c>
      <c r="O39" s="13"/>
      <c r="P39" s="1">
        <f>SUM(OSRRefP22_2x_0)</f>
        <v>0</v>
      </c>
      <c r="Q39" s="1"/>
      <c r="R39" s="5">
        <f t="shared" ref="R39:R47" si="34">IF(P$12=0,0,P39/P$12)</f>
        <v>0</v>
      </c>
      <c r="S39" s="1"/>
      <c r="T39" s="1">
        <f>SUM(OSRRefT22_2x_0)</f>
        <v>3041.11</v>
      </c>
      <c r="U39" s="1"/>
      <c r="V39" s="5">
        <f t="shared" ref="V39:V47" si="35">IF(T$12=0,0,T39/T$12)</f>
        <v>4.0195782463694251E-3</v>
      </c>
      <c r="W39" s="1"/>
      <c r="X39" s="1">
        <f t="shared" ref="X39:X47" si="36">+P39-T39</f>
        <v>-3041.11</v>
      </c>
      <c r="Y39" s="1"/>
      <c r="Z39" s="5">
        <f t="shared" ref="Z39:Z47" si="37">IF(T39=0,0,X39/T39)</f>
        <v>-1</v>
      </c>
    </row>
    <row r="40" spans="1:26" s="24" customFormat="1" hidden="1" outlineLevel="2" x14ac:dyDescent="0.25">
      <c r="A40" s="27"/>
      <c r="B40" s="11" t="str">
        <f>CONCATENATE("          ", "6362", " - ", "ADVERTISING EXPENSE")</f>
        <v xml:space="preserve">          6362 - ADVERTISING EXPENSE</v>
      </c>
      <c r="C40" s="11"/>
      <c r="D40" s="7"/>
      <c r="E40" s="2"/>
      <c r="F40" s="6">
        <f t="shared" si="30"/>
        <v>0</v>
      </c>
      <c r="G40" s="2"/>
      <c r="H40" s="7"/>
      <c r="I40" s="2"/>
      <c r="J40" s="6">
        <f t="shared" si="31"/>
        <v>0</v>
      </c>
      <c r="K40" s="2"/>
      <c r="L40" s="7">
        <f t="shared" si="32"/>
        <v>0</v>
      </c>
      <c r="M40" s="2"/>
      <c r="N40" s="6">
        <f t="shared" si="33"/>
        <v>0</v>
      </c>
      <c r="O40" s="11"/>
      <c r="P40" s="7"/>
      <c r="Q40" s="2"/>
      <c r="R40" s="6">
        <f t="shared" si="34"/>
        <v>0</v>
      </c>
      <c r="S40" s="2"/>
      <c r="T40" s="7">
        <v>3041.11</v>
      </c>
      <c r="U40" s="2"/>
      <c r="V40" s="6">
        <f t="shared" si="35"/>
        <v>4.0195782463694251E-3</v>
      </c>
      <c r="W40" s="2"/>
      <c r="X40" s="7">
        <f t="shared" si="36"/>
        <v>-3041.11</v>
      </c>
      <c r="Y40" s="2"/>
      <c r="Z40" s="6">
        <f t="shared" si="37"/>
        <v>-1</v>
      </c>
    </row>
    <row r="41" spans="1:26" s="25" customFormat="1" outlineLevel="1" collapsed="1" x14ac:dyDescent="0.25">
      <c r="A41" s="26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-38.380000000000003</v>
      </c>
      <c r="I41" s="1"/>
      <c r="J41" s="5">
        <f t="shared" si="31"/>
        <v>-3.8379524093901237E-4</v>
      </c>
      <c r="K41" s="1"/>
      <c r="L41" s="1">
        <f t="shared" si="32"/>
        <v>38.380000000000003</v>
      </c>
      <c r="M41" s="1"/>
      <c r="N41" s="5">
        <f t="shared" si="33"/>
        <v>-1</v>
      </c>
      <c r="O41" s="13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-36.76</v>
      </c>
      <c r="U41" s="1"/>
      <c r="V41" s="5">
        <f t="shared" si="35"/>
        <v>-4.8587422466316596E-5</v>
      </c>
      <c r="W41" s="1"/>
      <c r="X41" s="1">
        <f t="shared" si="36"/>
        <v>36.76</v>
      </c>
      <c r="Y41" s="1"/>
      <c r="Z41" s="5">
        <f t="shared" si="37"/>
        <v>-1</v>
      </c>
    </row>
    <row r="42" spans="1:26" s="24" customFormat="1" hidden="1" outlineLevel="2" x14ac:dyDescent="0.25">
      <c r="A42" s="27"/>
      <c r="B42" s="11" t="str">
        <f>CONCATENATE("          ", "6272", " - ", "CASH (OVER/SHORT)")</f>
        <v xml:space="preserve">          6272 - CASH (OVER/SHORT)</v>
      </c>
      <c r="C42" s="11"/>
      <c r="D42" s="7"/>
      <c r="E42" s="2"/>
      <c r="F42" s="6">
        <f t="shared" si="30"/>
        <v>0</v>
      </c>
      <c r="G42" s="2"/>
      <c r="H42" s="7">
        <v>-38.380000000000003</v>
      </c>
      <c r="I42" s="2"/>
      <c r="J42" s="6">
        <f t="shared" si="31"/>
        <v>-3.8379524093901237E-4</v>
      </c>
      <c r="K42" s="2"/>
      <c r="L42" s="7">
        <f t="shared" si="32"/>
        <v>38.380000000000003</v>
      </c>
      <c r="M42" s="2"/>
      <c r="N42" s="6">
        <f t="shared" si="33"/>
        <v>-1</v>
      </c>
      <c r="O42" s="11"/>
      <c r="P42" s="7"/>
      <c r="Q42" s="2"/>
      <c r="R42" s="6">
        <f t="shared" si="34"/>
        <v>0</v>
      </c>
      <c r="S42" s="2"/>
      <c r="T42" s="7">
        <v>-36.76</v>
      </c>
      <c r="U42" s="2"/>
      <c r="V42" s="6">
        <f t="shared" si="35"/>
        <v>-4.8587422466316596E-5</v>
      </c>
      <c r="W42" s="2"/>
      <c r="X42" s="7">
        <f t="shared" si="36"/>
        <v>36.76</v>
      </c>
      <c r="Y42" s="2"/>
      <c r="Z42" s="6">
        <f t="shared" si="37"/>
        <v>-1</v>
      </c>
    </row>
    <row r="43" spans="1:26" s="25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7390.66</v>
      </c>
      <c r="I43" s="1"/>
      <c r="J43" s="5">
        <f t="shared" si="31"/>
        <v>7.3905683569523734E-2</v>
      </c>
      <c r="K43" s="1"/>
      <c r="L43" s="1">
        <f t="shared" si="32"/>
        <v>-7390.66</v>
      </c>
      <c r="M43" s="1"/>
      <c r="N43" s="5">
        <f t="shared" si="33"/>
        <v>-1</v>
      </c>
      <c r="O43" s="13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30890.329999999998</v>
      </c>
      <c r="U43" s="1"/>
      <c r="V43" s="5">
        <f t="shared" si="35"/>
        <v>4.0829203314307221E-2</v>
      </c>
      <c r="W43" s="1"/>
      <c r="X43" s="1">
        <f t="shared" si="36"/>
        <v>-30890.329999999998</v>
      </c>
      <c r="Y43" s="1"/>
      <c r="Z43" s="5">
        <f t="shared" si="37"/>
        <v>-1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30"/>
        <v>0</v>
      </c>
      <c r="G44" s="2"/>
      <c r="H44" s="7">
        <v>7390.66</v>
      </c>
      <c r="I44" s="2"/>
      <c r="J44" s="6">
        <f t="shared" si="31"/>
        <v>7.3905683569523734E-2</v>
      </c>
      <c r="K44" s="2"/>
      <c r="L44" s="7">
        <f t="shared" si="32"/>
        <v>-7390.66</v>
      </c>
      <c r="M44" s="2"/>
      <c r="N44" s="6">
        <f t="shared" si="33"/>
        <v>-1</v>
      </c>
      <c r="O44" s="11"/>
      <c r="P44" s="7"/>
      <c r="Q44" s="2"/>
      <c r="R44" s="6">
        <f t="shared" si="34"/>
        <v>0</v>
      </c>
      <c r="S44" s="2"/>
      <c r="T44" s="7">
        <v>30890.329999999998</v>
      </c>
      <c r="U44" s="2"/>
      <c r="V44" s="6">
        <f t="shared" si="35"/>
        <v>4.0829203314307221E-2</v>
      </c>
      <c r="W44" s="2"/>
      <c r="X44" s="7">
        <f t="shared" si="36"/>
        <v>-30890.329999999998</v>
      </c>
      <c r="Y44" s="2"/>
      <c r="Z44" s="6">
        <f t="shared" si="37"/>
        <v>-1</v>
      </c>
    </row>
    <row r="45" spans="1:26" s="25" customFormat="1" outlineLevel="1" collapsed="1" x14ac:dyDescent="0.25">
      <c r="A45" s="26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6745.17</v>
      </c>
      <c r="E45" s="1"/>
      <c r="F45" s="5">
        <f t="shared" si="30"/>
        <v>0</v>
      </c>
      <c r="G45" s="1"/>
      <c r="H45" s="1">
        <f>SUM(OSRRefH22_5x_0)</f>
        <v>8263.4700000000012</v>
      </c>
      <c r="I45" s="1"/>
      <c r="J45" s="5">
        <f t="shared" si="31"/>
        <v>8.2633675342425758E-2</v>
      </c>
      <c r="K45" s="1"/>
      <c r="L45" s="1">
        <f t="shared" si="32"/>
        <v>-1518.3000000000011</v>
      </c>
      <c r="M45" s="1"/>
      <c r="N45" s="5">
        <f t="shared" si="33"/>
        <v>-0.18373637225039854</v>
      </c>
      <c r="O45" s="13"/>
      <c r="P45" s="1">
        <f>SUM(OSRRefP22_5x_0)</f>
        <v>41768.170000000006</v>
      </c>
      <c r="Q45" s="1"/>
      <c r="R45" s="5">
        <f t="shared" si="34"/>
        <v>0</v>
      </c>
      <c r="S45" s="1"/>
      <c r="T45" s="1">
        <f>SUM(OSRRefT22_5x_0)</f>
        <v>49580.820000000007</v>
      </c>
      <c r="U45" s="1"/>
      <c r="V45" s="5">
        <f t="shared" si="35"/>
        <v>6.5533303796692047E-2</v>
      </c>
      <c r="W45" s="1"/>
      <c r="X45" s="1">
        <f t="shared" si="36"/>
        <v>-7812.6500000000015</v>
      </c>
      <c r="Y45" s="1"/>
      <c r="Z45" s="5">
        <f t="shared" si="37"/>
        <v>-0.15757403770248254</v>
      </c>
    </row>
    <row r="46" spans="1:26" s="24" customFormat="1" hidden="1" outlineLevel="2" x14ac:dyDescent="0.25">
      <c r="A46" s="27"/>
      <c r="B46" s="11" t="str">
        <f>CONCATENATE("          ", "6321", " - ", "BUILDING DEPRECIATION")</f>
        <v xml:space="preserve">          6321 - BUILDING DEPRECIATION</v>
      </c>
      <c r="C46" s="11"/>
      <c r="D46" s="7">
        <v>6537.05</v>
      </c>
      <c r="E46" s="2"/>
      <c r="F46" s="6">
        <f t="shared" si="30"/>
        <v>0</v>
      </c>
      <c r="G46" s="2"/>
      <c r="H46" s="7">
        <v>6537.05</v>
      </c>
      <c r="I46" s="2"/>
      <c r="J46" s="6">
        <f t="shared" si="31"/>
        <v>6.5369689415851237E-2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>
        <v>39222.300000000003</v>
      </c>
      <c r="Q46" s="2"/>
      <c r="R46" s="6">
        <f t="shared" si="34"/>
        <v>0</v>
      </c>
      <c r="S46" s="2"/>
      <c r="T46" s="7">
        <v>39222.300000000003</v>
      </c>
      <c r="U46" s="2"/>
      <c r="V46" s="6">
        <f t="shared" si="35"/>
        <v>5.1841960288373491E-2</v>
      </c>
      <c r="W46" s="2"/>
      <c r="X46" s="7">
        <f t="shared" si="36"/>
        <v>0</v>
      </c>
      <c r="Y46" s="2"/>
      <c r="Z46" s="6">
        <f t="shared" si="37"/>
        <v>0</v>
      </c>
    </row>
    <row r="47" spans="1:26" s="24" customFormat="1" hidden="1" outlineLevel="2" x14ac:dyDescent="0.25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208.12</v>
      </c>
      <c r="E47" s="2"/>
      <c r="F47" s="6">
        <f t="shared" si="30"/>
        <v>0</v>
      </c>
      <c r="G47" s="2"/>
      <c r="H47" s="7">
        <v>1726.42</v>
      </c>
      <c r="I47" s="2"/>
      <c r="J47" s="6">
        <f t="shared" si="31"/>
        <v>1.7263985926574511E-2</v>
      </c>
      <c r="K47" s="2"/>
      <c r="L47" s="7">
        <f t="shared" si="32"/>
        <v>-1518.3000000000002</v>
      </c>
      <c r="M47" s="2"/>
      <c r="N47" s="6">
        <f t="shared" si="33"/>
        <v>-0.87944996003290055</v>
      </c>
      <c r="O47" s="11"/>
      <c r="P47" s="7">
        <v>2545.87</v>
      </c>
      <c r="Q47" s="2"/>
      <c r="R47" s="6">
        <f t="shared" si="34"/>
        <v>0</v>
      </c>
      <c r="S47" s="2"/>
      <c r="T47" s="7">
        <v>10358.52</v>
      </c>
      <c r="U47" s="2"/>
      <c r="V47" s="6">
        <f t="shared" si="35"/>
        <v>1.3691343508318547E-2</v>
      </c>
      <c r="W47" s="2"/>
      <c r="X47" s="7">
        <f t="shared" si="36"/>
        <v>-7812.6500000000005</v>
      </c>
      <c r="Y47" s="2"/>
      <c r="Z47" s="6">
        <f t="shared" si="37"/>
        <v>-0.75422454172989961</v>
      </c>
    </row>
    <row r="48" spans="1:26" s="25" customFormat="1" outlineLevel="1" collapsed="1" x14ac:dyDescent="0.25">
      <c r="A48" s="26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SUM(OSRRefD22_6x_0)</f>
        <v>0</v>
      </c>
      <c r="E48" s="1"/>
      <c r="F48" s="5">
        <f t="shared" ref="F48:F56" si="38">IF(D$12=0,0,D48/D$12)</f>
        <v>0</v>
      </c>
      <c r="G48" s="1"/>
      <c r="H48" s="1">
        <f>SUM(OSRRefH22_6x_0)</f>
        <v>73</v>
      </c>
      <c r="I48" s="1"/>
      <c r="J48" s="5">
        <f t="shared" ref="J48:J56" si="39">IF(H$12=0,0,H48/H$12)</f>
        <v>7.2999094811224336E-4</v>
      </c>
      <c r="K48" s="1"/>
      <c r="L48" s="1">
        <f t="shared" ref="L48:L56" si="40">+D48-H48</f>
        <v>-73</v>
      </c>
      <c r="M48" s="1"/>
      <c r="N48" s="5">
        <f t="shared" ref="N48:N56" si="41">IF(H48=0,0,L48/H48)</f>
        <v>-1</v>
      </c>
      <c r="O48" s="13"/>
      <c r="P48" s="1">
        <f>SUM(OSRRefP22_6x_0)</f>
        <v>0</v>
      </c>
      <c r="Q48" s="1"/>
      <c r="R48" s="5">
        <f t="shared" ref="R48:R56" si="42">IF(P$12=0,0,P48/P$12)</f>
        <v>0</v>
      </c>
      <c r="S48" s="1"/>
      <c r="T48" s="1">
        <f>SUM(OSRRefT22_6x_0)</f>
        <v>73</v>
      </c>
      <c r="U48" s="1"/>
      <c r="V48" s="5">
        <f t="shared" ref="V48:V56" si="43">IF(T$12=0,0,T48/T$12)</f>
        <v>9.6487536453784321E-5</v>
      </c>
      <c r="W48" s="1"/>
      <c r="X48" s="1">
        <f t="shared" ref="X48:X56" si="44">+P48-T48</f>
        <v>-73</v>
      </c>
      <c r="Y48" s="1"/>
      <c r="Z48" s="5">
        <f t="shared" ref="Z48:Z56" si="45">IF(T48=0,0,X48/T48)</f>
        <v>-1</v>
      </c>
    </row>
    <row r="49" spans="1:26" s="24" customFormat="1" hidden="1" outlineLevel="2" x14ac:dyDescent="0.25">
      <c r="A49" s="27"/>
      <c r="B49" s="11" t="str">
        <f>CONCATENATE("          ", "6399", " - ", "DONATION-ON CAMPUS")</f>
        <v xml:space="preserve">          6399 - DONATION-ON CAMPUS</v>
      </c>
      <c r="C49" s="11"/>
      <c r="D49" s="7"/>
      <c r="E49" s="2"/>
      <c r="F49" s="6">
        <f t="shared" si="38"/>
        <v>0</v>
      </c>
      <c r="G49" s="2"/>
      <c r="H49" s="7">
        <v>73</v>
      </c>
      <c r="I49" s="2"/>
      <c r="J49" s="6">
        <f t="shared" si="39"/>
        <v>7.2999094811224336E-4</v>
      </c>
      <c r="K49" s="2"/>
      <c r="L49" s="7">
        <f t="shared" si="40"/>
        <v>-73</v>
      </c>
      <c r="M49" s="2"/>
      <c r="N49" s="6">
        <f t="shared" si="41"/>
        <v>-1</v>
      </c>
      <c r="O49" s="11"/>
      <c r="P49" s="7"/>
      <c r="Q49" s="2"/>
      <c r="R49" s="6">
        <f t="shared" si="42"/>
        <v>0</v>
      </c>
      <c r="S49" s="2"/>
      <c r="T49" s="7">
        <v>73</v>
      </c>
      <c r="U49" s="2"/>
      <c r="V49" s="6">
        <f t="shared" si="43"/>
        <v>9.6487536453784321E-5</v>
      </c>
      <c r="W49" s="2"/>
      <c r="X49" s="7">
        <f t="shared" si="44"/>
        <v>-73</v>
      </c>
      <c r="Y49" s="2"/>
      <c r="Z49" s="6">
        <f t="shared" si="45"/>
        <v>-1</v>
      </c>
    </row>
    <row r="50" spans="1:26" s="25" customFormat="1" outlineLevel="1" collapsed="1" x14ac:dyDescent="0.25">
      <c r="A50" s="26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SUM(OSRRefD22_7x_0)</f>
        <v>0</v>
      </c>
      <c r="E50" s="1"/>
      <c r="F50" s="5">
        <f t="shared" si="38"/>
        <v>0</v>
      </c>
      <c r="G50" s="1"/>
      <c r="H50" s="1">
        <f>SUM(OSRRefH22_7x_0)</f>
        <v>0</v>
      </c>
      <c r="I50" s="1"/>
      <c r="J50" s="5">
        <f t="shared" si="39"/>
        <v>0</v>
      </c>
      <c r="K50" s="1"/>
      <c r="L50" s="1">
        <f t="shared" si="40"/>
        <v>0</v>
      </c>
      <c r="M50" s="1"/>
      <c r="N50" s="5">
        <f t="shared" si="41"/>
        <v>0</v>
      </c>
      <c r="O50" s="13"/>
      <c r="P50" s="1">
        <f>SUM(OSRRefP22_7x_0)</f>
        <v>0</v>
      </c>
      <c r="Q50" s="1"/>
      <c r="R50" s="5">
        <f t="shared" si="42"/>
        <v>0</v>
      </c>
      <c r="S50" s="1"/>
      <c r="T50" s="1">
        <f>SUM(OSRRefT22_7x_0)</f>
        <v>8.25</v>
      </c>
      <c r="U50" s="1"/>
      <c r="V50" s="5">
        <f t="shared" si="43"/>
        <v>1.0904413366352337E-5</v>
      </c>
      <c r="W50" s="1"/>
      <c r="X50" s="1">
        <f t="shared" si="44"/>
        <v>-8.25</v>
      </c>
      <c r="Y50" s="1"/>
      <c r="Z50" s="5">
        <f t="shared" si="45"/>
        <v>-1</v>
      </c>
    </row>
    <row r="51" spans="1:26" s="24" customFormat="1" hidden="1" outlineLevel="2" x14ac:dyDescent="0.25">
      <c r="A51" s="27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38"/>
        <v>0</v>
      </c>
      <c r="G51" s="2"/>
      <c r="H51" s="7"/>
      <c r="I51" s="2"/>
      <c r="J51" s="6">
        <f t="shared" si="39"/>
        <v>0</v>
      </c>
      <c r="K51" s="2"/>
      <c r="L51" s="7">
        <f t="shared" si="40"/>
        <v>0</v>
      </c>
      <c r="M51" s="2"/>
      <c r="N51" s="6">
        <f t="shared" si="41"/>
        <v>0</v>
      </c>
      <c r="O51" s="11"/>
      <c r="P51" s="7"/>
      <c r="Q51" s="2"/>
      <c r="R51" s="6">
        <f t="shared" si="42"/>
        <v>0</v>
      </c>
      <c r="S51" s="2"/>
      <c r="T51" s="7">
        <v>8.25</v>
      </c>
      <c r="U51" s="2"/>
      <c r="V51" s="6">
        <f t="shared" si="43"/>
        <v>1.0904413366352337E-5</v>
      </c>
      <c r="W51" s="2"/>
      <c r="X51" s="7">
        <f t="shared" si="44"/>
        <v>-8.25</v>
      </c>
      <c r="Y51" s="2"/>
      <c r="Z51" s="6">
        <f t="shared" si="45"/>
        <v>-1</v>
      </c>
    </row>
    <row r="52" spans="1:26" s="25" customFormat="1" outlineLevel="1" collapsed="1" x14ac:dyDescent="0.25">
      <c r="A52" s="26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SUM(OSRRefD22_8x_0)</f>
        <v>0</v>
      </c>
      <c r="E52" s="1"/>
      <c r="F52" s="5">
        <f t="shared" si="38"/>
        <v>0</v>
      </c>
      <c r="G52" s="1"/>
      <c r="H52" s="1">
        <f>SUM(OSRRefH22_8x_0)</f>
        <v>774.99</v>
      </c>
      <c r="I52" s="1"/>
      <c r="J52" s="5">
        <f t="shared" si="39"/>
        <v>7.7498039024316099E-3</v>
      </c>
      <c r="K52" s="1"/>
      <c r="L52" s="1">
        <f t="shared" si="40"/>
        <v>-774.99</v>
      </c>
      <c r="M52" s="1"/>
      <c r="N52" s="5">
        <f t="shared" si="41"/>
        <v>-1</v>
      </c>
      <c r="O52" s="13"/>
      <c r="P52" s="1">
        <f>SUM(OSRRefP22_8x_0)</f>
        <v>263.72000000000003</v>
      </c>
      <c r="Q52" s="1"/>
      <c r="R52" s="5">
        <f t="shared" si="42"/>
        <v>0</v>
      </c>
      <c r="S52" s="1"/>
      <c r="T52" s="1">
        <f>SUM(OSRRefT22_8x_0)</f>
        <v>2987.67</v>
      </c>
      <c r="U52" s="1"/>
      <c r="V52" s="5">
        <f t="shared" si="43"/>
        <v>3.9489440826969563E-3</v>
      </c>
      <c r="W52" s="1"/>
      <c r="X52" s="1">
        <f t="shared" si="44"/>
        <v>-2723.95</v>
      </c>
      <c r="Y52" s="1"/>
      <c r="Z52" s="5">
        <f t="shared" si="45"/>
        <v>-0.91173054587688729</v>
      </c>
    </row>
    <row r="53" spans="1:26" s="24" customFormat="1" hidden="1" outlineLevel="2" x14ac:dyDescent="0.25">
      <c r="A53" s="27"/>
      <c r="B53" s="11" t="str">
        <f>CONCATENATE("          ", "6351", " - ", "EQUIPMENT RENTAL")</f>
        <v xml:space="preserve">          6351 - EQUIPMENT RENTAL</v>
      </c>
      <c r="C53" s="11"/>
      <c r="D53" s="7"/>
      <c r="E53" s="2"/>
      <c r="F53" s="6">
        <f t="shared" si="38"/>
        <v>0</v>
      </c>
      <c r="G53" s="2"/>
      <c r="H53" s="7">
        <v>774.99</v>
      </c>
      <c r="I53" s="2"/>
      <c r="J53" s="6">
        <f t="shared" si="39"/>
        <v>7.7498039024316099E-3</v>
      </c>
      <c r="K53" s="2"/>
      <c r="L53" s="7">
        <f t="shared" si="40"/>
        <v>-774.99</v>
      </c>
      <c r="M53" s="2"/>
      <c r="N53" s="6">
        <f t="shared" si="41"/>
        <v>-1</v>
      </c>
      <c r="O53" s="11"/>
      <c r="P53" s="7">
        <v>263.72000000000003</v>
      </c>
      <c r="Q53" s="2"/>
      <c r="R53" s="6">
        <f t="shared" si="42"/>
        <v>0</v>
      </c>
      <c r="S53" s="2"/>
      <c r="T53" s="7">
        <v>2987.67</v>
      </c>
      <c r="U53" s="2"/>
      <c r="V53" s="6">
        <f t="shared" si="43"/>
        <v>3.9489440826969563E-3</v>
      </c>
      <c r="W53" s="2"/>
      <c r="X53" s="7">
        <f t="shared" si="44"/>
        <v>-2723.95</v>
      </c>
      <c r="Y53" s="2"/>
      <c r="Z53" s="6">
        <f t="shared" si="45"/>
        <v>-0.91173054587688729</v>
      </c>
    </row>
    <row r="54" spans="1:26" s="25" customFormat="1" outlineLevel="1" collapsed="1" x14ac:dyDescent="0.25">
      <c r="A54" s="26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SUM(OSRRefD22_9x_0)</f>
        <v>0</v>
      </c>
      <c r="E54" s="1"/>
      <c r="F54" s="5">
        <f t="shared" si="38"/>
        <v>0</v>
      </c>
      <c r="G54" s="1"/>
      <c r="H54" s="1">
        <f>SUM(OSRRefH22_9x_0)</f>
        <v>1367.16</v>
      </c>
      <c r="I54" s="1"/>
      <c r="J54" s="5">
        <f t="shared" si="39"/>
        <v>1.3671430474262119E-2</v>
      </c>
      <c r="K54" s="1"/>
      <c r="L54" s="1">
        <f t="shared" si="40"/>
        <v>-1367.16</v>
      </c>
      <c r="M54" s="1"/>
      <c r="N54" s="5">
        <f t="shared" si="41"/>
        <v>-1</v>
      </c>
      <c r="O54" s="13"/>
      <c r="P54" s="1">
        <f>SUM(OSRRefP22_9x_0)</f>
        <v>1284.55</v>
      </c>
      <c r="Q54" s="1"/>
      <c r="R54" s="5">
        <f t="shared" si="42"/>
        <v>0</v>
      </c>
      <c r="S54" s="1"/>
      <c r="T54" s="1">
        <f>SUM(OSRRefT22_9x_0)</f>
        <v>8778.7800000000007</v>
      </c>
      <c r="U54" s="1"/>
      <c r="V54" s="5">
        <f t="shared" si="43"/>
        <v>1.160332678451716E-2</v>
      </c>
      <c r="W54" s="1"/>
      <c r="X54" s="1">
        <f t="shared" si="44"/>
        <v>-7494.2300000000005</v>
      </c>
      <c r="Y54" s="1"/>
      <c r="Z54" s="5">
        <f t="shared" si="45"/>
        <v>-0.85367556767569064</v>
      </c>
    </row>
    <row r="55" spans="1:26" s="24" customFormat="1" hidden="1" outlineLevel="2" x14ac:dyDescent="0.25">
      <c r="A55" s="27"/>
      <c r="B55" s="11" t="str">
        <f>CONCATENATE("          ", "6269", " - ", "ENTERTAINMENT")</f>
        <v xml:space="preserve">          6269 - ENTERTAINMENT</v>
      </c>
      <c r="C55" s="11"/>
      <c r="D55" s="7"/>
      <c r="E55" s="2"/>
      <c r="F55" s="6">
        <f t="shared" si="38"/>
        <v>0</v>
      </c>
      <c r="G55" s="2"/>
      <c r="H55" s="7">
        <v>1250</v>
      </c>
      <c r="I55" s="2"/>
      <c r="J55" s="6">
        <f t="shared" si="39"/>
        <v>1.2499845001921975E-2</v>
      </c>
      <c r="K55" s="2"/>
      <c r="L55" s="7">
        <f t="shared" si="40"/>
        <v>-1250</v>
      </c>
      <c r="M55" s="2"/>
      <c r="N55" s="6">
        <f t="shared" si="41"/>
        <v>-1</v>
      </c>
      <c r="O55" s="11"/>
      <c r="P55" s="7"/>
      <c r="Q55" s="2"/>
      <c r="R55" s="6">
        <f t="shared" si="42"/>
        <v>0</v>
      </c>
      <c r="S55" s="2"/>
      <c r="T55" s="7">
        <v>7350</v>
      </c>
      <c r="U55" s="2"/>
      <c r="V55" s="6">
        <f t="shared" si="43"/>
        <v>9.7148409991138999E-3</v>
      </c>
      <c r="W55" s="2"/>
      <c r="X55" s="7">
        <f t="shared" si="44"/>
        <v>-7350</v>
      </c>
      <c r="Y55" s="2"/>
      <c r="Z55" s="6">
        <f t="shared" si="45"/>
        <v>-1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38"/>
        <v>0</v>
      </c>
      <c r="G56" s="2"/>
      <c r="H56" s="7">
        <v>117.16</v>
      </c>
      <c r="I56" s="2"/>
      <c r="J56" s="6">
        <f t="shared" si="39"/>
        <v>1.1715854723401429E-3</v>
      </c>
      <c r="K56" s="2"/>
      <c r="L56" s="7">
        <f t="shared" si="40"/>
        <v>-117.16</v>
      </c>
      <c r="M56" s="2"/>
      <c r="N56" s="6">
        <f t="shared" si="41"/>
        <v>-1</v>
      </c>
      <c r="O56" s="11"/>
      <c r="P56" s="7">
        <v>1284.55</v>
      </c>
      <c r="Q56" s="2"/>
      <c r="R56" s="6">
        <f t="shared" si="42"/>
        <v>0</v>
      </c>
      <c r="S56" s="2"/>
      <c r="T56" s="7">
        <v>1428.78</v>
      </c>
      <c r="U56" s="2"/>
      <c r="V56" s="6">
        <f t="shared" si="43"/>
        <v>1.8884857854032596E-3</v>
      </c>
      <c r="W56" s="2"/>
      <c r="X56" s="7">
        <f t="shared" si="44"/>
        <v>-144.23000000000002</v>
      </c>
      <c r="Y56" s="2"/>
      <c r="Z56" s="6">
        <f t="shared" si="45"/>
        <v>-0.10094626184577053</v>
      </c>
    </row>
    <row r="57" spans="1:26" s="25" customFormat="1" outlineLevel="1" collapsed="1" x14ac:dyDescent="0.25">
      <c r="A57" s="26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198.86</v>
      </c>
      <c r="E57" s="1"/>
      <c r="F57" s="5">
        <f t="shared" ref="F57:F60" si="46">IF(D$12=0,0,D57/D$12)</f>
        <v>0</v>
      </c>
      <c r="G57" s="1"/>
      <c r="H57" s="1">
        <f>SUM(OSRRefH22_10x_0)</f>
        <v>1917.84</v>
      </c>
      <c r="I57" s="1"/>
      <c r="J57" s="5">
        <f t="shared" ref="J57:J60" si="47">IF(H$12=0,0,H57/H$12)</f>
        <v>1.9178162190788831E-2</v>
      </c>
      <c r="K57" s="1"/>
      <c r="L57" s="1">
        <f t="shared" ref="L57:L60" si="48">+D57-H57</f>
        <v>-1718.98</v>
      </c>
      <c r="M57" s="1"/>
      <c r="N57" s="5">
        <f t="shared" ref="N57:N60" si="49">IF(H57=0,0,L57/H57)</f>
        <v>-0.89631043256997456</v>
      </c>
      <c r="O57" s="13"/>
      <c r="P57" s="1">
        <f>SUM(OSRRefP22_10x_0)</f>
        <v>476.33</v>
      </c>
      <c r="Q57" s="1"/>
      <c r="R57" s="5">
        <f t="shared" ref="R57:R60" si="50">IF(P$12=0,0,P57/P$12)</f>
        <v>0</v>
      </c>
      <c r="S57" s="1"/>
      <c r="T57" s="1">
        <f>SUM(OSRRefT22_10x_0)</f>
        <v>13767.53</v>
      </c>
      <c r="U57" s="1"/>
      <c r="V57" s="5">
        <f t="shared" ref="V57:V60" si="51">IF(T$12=0,0,T57/T$12)</f>
        <v>1.8197192503473552E-2</v>
      </c>
      <c r="W57" s="1"/>
      <c r="X57" s="1">
        <f t="shared" ref="X57:X60" si="52">+P57-T57</f>
        <v>-13291.2</v>
      </c>
      <c r="Y57" s="1"/>
      <c r="Z57" s="5">
        <f t="shared" ref="Z57:Z60" si="53">IF(T57=0,0,X57/T57)</f>
        <v>-0.96540192757887577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46"/>
        <v>0</v>
      </c>
      <c r="G58" s="2"/>
      <c r="H58" s="7"/>
      <c r="I58" s="2"/>
      <c r="J58" s="6">
        <f t="shared" si="47"/>
        <v>0</v>
      </c>
      <c r="K58" s="2"/>
      <c r="L58" s="7">
        <f t="shared" si="48"/>
        <v>0</v>
      </c>
      <c r="M58" s="2"/>
      <c r="N58" s="6">
        <f t="shared" si="49"/>
        <v>0</v>
      </c>
      <c r="O58" s="11"/>
      <c r="P58" s="7"/>
      <c r="Q58" s="2"/>
      <c r="R58" s="6">
        <f t="shared" si="50"/>
        <v>0</v>
      </c>
      <c r="S58" s="2"/>
      <c r="T58" s="7">
        <v>2623.85</v>
      </c>
      <c r="U58" s="2"/>
      <c r="V58" s="6">
        <f t="shared" si="51"/>
        <v>3.4680660619761912E-3</v>
      </c>
      <c r="W58" s="2"/>
      <c r="X58" s="7">
        <f t="shared" si="52"/>
        <v>-2623.85</v>
      </c>
      <c r="Y58" s="2"/>
      <c r="Z58" s="6">
        <f t="shared" si="53"/>
        <v>-1</v>
      </c>
    </row>
    <row r="59" spans="1:26" s="24" customFormat="1" hidden="1" outlineLevel="2" x14ac:dyDescent="0.25">
      <c r="A59" s="27"/>
      <c r="B59" s="11" t="str">
        <f>CONCATENATE("          ", "6373", " - ", "MAINTENANCE CONTRACTS")</f>
        <v xml:space="preserve">          6373 - MAINTENANCE CONTRACTS</v>
      </c>
      <c r="C59" s="11"/>
      <c r="D59" s="7">
        <v>198.86</v>
      </c>
      <c r="E59" s="2"/>
      <c r="F59" s="6">
        <f t="shared" si="46"/>
        <v>0</v>
      </c>
      <c r="G59" s="2"/>
      <c r="H59" s="7">
        <v>1056.04</v>
      </c>
      <c r="I59" s="2"/>
      <c r="J59" s="6">
        <f t="shared" si="47"/>
        <v>1.0560269052663745E-2</v>
      </c>
      <c r="K59" s="2"/>
      <c r="L59" s="7">
        <f t="shared" si="48"/>
        <v>-857.18</v>
      </c>
      <c r="M59" s="2"/>
      <c r="N59" s="6">
        <f t="shared" si="49"/>
        <v>-0.81169273891140481</v>
      </c>
      <c r="O59" s="11"/>
      <c r="P59" s="7">
        <v>476.33</v>
      </c>
      <c r="Q59" s="2"/>
      <c r="R59" s="6">
        <f t="shared" si="50"/>
        <v>0</v>
      </c>
      <c r="S59" s="2"/>
      <c r="T59" s="7">
        <v>1245.08</v>
      </c>
      <c r="U59" s="2"/>
      <c r="V59" s="6">
        <f t="shared" si="51"/>
        <v>1.6456808477791475E-3</v>
      </c>
      <c r="W59" s="2"/>
      <c r="X59" s="7">
        <f t="shared" si="52"/>
        <v>-768.75</v>
      </c>
      <c r="Y59" s="2"/>
      <c r="Z59" s="6">
        <f t="shared" si="53"/>
        <v>-0.61743020528801362</v>
      </c>
    </row>
    <row r="60" spans="1:26" s="24" customFormat="1" hidden="1" outlineLevel="2" x14ac:dyDescent="0.25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7"/>
      <c r="E60" s="2"/>
      <c r="F60" s="6">
        <f t="shared" si="46"/>
        <v>0</v>
      </c>
      <c r="G60" s="2"/>
      <c r="H60" s="7">
        <v>861.8</v>
      </c>
      <c r="I60" s="2"/>
      <c r="J60" s="6">
        <f t="shared" si="47"/>
        <v>8.6178931381250858E-3</v>
      </c>
      <c r="K60" s="2"/>
      <c r="L60" s="7">
        <f t="shared" si="48"/>
        <v>-861.8</v>
      </c>
      <c r="M60" s="2"/>
      <c r="N60" s="6">
        <f t="shared" si="49"/>
        <v>-1</v>
      </c>
      <c r="O60" s="11"/>
      <c r="P60" s="7"/>
      <c r="Q60" s="2"/>
      <c r="R60" s="6">
        <f t="shared" si="50"/>
        <v>0</v>
      </c>
      <c r="S60" s="2"/>
      <c r="T60" s="7">
        <v>9898.6</v>
      </c>
      <c r="U60" s="2"/>
      <c r="V60" s="6">
        <f t="shared" si="51"/>
        <v>1.3083445593718213E-2</v>
      </c>
      <c r="W60" s="2"/>
      <c r="X60" s="7">
        <f t="shared" si="52"/>
        <v>-9898.6</v>
      </c>
      <c r="Y60" s="2"/>
      <c r="Z60" s="6">
        <f t="shared" si="53"/>
        <v>-1</v>
      </c>
    </row>
    <row r="61" spans="1:26" s="25" customFormat="1" outlineLevel="1" collapsed="1" x14ac:dyDescent="0.25">
      <c r="A61" s="26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SUM(OSRRefD22_11x_0)</f>
        <v>0</v>
      </c>
      <c r="E61" s="1"/>
      <c r="F61" s="5">
        <f t="shared" ref="F61:F64" si="54">IF(D$12=0,0,D61/D$12)</f>
        <v>0</v>
      </c>
      <c r="G61" s="1"/>
      <c r="H61" s="1">
        <f>SUM(OSRRefH22_11x_0)</f>
        <v>137.69999999999999</v>
      </c>
      <c r="I61" s="1"/>
      <c r="J61" s="5">
        <f t="shared" ref="J61:J64" si="55">IF(H$12=0,0,H61/H$12)</f>
        <v>1.3769829254117248E-3</v>
      </c>
      <c r="K61" s="1"/>
      <c r="L61" s="1">
        <f t="shared" ref="L61:L64" si="56">+D61-H61</f>
        <v>-137.69999999999999</v>
      </c>
      <c r="M61" s="1"/>
      <c r="N61" s="5">
        <f t="shared" ref="N61:N64" si="57">IF(H61=0,0,L61/H61)</f>
        <v>-1</v>
      </c>
      <c r="O61" s="13"/>
      <c r="P61" s="1">
        <f>SUM(OSRRefP22_11x_0)</f>
        <v>0</v>
      </c>
      <c r="Q61" s="1"/>
      <c r="R61" s="5">
        <f t="shared" ref="R61:R64" si="58">IF(P$12=0,0,P61/P$12)</f>
        <v>0</v>
      </c>
      <c r="S61" s="1"/>
      <c r="T61" s="1">
        <f>SUM(OSRRefT22_11x_0)</f>
        <v>1621.15</v>
      </c>
      <c r="U61" s="1"/>
      <c r="V61" s="5">
        <f t="shared" ref="V61:V64" si="59">IF(T$12=0,0,T61/T$12)</f>
        <v>2.1427502701651022E-3</v>
      </c>
      <c r="W61" s="1"/>
      <c r="X61" s="1">
        <f t="shared" ref="X61:X64" si="60">+P61-T61</f>
        <v>-1621.15</v>
      </c>
      <c r="Y61" s="1"/>
      <c r="Z61" s="5">
        <f t="shared" ref="Z61:Z64" si="61">IF(T61=0,0,X61/T61)</f>
        <v>-1</v>
      </c>
    </row>
    <row r="62" spans="1:26" s="24" customFormat="1" hidden="1" outlineLevel="2" x14ac:dyDescent="0.25">
      <c r="A62" s="27"/>
      <c r="B62" s="11" t="str">
        <f>CONCATENATE("          ", "6283", " - ", "PLANT SERVICE")</f>
        <v xml:space="preserve">          6283 - PLANT SERVICE</v>
      </c>
      <c r="C62" s="11"/>
      <c r="D62" s="7"/>
      <c r="E62" s="2"/>
      <c r="F62" s="6">
        <f t="shared" si="54"/>
        <v>0</v>
      </c>
      <c r="G62" s="2"/>
      <c r="H62" s="7"/>
      <c r="I62" s="2"/>
      <c r="J62" s="6">
        <f t="shared" si="55"/>
        <v>0</v>
      </c>
      <c r="K62" s="2"/>
      <c r="L62" s="7">
        <f t="shared" si="56"/>
        <v>0</v>
      </c>
      <c r="M62" s="2"/>
      <c r="N62" s="6">
        <f t="shared" si="57"/>
        <v>0</v>
      </c>
      <c r="O62" s="11"/>
      <c r="P62" s="7"/>
      <c r="Q62" s="2"/>
      <c r="R62" s="6">
        <f t="shared" si="58"/>
        <v>0</v>
      </c>
      <c r="S62" s="2"/>
      <c r="T62" s="7">
        <v>159</v>
      </c>
      <c r="U62" s="2"/>
      <c r="V62" s="6">
        <f t="shared" si="59"/>
        <v>2.101577848787905E-4</v>
      </c>
      <c r="W62" s="2"/>
      <c r="X62" s="7">
        <f t="shared" si="60"/>
        <v>-159</v>
      </c>
      <c r="Y62" s="2"/>
      <c r="Z62" s="6">
        <f t="shared" si="61"/>
        <v>-1</v>
      </c>
    </row>
    <row r="63" spans="1:26" s="24" customFormat="1" hidden="1" outlineLevel="2" x14ac:dyDescent="0.25">
      <c r="A63" s="27"/>
      <c r="B63" s="11" t="str">
        <f>CONCATENATE("          ", "6285", " - ", "JANITORIAL SERVICES")</f>
        <v xml:space="preserve">          6285 - JANITORIAL SERVICES</v>
      </c>
      <c r="C63" s="11"/>
      <c r="D63" s="7"/>
      <c r="E63" s="2"/>
      <c r="F63" s="6">
        <f t="shared" si="54"/>
        <v>0</v>
      </c>
      <c r="G63" s="2"/>
      <c r="H63" s="7"/>
      <c r="I63" s="2"/>
      <c r="J63" s="6">
        <f t="shared" si="55"/>
        <v>0</v>
      </c>
      <c r="K63" s="2"/>
      <c r="L63" s="7">
        <f t="shared" si="56"/>
        <v>0</v>
      </c>
      <c r="M63" s="2"/>
      <c r="N63" s="6">
        <f t="shared" si="57"/>
        <v>0</v>
      </c>
      <c r="O63" s="11"/>
      <c r="P63" s="7"/>
      <c r="Q63" s="2"/>
      <c r="R63" s="6">
        <f t="shared" si="58"/>
        <v>0</v>
      </c>
      <c r="S63" s="2"/>
      <c r="T63" s="7">
        <v>350</v>
      </c>
      <c r="U63" s="2"/>
      <c r="V63" s="6">
        <f t="shared" si="59"/>
        <v>4.6261147614828099E-4</v>
      </c>
      <c r="W63" s="2"/>
      <c r="X63" s="7">
        <f t="shared" si="60"/>
        <v>-350</v>
      </c>
      <c r="Y63" s="2"/>
      <c r="Z63" s="6">
        <f t="shared" si="61"/>
        <v>-1</v>
      </c>
    </row>
    <row r="64" spans="1:26" s="24" customFormat="1" hidden="1" outlineLevel="2" x14ac:dyDescent="0.25">
      <c r="A64" s="27"/>
      <c r="B64" s="11" t="str">
        <f>CONCATENATE("          ", "6286", " - ", "LAUNDRY EXPENSE")</f>
        <v xml:space="preserve">          6286 - LAUNDRY EXPENSE</v>
      </c>
      <c r="C64" s="11"/>
      <c r="D64" s="7"/>
      <c r="E64" s="2"/>
      <c r="F64" s="6">
        <f t="shared" si="54"/>
        <v>0</v>
      </c>
      <c r="G64" s="2"/>
      <c r="H64" s="7">
        <v>137.69999999999999</v>
      </c>
      <c r="I64" s="2"/>
      <c r="J64" s="6">
        <f t="shared" si="55"/>
        <v>1.3769829254117248E-3</v>
      </c>
      <c r="K64" s="2"/>
      <c r="L64" s="7">
        <f t="shared" si="56"/>
        <v>-137.69999999999999</v>
      </c>
      <c r="M64" s="2"/>
      <c r="N64" s="6">
        <f t="shared" si="57"/>
        <v>-1</v>
      </c>
      <c r="O64" s="11"/>
      <c r="P64" s="7"/>
      <c r="Q64" s="2"/>
      <c r="R64" s="6">
        <f t="shared" si="58"/>
        <v>0</v>
      </c>
      <c r="S64" s="2"/>
      <c r="T64" s="7">
        <v>1112.1500000000001</v>
      </c>
      <c r="U64" s="2"/>
      <c r="V64" s="6">
        <f t="shared" si="59"/>
        <v>1.4699810091380306E-3</v>
      </c>
      <c r="W64" s="2"/>
      <c r="X64" s="7">
        <f t="shared" si="60"/>
        <v>-1112.1500000000001</v>
      </c>
      <c r="Y64" s="2"/>
      <c r="Z64" s="6">
        <f t="shared" si="61"/>
        <v>-1</v>
      </c>
    </row>
    <row r="65" spans="1:26" s="25" customFormat="1" outlineLevel="1" collapsed="1" x14ac:dyDescent="0.25">
      <c r="A65" s="26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SUM(OSRRefD22_12x_0)</f>
        <v>0</v>
      </c>
      <c r="E65" s="1"/>
      <c r="F65" s="5">
        <f t="shared" ref="F65:F67" si="62">IF(D$12=0,0,D65/D$12)</f>
        <v>0</v>
      </c>
      <c r="G65" s="1"/>
      <c r="H65" s="1">
        <f>SUM(OSRRefH22_12x_0)</f>
        <v>1174.71</v>
      </c>
      <c r="I65" s="1"/>
      <c r="J65" s="5">
        <f t="shared" ref="J65:J67" si="63">IF(H$12=0,0,H65/H$12)</f>
        <v>1.1746954337766211E-2</v>
      </c>
      <c r="K65" s="1"/>
      <c r="L65" s="1">
        <f t="shared" ref="L65:L67" si="64">+D65-H65</f>
        <v>-1174.71</v>
      </c>
      <c r="M65" s="1"/>
      <c r="N65" s="5">
        <f t="shared" ref="N65:N67" si="65">IF(H65=0,0,L65/H65)</f>
        <v>-1</v>
      </c>
      <c r="O65" s="13"/>
      <c r="P65" s="1">
        <f>SUM(OSRRefP22_12x_0)</f>
        <v>0</v>
      </c>
      <c r="Q65" s="1"/>
      <c r="R65" s="5">
        <f t="shared" ref="R65:R67" si="66">IF(P$12=0,0,P65/P$12)</f>
        <v>0</v>
      </c>
      <c r="S65" s="1"/>
      <c r="T65" s="1">
        <f>SUM(OSRRefT22_12x_0)</f>
        <v>2158.2600000000002</v>
      </c>
      <c r="U65" s="1"/>
      <c r="V65" s="5">
        <f t="shared" ref="V65:V67" si="67">IF(T$12=0,0,T65/T$12)</f>
        <v>2.8526738414622545E-3</v>
      </c>
      <c r="W65" s="1"/>
      <c r="X65" s="1">
        <f t="shared" ref="X65:X67" si="68">+P65-T65</f>
        <v>-2158.2600000000002</v>
      </c>
      <c r="Y65" s="1"/>
      <c r="Z65" s="5">
        <f t="shared" ref="Z65:Z67" si="69">IF(T65=0,0,X65/T65)</f>
        <v>-1</v>
      </c>
    </row>
    <row r="66" spans="1:26" s="24" customFormat="1" hidden="1" outlineLevel="2" x14ac:dyDescent="0.25">
      <c r="A66" s="27"/>
      <c r="B66" s="11" t="str">
        <f>CONCATENATE("          ", "6258", " - ", "MEMBERSHIP DUES")</f>
        <v xml:space="preserve">          6258 - MEMBERSHIP DUES</v>
      </c>
      <c r="C66" s="11"/>
      <c r="D66" s="7"/>
      <c r="E66" s="2"/>
      <c r="F66" s="6">
        <f t="shared" si="62"/>
        <v>0</v>
      </c>
      <c r="G66" s="2"/>
      <c r="H66" s="7">
        <v>978</v>
      </c>
      <c r="I66" s="2"/>
      <c r="J66" s="6">
        <f t="shared" si="63"/>
        <v>9.7798787295037531E-3</v>
      </c>
      <c r="K66" s="2"/>
      <c r="L66" s="7">
        <f t="shared" si="64"/>
        <v>-978</v>
      </c>
      <c r="M66" s="2"/>
      <c r="N66" s="6">
        <f t="shared" si="65"/>
        <v>-1</v>
      </c>
      <c r="O66" s="11"/>
      <c r="P66" s="7"/>
      <c r="Q66" s="2"/>
      <c r="R66" s="6">
        <f t="shared" si="66"/>
        <v>0</v>
      </c>
      <c r="S66" s="2"/>
      <c r="T66" s="7">
        <v>978</v>
      </c>
      <c r="U66" s="2"/>
      <c r="V66" s="6">
        <f t="shared" si="67"/>
        <v>1.292668639065768E-3</v>
      </c>
      <c r="W66" s="2"/>
      <c r="X66" s="7">
        <f t="shared" si="68"/>
        <v>-978</v>
      </c>
      <c r="Y66" s="2"/>
      <c r="Z66" s="6">
        <f t="shared" si="69"/>
        <v>-1</v>
      </c>
    </row>
    <row r="67" spans="1:26" s="24" customFormat="1" hidden="1" outlineLevel="2" x14ac:dyDescent="0.25">
      <c r="A67" s="27"/>
      <c r="B67" s="11" t="str">
        <f>CONCATENATE("          ", "6275", " - ", "SUBSCRIPTIONS")</f>
        <v xml:space="preserve">          6275 - SUBSCRIPTIONS</v>
      </c>
      <c r="C67" s="11"/>
      <c r="D67" s="7"/>
      <c r="E67" s="2"/>
      <c r="F67" s="6">
        <f t="shared" si="62"/>
        <v>0</v>
      </c>
      <c r="G67" s="2"/>
      <c r="H67" s="7">
        <v>196.71</v>
      </c>
      <c r="I67" s="2"/>
      <c r="J67" s="6">
        <f t="shared" si="63"/>
        <v>1.9670756082624573E-3</v>
      </c>
      <c r="K67" s="2"/>
      <c r="L67" s="7">
        <f t="shared" si="64"/>
        <v>-196.71</v>
      </c>
      <c r="M67" s="2"/>
      <c r="N67" s="6">
        <f t="shared" si="65"/>
        <v>-1</v>
      </c>
      <c r="O67" s="11"/>
      <c r="P67" s="7"/>
      <c r="Q67" s="2"/>
      <c r="R67" s="6">
        <f t="shared" si="66"/>
        <v>0</v>
      </c>
      <c r="S67" s="2"/>
      <c r="T67" s="7">
        <v>1180.26</v>
      </c>
      <c r="U67" s="2"/>
      <c r="V67" s="6">
        <f t="shared" si="67"/>
        <v>1.560005202396486E-3</v>
      </c>
      <c r="W67" s="2"/>
      <c r="X67" s="7">
        <f t="shared" si="68"/>
        <v>-1180.26</v>
      </c>
      <c r="Y67" s="2"/>
      <c r="Z67" s="6">
        <f t="shared" si="69"/>
        <v>-1</v>
      </c>
    </row>
    <row r="68" spans="1:26" s="25" customFormat="1" outlineLevel="1" collapsed="1" x14ac:dyDescent="0.25">
      <c r="A68" s="26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SUM(OSRRefD22_13x_0)</f>
        <v>0</v>
      </c>
      <c r="E68" s="1"/>
      <c r="F68" s="5">
        <f t="shared" ref="F68:F74" si="70">IF(D$12=0,0,D68/D$12)</f>
        <v>0</v>
      </c>
      <c r="G68" s="1"/>
      <c r="H68" s="1">
        <f>SUM(OSRRefH22_13x_0)</f>
        <v>506.63</v>
      </c>
      <c r="I68" s="1"/>
      <c r="J68" s="5">
        <f t="shared" ref="J68:J74" si="71">IF(H$12=0,0,H68/H$12)</f>
        <v>5.0662371786589847E-3</v>
      </c>
      <c r="K68" s="1"/>
      <c r="L68" s="1">
        <f t="shared" ref="L68:L74" si="72">+D68-H68</f>
        <v>-506.63</v>
      </c>
      <c r="M68" s="1"/>
      <c r="N68" s="5">
        <f t="shared" ref="N68:N74" si="73">IF(H68=0,0,L68/H68)</f>
        <v>-1</v>
      </c>
      <c r="O68" s="13"/>
      <c r="P68" s="1">
        <f>SUM(OSRRefP22_13x_0)</f>
        <v>0</v>
      </c>
      <c r="Q68" s="1"/>
      <c r="R68" s="5">
        <f t="shared" ref="R68:R74" si="74">IF(P$12=0,0,P68/P$12)</f>
        <v>0</v>
      </c>
      <c r="S68" s="1"/>
      <c r="T68" s="1">
        <f>SUM(OSRRefT22_13x_0)</f>
        <v>6542.2799999999988</v>
      </c>
      <c r="U68" s="1"/>
      <c r="V68" s="5">
        <f t="shared" ref="V68:V74" si="75">IF(T$12=0,0,T68/T$12)</f>
        <v>8.647239451929644E-3</v>
      </c>
      <c r="W68" s="1"/>
      <c r="X68" s="1">
        <f t="shared" ref="X68:X74" si="76">+P68-T68</f>
        <v>-6542.2799999999988</v>
      </c>
      <c r="Y68" s="1"/>
      <c r="Z68" s="5">
        <f t="shared" ref="Z68:Z74" si="77">IF(T68=0,0,X68/T68)</f>
        <v>-1</v>
      </c>
    </row>
    <row r="69" spans="1:26" s="24" customFormat="1" hidden="1" outlineLevel="2" x14ac:dyDescent="0.25">
      <c r="A69" s="27"/>
      <c r="B69" s="11" t="str">
        <f>CONCATENATE("          ", "6239", " - ", "KITCHEN SUPPLIES")</f>
        <v xml:space="preserve">          6239 - KITCHEN SUPPLIES</v>
      </c>
      <c r="C69" s="11"/>
      <c r="D69" s="7"/>
      <c r="E69" s="2"/>
      <c r="F69" s="6">
        <f t="shared" si="70"/>
        <v>0</v>
      </c>
      <c r="G69" s="2"/>
      <c r="H69" s="7">
        <v>227.92</v>
      </c>
      <c r="I69" s="2"/>
      <c r="J69" s="6">
        <f t="shared" si="71"/>
        <v>2.2791717382704452E-3</v>
      </c>
      <c r="K69" s="2"/>
      <c r="L69" s="7">
        <f t="shared" si="72"/>
        <v>-227.92</v>
      </c>
      <c r="M69" s="2"/>
      <c r="N69" s="6">
        <f t="shared" si="73"/>
        <v>-1</v>
      </c>
      <c r="O69" s="11"/>
      <c r="P69" s="7"/>
      <c r="Q69" s="2"/>
      <c r="R69" s="6">
        <f t="shared" si="74"/>
        <v>0</v>
      </c>
      <c r="S69" s="2"/>
      <c r="T69" s="7">
        <v>710.53</v>
      </c>
      <c r="U69" s="2"/>
      <c r="V69" s="6">
        <f t="shared" si="75"/>
        <v>9.3914094899325159E-4</v>
      </c>
      <c r="W69" s="2"/>
      <c r="X69" s="7">
        <f t="shared" si="76"/>
        <v>-710.53</v>
      </c>
      <c r="Y69" s="2"/>
      <c r="Z69" s="6">
        <f t="shared" si="77"/>
        <v>-1</v>
      </c>
    </row>
    <row r="70" spans="1:26" s="24" customFormat="1" hidden="1" outlineLevel="2" x14ac:dyDescent="0.25">
      <c r="A70" s="27"/>
      <c r="B70" s="11" t="str">
        <f>CONCATENATE("          ", "6241", " - ", "OFFICE EXPENSE")</f>
        <v xml:space="preserve">          6241 - OFFICE EXPENSE</v>
      </c>
      <c r="C70" s="11"/>
      <c r="D70" s="7"/>
      <c r="E70" s="2"/>
      <c r="F70" s="6">
        <f t="shared" si="70"/>
        <v>0</v>
      </c>
      <c r="G70" s="2"/>
      <c r="H70" s="7">
        <v>25.09</v>
      </c>
      <c r="I70" s="2"/>
      <c r="J70" s="6">
        <f t="shared" si="71"/>
        <v>2.5089688887857791E-4</v>
      </c>
      <c r="K70" s="2"/>
      <c r="L70" s="7">
        <f t="shared" si="72"/>
        <v>-25.09</v>
      </c>
      <c r="M70" s="2"/>
      <c r="N70" s="6">
        <f t="shared" si="73"/>
        <v>-1</v>
      </c>
      <c r="O70" s="11"/>
      <c r="P70" s="7"/>
      <c r="Q70" s="2"/>
      <c r="R70" s="6">
        <f t="shared" si="74"/>
        <v>0</v>
      </c>
      <c r="S70" s="2"/>
      <c r="T70" s="7">
        <v>1597.63</v>
      </c>
      <c r="U70" s="2"/>
      <c r="V70" s="6">
        <f t="shared" si="75"/>
        <v>2.1116627789679377E-3</v>
      </c>
      <c r="W70" s="2"/>
      <c r="X70" s="7">
        <f t="shared" si="76"/>
        <v>-1597.63</v>
      </c>
      <c r="Y70" s="2"/>
      <c r="Z70" s="6">
        <f t="shared" si="77"/>
        <v>-1</v>
      </c>
    </row>
    <row r="71" spans="1:26" s="24" customFormat="1" hidden="1" outlineLevel="2" x14ac:dyDescent="0.25">
      <c r="A71" s="27"/>
      <c r="B71" s="11" t="str">
        <f>CONCATENATE("          ", "6243", " - ", "PAPER SUPPLIES")</f>
        <v xml:space="preserve">          6243 - PAPER SUPPLIES</v>
      </c>
      <c r="C71" s="11"/>
      <c r="D71" s="7"/>
      <c r="E71" s="2"/>
      <c r="F71" s="6">
        <f t="shared" si="70"/>
        <v>0</v>
      </c>
      <c r="G71" s="2"/>
      <c r="H71" s="7">
        <v>253.62</v>
      </c>
      <c r="I71" s="2"/>
      <c r="J71" s="6">
        <f t="shared" si="71"/>
        <v>2.5361685515099611E-3</v>
      </c>
      <c r="K71" s="2"/>
      <c r="L71" s="7">
        <f t="shared" si="72"/>
        <v>-253.62</v>
      </c>
      <c r="M71" s="2"/>
      <c r="N71" s="6">
        <f t="shared" si="73"/>
        <v>-1</v>
      </c>
      <c r="O71" s="11"/>
      <c r="P71" s="7"/>
      <c r="Q71" s="2"/>
      <c r="R71" s="6">
        <f t="shared" si="74"/>
        <v>0</v>
      </c>
      <c r="S71" s="2"/>
      <c r="T71" s="7">
        <v>2167.2199999999998</v>
      </c>
      <c r="U71" s="2"/>
      <c r="V71" s="6">
        <f t="shared" si="75"/>
        <v>2.8645166952516498E-3</v>
      </c>
      <c r="W71" s="2"/>
      <c r="X71" s="7">
        <f t="shared" si="76"/>
        <v>-2167.2199999999998</v>
      </c>
      <c r="Y71" s="2"/>
      <c r="Z71" s="6">
        <f t="shared" si="77"/>
        <v>-1</v>
      </c>
    </row>
    <row r="72" spans="1:26" s="24" customFormat="1" hidden="1" outlineLevel="2" x14ac:dyDescent="0.25">
      <c r="A72" s="27"/>
      <c r="B72" s="11" t="str">
        <f>CONCATENATE("          ", "6245", " - ", "PRINTING")</f>
        <v xml:space="preserve">          6245 - PRINTING</v>
      </c>
      <c r="C72" s="11"/>
      <c r="D72" s="7"/>
      <c r="E72" s="2"/>
      <c r="F72" s="6">
        <f t="shared" si="70"/>
        <v>0</v>
      </c>
      <c r="G72" s="2"/>
      <c r="H72" s="7"/>
      <c r="I72" s="2"/>
      <c r="J72" s="6">
        <f t="shared" si="71"/>
        <v>0</v>
      </c>
      <c r="K72" s="2"/>
      <c r="L72" s="7">
        <f t="shared" si="72"/>
        <v>0</v>
      </c>
      <c r="M72" s="2"/>
      <c r="N72" s="6">
        <f t="shared" si="73"/>
        <v>0</v>
      </c>
      <c r="O72" s="11"/>
      <c r="P72" s="7"/>
      <c r="Q72" s="2"/>
      <c r="R72" s="6">
        <f t="shared" si="74"/>
        <v>0</v>
      </c>
      <c r="S72" s="2"/>
      <c r="T72" s="7">
        <v>22.05</v>
      </c>
      <c r="U72" s="2"/>
      <c r="V72" s="6">
        <f t="shared" si="75"/>
        <v>2.9144522997341704E-5</v>
      </c>
      <c r="W72" s="2"/>
      <c r="X72" s="7">
        <f t="shared" si="76"/>
        <v>-22.05</v>
      </c>
      <c r="Y72" s="2"/>
      <c r="Z72" s="6">
        <f t="shared" si="77"/>
        <v>-1</v>
      </c>
    </row>
    <row r="73" spans="1:26" s="24" customFormat="1" hidden="1" outlineLevel="2" x14ac:dyDescent="0.25">
      <c r="A73" s="27"/>
      <c r="B73" s="11" t="str">
        <f>CONCATENATE("          ", "6247", " - ", "STORE SUPPLIES")</f>
        <v xml:space="preserve">          6247 - STORE SUPPLIES</v>
      </c>
      <c r="C73" s="11"/>
      <c r="D73" s="7"/>
      <c r="E73" s="2"/>
      <c r="F73" s="6">
        <f t="shared" si="70"/>
        <v>0</v>
      </c>
      <c r="G73" s="2"/>
      <c r="H73" s="7"/>
      <c r="I73" s="2"/>
      <c r="J73" s="6">
        <f t="shared" si="71"/>
        <v>0</v>
      </c>
      <c r="K73" s="2"/>
      <c r="L73" s="7">
        <f t="shared" si="72"/>
        <v>0</v>
      </c>
      <c r="M73" s="2"/>
      <c r="N73" s="6">
        <f t="shared" si="73"/>
        <v>0</v>
      </c>
      <c r="O73" s="11"/>
      <c r="P73" s="7"/>
      <c r="Q73" s="2"/>
      <c r="R73" s="6">
        <f t="shared" si="74"/>
        <v>0</v>
      </c>
      <c r="S73" s="2"/>
      <c r="T73" s="7">
        <v>1264.6099999999999</v>
      </c>
      <c r="U73" s="2"/>
      <c r="V73" s="6">
        <f t="shared" si="75"/>
        <v>1.6714945681482215E-3</v>
      </c>
      <c r="W73" s="2"/>
      <c r="X73" s="7">
        <f t="shared" si="76"/>
        <v>-1264.6099999999999</v>
      </c>
      <c r="Y73" s="2"/>
      <c r="Z73" s="6">
        <f t="shared" si="77"/>
        <v>-1</v>
      </c>
    </row>
    <row r="74" spans="1:26" s="24" customFormat="1" hidden="1" outlineLevel="2" x14ac:dyDescent="0.25">
      <c r="A74" s="27"/>
      <c r="B74" s="11" t="str">
        <f>CONCATENATE("          ", "6248", " - ", "UNIFORMS")</f>
        <v xml:space="preserve">          6248 - UNIFORMS</v>
      </c>
      <c r="C74" s="11"/>
      <c r="D74" s="7"/>
      <c r="E74" s="2"/>
      <c r="F74" s="6">
        <f t="shared" si="70"/>
        <v>0</v>
      </c>
      <c r="G74" s="2"/>
      <c r="H74" s="7"/>
      <c r="I74" s="2"/>
      <c r="J74" s="6">
        <f t="shared" si="71"/>
        <v>0</v>
      </c>
      <c r="K74" s="2"/>
      <c r="L74" s="7">
        <f t="shared" si="72"/>
        <v>0</v>
      </c>
      <c r="M74" s="2"/>
      <c r="N74" s="6">
        <f t="shared" si="73"/>
        <v>0</v>
      </c>
      <c r="O74" s="11"/>
      <c r="P74" s="7"/>
      <c r="Q74" s="2"/>
      <c r="R74" s="6">
        <f t="shared" si="74"/>
        <v>0</v>
      </c>
      <c r="S74" s="2"/>
      <c r="T74" s="7">
        <v>780.24</v>
      </c>
      <c r="U74" s="2"/>
      <c r="V74" s="6">
        <f t="shared" si="75"/>
        <v>1.0312799375712422E-3</v>
      </c>
      <c r="W74" s="2"/>
      <c r="X74" s="7">
        <f t="shared" si="76"/>
        <v>-780.24</v>
      </c>
      <c r="Y74" s="2"/>
      <c r="Z74" s="6">
        <f t="shared" si="77"/>
        <v>-1</v>
      </c>
    </row>
    <row r="75" spans="1:26" s="25" customFormat="1" outlineLevel="1" collapsed="1" x14ac:dyDescent="0.25">
      <c r="A75" s="26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SUM(OSRRefD22_14x_0)</f>
        <v>0</v>
      </c>
      <c r="E75" s="1"/>
      <c r="F75" s="5">
        <f t="shared" ref="F75:F78" si="78">IF(D$12=0,0,D75/D$12)</f>
        <v>0</v>
      </c>
      <c r="G75" s="1"/>
      <c r="H75" s="1">
        <f>SUM(OSRRefH22_14x_0)</f>
        <v>156.44999999999999</v>
      </c>
      <c r="I75" s="1"/>
      <c r="J75" s="5">
        <f t="shared" ref="J75:J78" si="79">IF(H$12=0,0,H75/H$12)</f>
        <v>1.5644806004405543E-3</v>
      </c>
      <c r="K75" s="1"/>
      <c r="L75" s="1">
        <f t="shared" ref="L75:L78" si="80">+D75-H75</f>
        <v>-156.44999999999999</v>
      </c>
      <c r="M75" s="1"/>
      <c r="N75" s="5">
        <f t="shared" ref="N75:N78" si="81">IF(H75=0,0,L75/H75)</f>
        <v>-1</v>
      </c>
      <c r="O75" s="13"/>
      <c r="P75" s="1">
        <f>SUM(OSRRefP22_14x_0)</f>
        <v>250.87</v>
      </c>
      <c r="Q75" s="1"/>
      <c r="R75" s="5">
        <f t="shared" ref="R75:R78" si="82">IF(P$12=0,0,P75/P$12)</f>
        <v>0</v>
      </c>
      <c r="S75" s="1"/>
      <c r="T75" s="1">
        <f>SUM(OSRRefT22_14x_0)</f>
        <v>853.35</v>
      </c>
      <c r="U75" s="1"/>
      <c r="V75" s="5">
        <f t="shared" ref="V75:V78" si="83">IF(T$12=0,0,T75/T$12)</f>
        <v>1.1279128662032446E-3</v>
      </c>
      <c r="W75" s="1"/>
      <c r="X75" s="1">
        <f t="shared" ref="X75:X78" si="84">+P75-T75</f>
        <v>-602.48</v>
      </c>
      <c r="Y75" s="1"/>
      <c r="Z75" s="5">
        <f t="shared" ref="Z75:Z78" si="85">IF(T75=0,0,X75/T75)</f>
        <v>-0.70601746059647275</v>
      </c>
    </row>
    <row r="76" spans="1:26" s="24" customFormat="1" hidden="1" outlineLevel="2" x14ac:dyDescent="0.25">
      <c r="A76" s="27"/>
      <c r="B76" s="11" t="str">
        <f>CONCATENATE("          ", "6309", " - ", "TELEPHONE")</f>
        <v xml:space="preserve">          6309 - TELEPHONE</v>
      </c>
      <c r="C76" s="11"/>
      <c r="D76" s="7"/>
      <c r="E76" s="2"/>
      <c r="F76" s="6">
        <f t="shared" si="78"/>
        <v>0</v>
      </c>
      <c r="G76" s="2"/>
      <c r="H76" s="7">
        <v>156.44999999999999</v>
      </c>
      <c r="I76" s="2"/>
      <c r="J76" s="6">
        <f t="shared" si="79"/>
        <v>1.5644806004405543E-3</v>
      </c>
      <c r="K76" s="2"/>
      <c r="L76" s="7">
        <f t="shared" si="80"/>
        <v>-156.44999999999999</v>
      </c>
      <c r="M76" s="2"/>
      <c r="N76" s="6">
        <f t="shared" si="81"/>
        <v>-1</v>
      </c>
      <c r="O76" s="11"/>
      <c r="P76" s="7">
        <v>250.87</v>
      </c>
      <c r="Q76" s="2"/>
      <c r="R76" s="6">
        <f t="shared" si="82"/>
        <v>0</v>
      </c>
      <c r="S76" s="2"/>
      <c r="T76" s="7">
        <v>853.35</v>
      </c>
      <c r="U76" s="2"/>
      <c r="V76" s="6">
        <f t="shared" si="83"/>
        <v>1.1279128662032446E-3</v>
      </c>
      <c r="W76" s="2"/>
      <c r="X76" s="7">
        <f t="shared" si="84"/>
        <v>-602.48</v>
      </c>
      <c r="Y76" s="2"/>
      <c r="Z76" s="6">
        <f t="shared" si="85"/>
        <v>-0.70601746059647275</v>
      </c>
    </row>
    <row r="77" spans="1:26" s="25" customFormat="1" outlineLevel="1" collapsed="1" x14ac:dyDescent="0.25">
      <c r="A77" s="26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SUM(OSRRefD22_15x_0)</f>
        <v>0</v>
      </c>
      <c r="E77" s="1"/>
      <c r="F77" s="5">
        <f t="shared" si="78"/>
        <v>0</v>
      </c>
      <c r="G77" s="1"/>
      <c r="H77" s="1">
        <f>SUM(OSRRefH22_15x_0)</f>
        <v>139</v>
      </c>
      <c r="I77" s="1"/>
      <c r="J77" s="5">
        <f t="shared" si="79"/>
        <v>1.3899827642137237E-3</v>
      </c>
      <c r="K77" s="1"/>
      <c r="L77" s="1">
        <f t="shared" si="80"/>
        <v>-139</v>
      </c>
      <c r="M77" s="1"/>
      <c r="N77" s="5">
        <f t="shared" si="81"/>
        <v>-1</v>
      </c>
      <c r="O77" s="13"/>
      <c r="P77" s="1">
        <f>SUM(OSRRefP22_15x_0)</f>
        <v>0</v>
      </c>
      <c r="Q77" s="1"/>
      <c r="R77" s="5">
        <f t="shared" si="82"/>
        <v>0</v>
      </c>
      <c r="S77" s="1"/>
      <c r="T77" s="1">
        <f>SUM(OSRRefT22_15x_0)</f>
        <v>279.95</v>
      </c>
      <c r="U77" s="1"/>
      <c r="V77" s="5">
        <f t="shared" si="83"/>
        <v>3.7002309356488932E-4</v>
      </c>
      <c r="W77" s="1"/>
      <c r="X77" s="1">
        <f t="shared" si="84"/>
        <v>-279.95</v>
      </c>
      <c r="Y77" s="1"/>
      <c r="Z77" s="5">
        <f t="shared" si="85"/>
        <v>-1</v>
      </c>
    </row>
    <row r="78" spans="1:26" s="24" customFormat="1" hidden="1" outlineLevel="2" x14ac:dyDescent="0.25">
      <c r="A78" s="27"/>
      <c r="B78" s="11" t="str">
        <f>CONCATENATE("          ", "6376", " - ", "TRAINING")</f>
        <v xml:space="preserve">          6376 - TRAINING</v>
      </c>
      <c r="C78" s="11"/>
      <c r="D78" s="7"/>
      <c r="E78" s="2"/>
      <c r="F78" s="6">
        <f t="shared" si="78"/>
        <v>0</v>
      </c>
      <c r="G78" s="2"/>
      <c r="H78" s="7">
        <v>139</v>
      </c>
      <c r="I78" s="2"/>
      <c r="J78" s="6">
        <f t="shared" si="79"/>
        <v>1.3899827642137237E-3</v>
      </c>
      <c r="K78" s="2"/>
      <c r="L78" s="7">
        <f t="shared" si="80"/>
        <v>-139</v>
      </c>
      <c r="M78" s="2"/>
      <c r="N78" s="6">
        <f t="shared" si="81"/>
        <v>-1</v>
      </c>
      <c r="O78" s="11"/>
      <c r="P78" s="7"/>
      <c r="Q78" s="2"/>
      <c r="R78" s="6">
        <f t="shared" si="82"/>
        <v>0</v>
      </c>
      <c r="S78" s="2"/>
      <c r="T78" s="7">
        <v>279.95</v>
      </c>
      <c r="U78" s="2"/>
      <c r="V78" s="6">
        <f t="shared" si="83"/>
        <v>3.7002309356488932E-4</v>
      </c>
      <c r="W78" s="2"/>
      <c r="X78" s="7">
        <f t="shared" si="84"/>
        <v>-279.95</v>
      </c>
      <c r="Y78" s="2"/>
      <c r="Z78" s="6">
        <f t="shared" si="85"/>
        <v>-1</v>
      </c>
    </row>
    <row r="79" spans="1:26" s="55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25">
      <c r="A80" s="10"/>
      <c r="B80" s="29" t="s">
        <v>0</v>
      </c>
      <c r="C80" s="10"/>
      <c r="D80" s="4">
        <f>SUM(OSRRefD25x_0)</f>
        <v>0</v>
      </c>
      <c r="E80" s="4"/>
      <c r="F80" s="12">
        <f t="shared" ref="F80:F81" si="86">IF(D$12=0,0,D80/D$12)</f>
        <v>0</v>
      </c>
      <c r="G80" s="4"/>
      <c r="H80" s="4">
        <f>SUM(OSRRefH25x_0)</f>
        <v>0</v>
      </c>
      <c r="I80" s="4"/>
      <c r="J80" s="12">
        <f t="shared" ref="J80:J81" si="87">IF(H$12=0,0,H80/H$12)</f>
        <v>0</v>
      </c>
      <c r="K80" s="4"/>
      <c r="L80" s="4">
        <f t="shared" ref="L80:L81" si="88">+D80-H80</f>
        <v>0</v>
      </c>
      <c r="M80" s="4"/>
      <c r="N80" s="12">
        <f t="shared" ref="N80:N81" si="89">IF(H80=0,0,L80/H80)</f>
        <v>0</v>
      </c>
      <c r="O80" s="10"/>
      <c r="P80" s="4">
        <f>SUM(OSRRefP25x_0)</f>
        <v>111.42</v>
      </c>
      <c r="Q80" s="4"/>
      <c r="R80" s="12">
        <f t="shared" ref="R80:R81" si="90">IF(P$12=0,0,P80/P$12)</f>
        <v>0</v>
      </c>
      <c r="S80" s="4"/>
      <c r="T80" s="4">
        <f>SUM(OSRRefT25x_0)</f>
        <v>0</v>
      </c>
      <c r="U80" s="4"/>
      <c r="V80" s="12">
        <f t="shared" ref="V80:V81" si="91">IF(T$12=0,0,T80/T$12)</f>
        <v>0</v>
      </c>
      <c r="W80" s="4"/>
      <c r="X80" s="4">
        <f t="shared" ref="X80:X81" si="92">+P80-T80</f>
        <v>111.42</v>
      </c>
      <c r="Y80" s="4"/>
      <c r="Z80" s="12">
        <f t="shared" ref="Z80:Z81" si="93">IF(T80=0,0,X80/T80)</f>
        <v>0</v>
      </c>
    </row>
    <row r="81" spans="1:26" s="24" customFormat="1" hidden="1" outlineLevel="1" x14ac:dyDescent="0.25">
      <c r="A81" s="44"/>
      <c r="B81" s="11" t="str">
        <f>CONCATENATE("          ", "9150", " - ", "MISC. INCOME")</f>
        <v xml:space="preserve">          9150 - MISC. INCOME</v>
      </c>
      <c r="C81" s="11"/>
      <c r="D81" s="2">
        <f>0</f>
        <v>0</v>
      </c>
      <c r="E81" s="2"/>
      <c r="F81" s="19">
        <f t="shared" si="86"/>
        <v>0</v>
      </c>
      <c r="G81" s="2"/>
      <c r="H81" s="2">
        <f>0</f>
        <v>0</v>
      </c>
      <c r="I81" s="2"/>
      <c r="J81" s="19">
        <f t="shared" si="87"/>
        <v>0</v>
      </c>
      <c r="K81" s="2"/>
      <c r="L81" s="2">
        <f t="shared" si="88"/>
        <v>0</v>
      </c>
      <c r="M81" s="2"/>
      <c r="N81" s="19">
        <f t="shared" si="89"/>
        <v>0</v>
      </c>
      <c r="O81" s="11"/>
      <c r="P81" s="2">
        <f>--111.42</f>
        <v>111.42</v>
      </c>
      <c r="Q81" s="2"/>
      <c r="R81" s="19">
        <f t="shared" si="90"/>
        <v>0</v>
      </c>
      <c r="S81" s="2"/>
      <c r="T81" s="2">
        <f>0</f>
        <v>0</v>
      </c>
      <c r="U81" s="2"/>
      <c r="V81" s="19">
        <f t="shared" si="91"/>
        <v>0</v>
      </c>
      <c r="W81" s="2"/>
      <c r="X81" s="2">
        <f t="shared" si="92"/>
        <v>111.42</v>
      </c>
      <c r="Y81" s="2"/>
      <c r="Z81" s="19">
        <f t="shared" si="93"/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3</v>
      </c>
      <c r="C83" s="28"/>
      <c r="D83" s="20">
        <f>+D20-D22+D80</f>
        <v>-6944.03</v>
      </c>
      <c r="E83" s="14"/>
      <c r="F83" s="21">
        <f>IF(D$12=0,0,D83/D$12)</f>
        <v>0</v>
      </c>
      <c r="G83" s="14"/>
      <c r="H83" s="20">
        <f>+H20-H22+H80</f>
        <v>7617.3899999999994</v>
      </c>
      <c r="I83" s="14"/>
      <c r="J83" s="21">
        <f>IF(H$12=0,0,H83/H$12)</f>
        <v>7.617295545535234E-2</v>
      </c>
      <c r="K83" s="15"/>
      <c r="L83" s="20">
        <f>+D83-H83</f>
        <v>-14561.419999999998</v>
      </c>
      <c r="M83" s="15"/>
      <c r="N83" s="21">
        <f>IF(H83=0,0,L83/H83)</f>
        <v>-1.9116022679684248</v>
      </c>
      <c r="O83" s="29"/>
      <c r="P83" s="20">
        <f>+P20-P22+P80</f>
        <v>-52170.230000000018</v>
      </c>
      <c r="Q83" s="14"/>
      <c r="R83" s="21">
        <f>IF(P$12=0,0,P83/P$12)</f>
        <v>0</v>
      </c>
      <c r="S83" s="14"/>
      <c r="T83" s="20">
        <f>+T20-T22+T80</f>
        <v>143560.38000000006</v>
      </c>
      <c r="U83" s="14"/>
      <c r="V83" s="21">
        <f>IF(T$12=0,0,T83/T$12)</f>
        <v>0.18975051230916623</v>
      </c>
      <c r="W83" s="15"/>
      <c r="X83" s="20">
        <f>+P83-T83</f>
        <v>-195730.61000000007</v>
      </c>
      <c r="Y83" s="15"/>
      <c r="Z83" s="21">
        <f>IF(T83=0,0,X83/T83)</f>
        <v>-1.3634027020547033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/>
      <c r="E85" s="4"/>
      <c r="F85" s="12">
        <f>IF(D$12=0,0,D85/D$12)</f>
        <v>0</v>
      </c>
      <c r="G85" s="4"/>
      <c r="H85" s="4">
        <v>12189.2</v>
      </c>
      <c r="I85" s="4"/>
      <c r="J85" s="12">
        <f>IF(H$12=0,0,H85/H$12)</f>
        <v>0.12189048855794188</v>
      </c>
      <c r="K85" s="4"/>
      <c r="L85" s="4">
        <f>+D85-H85</f>
        <v>-12189.2</v>
      </c>
      <c r="M85" s="4"/>
      <c r="N85" s="12">
        <f>IF(H85=0,0,L85/H85)</f>
        <v>-1</v>
      </c>
      <c r="O85" s="10"/>
      <c r="P85" s="4"/>
      <c r="Q85" s="4"/>
      <c r="R85" s="12">
        <f>IF(P$12=0,0,P85/P$12)</f>
        <v>0</v>
      </c>
      <c r="S85" s="4"/>
      <c r="T85" s="4">
        <v>81715.86</v>
      </c>
      <c r="U85" s="4"/>
      <c r="V85" s="12">
        <f>IF(T$12=0,0,T85/T$12)</f>
        <v>0.10800769891236077</v>
      </c>
      <c r="W85" s="4"/>
      <c r="X85" s="4">
        <f>+P85-T85</f>
        <v>-81715.86</v>
      </c>
      <c r="Y85" s="4"/>
      <c r="Z85" s="12">
        <f>IF(T85=0,0,X85/T85)</f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4</v>
      </c>
      <c r="C87" s="28"/>
      <c r="D87" s="33">
        <f>+D83-D85</f>
        <v>-6944.03</v>
      </c>
      <c r="E87" s="14"/>
      <c r="F87" s="34">
        <f>IF(D$12=0,0,D87/D$12)</f>
        <v>0</v>
      </c>
      <c r="G87" s="14"/>
      <c r="H87" s="33">
        <f>+H83-H85</f>
        <v>-4571.8100000000013</v>
      </c>
      <c r="I87" s="14"/>
      <c r="J87" s="34">
        <f>IF(H$12=0,0,H87/H$12)</f>
        <v>-4.5717533102589539E-2</v>
      </c>
      <c r="K87" s="15"/>
      <c r="L87" s="33">
        <f>D87-H87</f>
        <v>-2372.2199999999984</v>
      </c>
      <c r="M87" s="15"/>
      <c r="N87" s="34">
        <f>IF(H87=0,0,L87/H87)</f>
        <v>0.51887983096410339</v>
      </c>
      <c r="O87" s="29"/>
      <c r="P87" s="33">
        <f>+P83-P85</f>
        <v>-52170.230000000018</v>
      </c>
      <c r="Q87" s="14"/>
      <c r="R87" s="34">
        <f>IF(P$12=0,0,P87/P$12)</f>
        <v>0</v>
      </c>
      <c r="S87" s="14"/>
      <c r="T87" s="33">
        <f>+T83-T85</f>
        <v>61844.520000000062</v>
      </c>
      <c r="U87" s="14"/>
      <c r="V87" s="34">
        <f>IF(T$12=0,0,T87/T$12)</f>
        <v>8.1742813396805475E-2</v>
      </c>
      <c r="W87" s="15"/>
      <c r="X87" s="33">
        <f>P87-T87</f>
        <v>-114014.75000000009</v>
      </c>
      <c r="Y87" s="15"/>
      <c r="Z87" s="34">
        <f>IF(T87=0,0,X87/T87)</f>
        <v>-1.8435707804022081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5</v>
      </c>
      <c r="C90" s="28"/>
      <c r="D90" s="30">
        <f>SUM(D87:D89)</f>
        <v>-6944.03</v>
      </c>
      <c r="E90" s="14"/>
      <c r="F90" s="32">
        <f>IF(D$12=0,0,D90/D$12)</f>
        <v>0</v>
      </c>
      <c r="G90" s="14"/>
      <c r="H90" s="30">
        <f>SUM(H87:H89)</f>
        <v>-4571.8100000000013</v>
      </c>
      <c r="I90" s="14"/>
      <c r="J90" s="32">
        <f>IF(H$12=0,0,H90/H$12)</f>
        <v>-4.5717533102589539E-2</v>
      </c>
      <c r="K90" s="15"/>
      <c r="L90" s="30">
        <f>+D90-H90</f>
        <v>-2372.2199999999984</v>
      </c>
      <c r="M90" s="15"/>
      <c r="N90" s="32">
        <f>IF(H90=0,0,L90/H90)</f>
        <v>0.51887983096410339</v>
      </c>
      <c r="O90" s="29"/>
      <c r="P90" s="30">
        <f>SUM(P87:P89)</f>
        <v>-52170.230000000018</v>
      </c>
      <c r="Q90" s="14"/>
      <c r="R90" s="32">
        <f>IF(P$12=0,0,P90/P$12)</f>
        <v>0</v>
      </c>
      <c r="S90" s="14"/>
      <c r="T90" s="30">
        <f>SUM(T87:T89)</f>
        <v>61844.520000000062</v>
      </c>
      <c r="U90" s="14"/>
      <c r="V90" s="32">
        <f>IF(T$12=0,0,T90/T$12)</f>
        <v>8.1742813396805475E-2</v>
      </c>
      <c r="W90" s="15"/>
      <c r="X90" s="30">
        <f>+P90-T90</f>
        <v>-114014.75000000009</v>
      </c>
      <c r="Y90" s="15"/>
      <c r="Z90" s="32">
        <f>IF(T90=0,0,X90/T90)</f>
        <v>-1.8435707804022081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8">
        <v>44209.522117476852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61" t="s">
        <v>313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7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","420", " - ", "Catering")</f>
        <v>Department 420 - Catering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62378.23</v>
      </c>
      <c r="E12" s="4"/>
      <c r="F12" s="12"/>
      <c r="G12" s="4"/>
      <c r="H12" s="4">
        <f>SUM(OSRRefH13x_0)</f>
        <v>48580.84</v>
      </c>
      <c r="I12" s="4"/>
      <c r="J12" s="12"/>
      <c r="K12" s="4"/>
      <c r="L12" s="4">
        <f t="shared" ref="L12:L14" si="0">+D12-H12</f>
        <v>13797.390000000007</v>
      </c>
      <c r="M12" s="4"/>
      <c r="N12" s="12">
        <f t="shared" ref="N12:N14" si="1">IF(H12=0,0,L12/H12)</f>
        <v>0.28400888086743681</v>
      </c>
      <c r="O12" s="10"/>
      <c r="P12" s="4">
        <f>SUM(OSRRefP13x_0)</f>
        <v>148103.39000000001</v>
      </c>
      <c r="Q12" s="4"/>
      <c r="R12" s="12"/>
      <c r="S12" s="4"/>
      <c r="T12" s="4">
        <f>SUM(OSRRefT13x_0)</f>
        <v>107189.09999999999</v>
      </c>
      <c r="U12" s="4"/>
      <c r="V12" s="12"/>
      <c r="W12" s="4"/>
      <c r="X12" s="4">
        <f t="shared" ref="X12:X14" si="2">+P12-T12</f>
        <v>40914.290000000023</v>
      </c>
      <c r="Y12" s="4"/>
      <c r="Z12" s="12">
        <f t="shared" ref="Z12:Z14" si="3">IF(T12=0,0,X12/T12)</f>
        <v>0.38170196409896179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--62378.23</f>
        <v>62378.23</v>
      </c>
      <c r="E13" s="2"/>
      <c r="F13" s="19"/>
      <c r="G13" s="2"/>
      <c r="H13" s="2">
        <f>--48364.96</f>
        <v>48364.959999999999</v>
      </c>
      <c r="I13" s="2"/>
      <c r="J13" s="19"/>
      <c r="K13" s="2"/>
      <c r="L13" s="2">
        <f t="shared" si="0"/>
        <v>14013.270000000004</v>
      </c>
      <c r="M13" s="2"/>
      <c r="N13" s="19">
        <f t="shared" si="1"/>
        <v>0.28974013417978645</v>
      </c>
      <c r="O13" s="11"/>
      <c r="P13" s="2">
        <f>--148103.39</f>
        <v>148103.39000000001</v>
      </c>
      <c r="Q13" s="2"/>
      <c r="R13" s="19"/>
      <c r="S13" s="2"/>
      <c r="T13" s="2">
        <f>--106840.48</f>
        <v>106840.48</v>
      </c>
      <c r="U13" s="2"/>
      <c r="V13" s="19"/>
      <c r="W13" s="2"/>
      <c r="X13" s="2">
        <f t="shared" si="2"/>
        <v>41262.910000000018</v>
      </c>
      <c r="Y13" s="2"/>
      <c r="Z13" s="19">
        <f t="shared" si="3"/>
        <v>0.38621045131957493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0</f>
        <v>0</v>
      </c>
      <c r="E14" s="2"/>
      <c r="F14" s="19"/>
      <c r="G14" s="2"/>
      <c r="H14" s="2">
        <f>--215.88</f>
        <v>215.88</v>
      </c>
      <c r="I14" s="2"/>
      <c r="J14" s="19"/>
      <c r="K14" s="2"/>
      <c r="L14" s="2">
        <f t="shared" si="0"/>
        <v>-215.88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--348.62</f>
        <v>348.62</v>
      </c>
      <c r="U14" s="2"/>
      <c r="V14" s="19"/>
      <c r="W14" s="2"/>
      <c r="X14" s="2">
        <f t="shared" si="2"/>
        <v>-348.62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7" si="4">IF(D$12=0,0,D16/D$12)</f>
        <v>0</v>
      </c>
      <c r="G16" s="4"/>
      <c r="H16" s="4">
        <f>SUM(OSRRefH16x_0)</f>
        <v>175.22</v>
      </c>
      <c r="I16" s="4"/>
      <c r="J16" s="12">
        <f t="shared" ref="J16:J17" si="5">IF(H$12=0,0,H16/H$12)</f>
        <v>3.6067717231731689E-3</v>
      </c>
      <c r="K16" s="4"/>
      <c r="L16" s="4">
        <f t="shared" ref="L16:L17" si="6">+D16-H16</f>
        <v>-175.22</v>
      </c>
      <c r="M16" s="4"/>
      <c r="N16" s="12">
        <f t="shared" ref="N16:N17" si="7">IF(H16=0,0,L16/H16)</f>
        <v>-1</v>
      </c>
      <c r="O16" s="10"/>
      <c r="P16" s="4">
        <f>SUM(OSRRefP16x_0)</f>
        <v>0</v>
      </c>
      <c r="Q16" s="4"/>
      <c r="R16" s="12">
        <f t="shared" ref="R16:R17" si="8">IF(P$12=0,0,P16/P$12)</f>
        <v>0</v>
      </c>
      <c r="S16" s="4"/>
      <c r="T16" s="4">
        <f>SUM(OSRRefT16x_0)</f>
        <v>175.22</v>
      </c>
      <c r="U16" s="4"/>
      <c r="V16" s="12">
        <f t="shared" ref="V16:V17" si="9">IF(T$12=0,0,T16/T$12)</f>
        <v>1.634681138287382E-3</v>
      </c>
      <c r="W16" s="4"/>
      <c r="X16" s="4">
        <f t="shared" ref="X16:X17" si="10">+P16-T16</f>
        <v>-175.22</v>
      </c>
      <c r="Y16" s="4"/>
      <c r="Z16" s="12">
        <f t="shared" ref="Z16:Z17" si="11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4"/>
        <v>0</v>
      </c>
      <c r="G17" s="2"/>
      <c r="H17" s="2">
        <v>175.22</v>
      </c>
      <c r="I17" s="2"/>
      <c r="J17" s="19">
        <f t="shared" si="5"/>
        <v>3.6067717231731689E-3</v>
      </c>
      <c r="K17" s="2"/>
      <c r="L17" s="2">
        <f t="shared" si="6"/>
        <v>-175.22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175.22</v>
      </c>
      <c r="U17" s="2"/>
      <c r="V17" s="19">
        <f t="shared" si="9"/>
        <v>1.634681138287382E-3</v>
      </c>
      <c r="W17" s="2"/>
      <c r="X17" s="2">
        <f t="shared" si="10"/>
        <v>-175.22</v>
      </c>
      <c r="Y17" s="2"/>
      <c r="Z17" s="19">
        <f t="shared" si="11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6</v>
      </c>
      <c r="C19" s="28"/>
      <c r="D19" s="20">
        <f>D12-D16</f>
        <v>62378.23</v>
      </c>
      <c r="E19" s="14"/>
      <c r="F19" s="21">
        <f>IF(D$12=0,0,D19/D$12)</f>
        <v>1</v>
      </c>
      <c r="G19" s="14"/>
      <c r="H19" s="20">
        <f>H12-H16</f>
        <v>48405.619999999995</v>
      </c>
      <c r="I19" s="14"/>
      <c r="J19" s="21">
        <f>IF(H$12=0,0,H19/H$12)</f>
        <v>0.99639322827682686</v>
      </c>
      <c r="K19" s="15"/>
      <c r="L19" s="20">
        <f>+D19-H19</f>
        <v>13972.610000000008</v>
      </c>
      <c r="M19" s="15"/>
      <c r="N19" s="21">
        <f>IF(H19=0,0,L19/H19)</f>
        <v>0.28865677167238041</v>
      </c>
      <c r="O19" s="29"/>
      <c r="P19" s="20">
        <f>P12-P16</f>
        <v>148103.39000000001</v>
      </c>
      <c r="Q19" s="14"/>
      <c r="R19" s="21">
        <f>IF(P$12=0,0,P19/P$12)</f>
        <v>1</v>
      </c>
      <c r="S19" s="14"/>
      <c r="T19" s="20">
        <f>T12-T16</f>
        <v>107013.87999999999</v>
      </c>
      <c r="U19" s="14"/>
      <c r="V19" s="21">
        <f>IF(T$12=0,0,T19/T$12)</f>
        <v>0.99836531886171265</v>
      </c>
      <c r="W19" s="15"/>
      <c r="X19" s="20">
        <f>+P19-T19</f>
        <v>41089.510000000024</v>
      </c>
      <c r="Y19" s="15"/>
      <c r="Z19" s="21">
        <f>IF(T19=0,0,X19/T19)</f>
        <v>0.38396430444349861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9</v>
      </c>
      <c r="C21" s="10"/>
      <c r="D21" s="22">
        <f>SUM(OSRRefD22x_0)</f>
        <v>0</v>
      </c>
      <c r="E21" s="22"/>
      <c r="F21" s="36">
        <f t="shared" ref="F21:F29" si="12">IF(D$12=0,0,D21/D$12)</f>
        <v>0</v>
      </c>
      <c r="G21" s="22"/>
      <c r="H21" s="22">
        <f>SUM(OSRRefH22x_0)</f>
        <v>30632.219999999998</v>
      </c>
      <c r="I21" s="22"/>
      <c r="J21" s="36">
        <f t="shared" ref="J21:J29" si="13">IF(H$12=0,0,H21/H$12)</f>
        <v>0.63054117631560092</v>
      </c>
      <c r="K21" s="4"/>
      <c r="L21" s="22">
        <f t="shared" ref="L21:L29" si="14">+D21-H21</f>
        <v>-30632.219999999998</v>
      </c>
      <c r="M21" s="4"/>
      <c r="N21" s="36">
        <f t="shared" ref="N21:N29" si="15">IF(H21=0,0,L21/H21)</f>
        <v>-1</v>
      </c>
      <c r="O21" s="10"/>
      <c r="P21" s="22">
        <f>SUM(OSRRefP22x_0)</f>
        <v>7.86</v>
      </c>
      <c r="Q21" s="22"/>
      <c r="R21" s="36">
        <f t="shared" ref="R21:R29" si="16">IF(P$12=0,0,P21/P$12)</f>
        <v>5.3071033688020236E-5</v>
      </c>
      <c r="S21" s="22"/>
      <c r="T21" s="22">
        <f>SUM(OSRRefT22x_0)</f>
        <v>110901.16</v>
      </c>
      <c r="U21" s="22"/>
      <c r="V21" s="36">
        <f t="shared" ref="V21:V29" si="17">IF(T$12=0,0,T21/T$12)</f>
        <v>1.0346309466167736</v>
      </c>
      <c r="W21" s="4"/>
      <c r="X21" s="22">
        <f t="shared" ref="X21:X29" si="18">+P21-T21</f>
        <v>-110893.3</v>
      </c>
      <c r="Y21" s="4"/>
      <c r="Z21" s="36">
        <f t="shared" ref="Z21:Z29" si="19">IF(T21=0,0,X21/T21)</f>
        <v>-0.99992912607947471</v>
      </c>
    </row>
    <row r="22" spans="1:26" s="25" customFormat="1" outlineLevel="1" collapsed="1" x14ac:dyDescent="0.25">
      <c r="A22" s="26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6738.38</v>
      </c>
      <c r="I22" s="1"/>
      <c r="J22" s="5">
        <f t="shared" si="13"/>
        <v>0.13870447690900364</v>
      </c>
      <c r="K22" s="1"/>
      <c r="L22" s="1">
        <f t="shared" si="14"/>
        <v>-6738.38</v>
      </c>
      <c r="M22" s="1"/>
      <c r="N22" s="5">
        <f t="shared" si="15"/>
        <v>-1</v>
      </c>
      <c r="O22" s="13"/>
      <c r="P22" s="1">
        <f>SUM(OSRRefP22_0x_0)</f>
        <v>7.86</v>
      </c>
      <c r="Q22" s="1"/>
      <c r="R22" s="5">
        <f t="shared" si="16"/>
        <v>5.3071033688020236E-5</v>
      </c>
      <c r="S22" s="1"/>
      <c r="T22" s="1">
        <f>SUM(OSRRefT22_0x_0)</f>
        <v>21795.899999999998</v>
      </c>
      <c r="U22" s="1"/>
      <c r="V22" s="5">
        <f t="shared" si="17"/>
        <v>0.20334063818056128</v>
      </c>
      <c r="W22" s="1"/>
      <c r="X22" s="1">
        <f t="shared" si="18"/>
        <v>-21788.039999999997</v>
      </c>
      <c r="Y22" s="1"/>
      <c r="Z22" s="5">
        <f t="shared" si="19"/>
        <v>-0.99963938171858002</v>
      </c>
    </row>
    <row r="23" spans="1:26" s="24" customFormat="1" hidden="1" outlineLevel="2" x14ac:dyDescent="0.25">
      <c r="A23" s="27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2"/>
        <v>0</v>
      </c>
      <c r="G23" s="2"/>
      <c r="H23" s="7">
        <v>1656.76</v>
      </c>
      <c r="I23" s="2"/>
      <c r="J23" s="6">
        <f t="shared" si="13"/>
        <v>3.4103156717751278E-2</v>
      </c>
      <c r="K23" s="2"/>
      <c r="L23" s="7">
        <f t="shared" si="14"/>
        <v>-1656.76</v>
      </c>
      <c r="M23" s="2"/>
      <c r="N23" s="6">
        <f t="shared" si="15"/>
        <v>-1</v>
      </c>
      <c r="O23" s="11"/>
      <c r="P23" s="7">
        <v>7.86</v>
      </c>
      <c r="Q23" s="2"/>
      <c r="R23" s="6">
        <f t="shared" si="16"/>
        <v>5.3071033688020236E-5</v>
      </c>
      <c r="S23" s="2"/>
      <c r="T23" s="7">
        <v>6673.61</v>
      </c>
      <c r="U23" s="2"/>
      <c r="V23" s="6">
        <f t="shared" si="17"/>
        <v>6.2260155183689388E-2</v>
      </c>
      <c r="W23" s="2"/>
      <c r="X23" s="7">
        <f t="shared" si="18"/>
        <v>-6665.75</v>
      </c>
      <c r="Y23" s="2"/>
      <c r="Z23" s="6">
        <f t="shared" si="19"/>
        <v>-0.99882222665094311</v>
      </c>
    </row>
    <row r="24" spans="1:26" s="24" customFormat="1" hidden="1" outlineLevel="2" x14ac:dyDescent="0.25">
      <c r="A24" s="27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2"/>
        <v>0</v>
      </c>
      <c r="G24" s="2"/>
      <c r="H24" s="7">
        <v>1472.62</v>
      </c>
      <c r="I24" s="2"/>
      <c r="J24" s="6">
        <f t="shared" si="13"/>
        <v>3.0312773513179271E-2</v>
      </c>
      <c r="K24" s="2"/>
      <c r="L24" s="7">
        <f t="shared" si="14"/>
        <v>-1472.62</v>
      </c>
      <c r="M24" s="2"/>
      <c r="N24" s="6">
        <f t="shared" si="15"/>
        <v>-1</v>
      </c>
      <c r="O24" s="11"/>
      <c r="P24" s="7"/>
      <c r="Q24" s="2"/>
      <c r="R24" s="6">
        <f t="shared" si="16"/>
        <v>0</v>
      </c>
      <c r="S24" s="2"/>
      <c r="T24" s="7">
        <v>4069.89</v>
      </c>
      <c r="U24" s="2"/>
      <c r="V24" s="6">
        <f t="shared" si="17"/>
        <v>3.796925247063368E-2</v>
      </c>
      <c r="W24" s="2"/>
      <c r="X24" s="7">
        <f t="shared" si="18"/>
        <v>-4069.89</v>
      </c>
      <c r="Y24" s="2"/>
      <c r="Z24" s="6">
        <f t="shared" si="19"/>
        <v>-1</v>
      </c>
    </row>
    <row r="25" spans="1:26" s="24" customFormat="1" hidden="1" outlineLevel="2" x14ac:dyDescent="0.25">
      <c r="A25" s="27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2"/>
        <v>0</v>
      </c>
      <c r="G25" s="2"/>
      <c r="H25" s="7">
        <v>160.13999999999999</v>
      </c>
      <c r="I25" s="2"/>
      <c r="J25" s="6">
        <f t="shared" si="13"/>
        <v>3.2963612815258029E-3</v>
      </c>
      <c r="K25" s="2"/>
      <c r="L25" s="7">
        <f t="shared" si="14"/>
        <v>-160.13999999999999</v>
      </c>
      <c r="M25" s="2"/>
      <c r="N25" s="6">
        <f t="shared" si="15"/>
        <v>-1</v>
      </c>
      <c r="O25" s="11"/>
      <c r="P25" s="7"/>
      <c r="Q25" s="2"/>
      <c r="R25" s="6">
        <f t="shared" si="16"/>
        <v>0</v>
      </c>
      <c r="S25" s="2"/>
      <c r="T25" s="7">
        <v>428.74</v>
      </c>
      <c r="U25" s="2"/>
      <c r="V25" s="6">
        <f t="shared" si="17"/>
        <v>3.9998469993684062E-3</v>
      </c>
      <c r="W25" s="2"/>
      <c r="X25" s="7">
        <f t="shared" si="18"/>
        <v>-428.74</v>
      </c>
      <c r="Y25" s="2"/>
      <c r="Z25" s="6">
        <f t="shared" si="19"/>
        <v>-1</v>
      </c>
    </row>
    <row r="26" spans="1:26" s="24" customFormat="1" hidden="1" outlineLevel="2" x14ac:dyDescent="0.25">
      <c r="A26" s="27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2"/>
        <v>0</v>
      </c>
      <c r="G26" s="2"/>
      <c r="H26" s="7">
        <v>98.68</v>
      </c>
      <c r="I26" s="2"/>
      <c r="J26" s="6">
        <f t="shared" si="13"/>
        <v>2.0312534735916466E-3</v>
      </c>
      <c r="K26" s="2"/>
      <c r="L26" s="7">
        <f t="shared" si="14"/>
        <v>-98.68</v>
      </c>
      <c r="M26" s="2"/>
      <c r="N26" s="6">
        <f t="shared" si="15"/>
        <v>-1</v>
      </c>
      <c r="O26" s="11"/>
      <c r="P26" s="7"/>
      <c r="Q26" s="2"/>
      <c r="R26" s="6">
        <f t="shared" si="16"/>
        <v>0</v>
      </c>
      <c r="S26" s="2"/>
      <c r="T26" s="7">
        <v>272.73</v>
      </c>
      <c r="U26" s="2"/>
      <c r="V26" s="6">
        <f t="shared" si="17"/>
        <v>2.5443818447957864E-3</v>
      </c>
      <c r="W26" s="2"/>
      <c r="X26" s="7">
        <f t="shared" si="18"/>
        <v>-272.73</v>
      </c>
      <c r="Y26" s="2"/>
      <c r="Z26" s="6">
        <f t="shared" si="19"/>
        <v>-1</v>
      </c>
    </row>
    <row r="27" spans="1:26" s="24" customFormat="1" hidden="1" outlineLevel="2" x14ac:dyDescent="0.25">
      <c r="A27" s="27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2"/>
        <v>0</v>
      </c>
      <c r="G27" s="2"/>
      <c r="H27" s="7">
        <v>1491.42</v>
      </c>
      <c r="I27" s="2"/>
      <c r="J27" s="6">
        <f t="shared" si="13"/>
        <v>3.0699757352898802E-2</v>
      </c>
      <c r="K27" s="2"/>
      <c r="L27" s="7">
        <f t="shared" si="14"/>
        <v>-1491.42</v>
      </c>
      <c r="M27" s="2"/>
      <c r="N27" s="6">
        <f t="shared" si="15"/>
        <v>-1</v>
      </c>
      <c r="O27" s="11"/>
      <c r="P27" s="7"/>
      <c r="Q27" s="2"/>
      <c r="R27" s="6">
        <f t="shared" si="16"/>
        <v>0</v>
      </c>
      <c r="S27" s="2"/>
      <c r="T27" s="7">
        <v>3845.27</v>
      </c>
      <c r="U27" s="2"/>
      <c r="V27" s="6">
        <f t="shared" si="17"/>
        <v>3.5873703576203182E-2</v>
      </c>
      <c r="W27" s="2"/>
      <c r="X27" s="7">
        <f t="shared" si="18"/>
        <v>-3845.27</v>
      </c>
      <c r="Y27" s="2"/>
      <c r="Z27" s="6">
        <f t="shared" si="19"/>
        <v>-1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1005.42</v>
      </c>
      <c r="I28" s="2"/>
      <c r="J28" s="6">
        <f t="shared" si="13"/>
        <v>2.0695813411213147E-2</v>
      </c>
      <c r="K28" s="2"/>
      <c r="L28" s="7">
        <f t="shared" si="14"/>
        <v>-1005.42</v>
      </c>
      <c r="M28" s="2"/>
      <c r="N28" s="6">
        <f t="shared" si="15"/>
        <v>-1</v>
      </c>
      <c r="O28" s="11"/>
      <c r="P28" s="7"/>
      <c r="Q28" s="2"/>
      <c r="R28" s="6">
        <f t="shared" si="16"/>
        <v>0</v>
      </c>
      <c r="S28" s="2"/>
      <c r="T28" s="7">
        <v>3518.97</v>
      </c>
      <c r="U28" s="2"/>
      <c r="V28" s="6">
        <f t="shared" si="17"/>
        <v>3.2829550765889441E-2</v>
      </c>
      <c r="W28" s="2"/>
      <c r="X28" s="7">
        <f t="shared" si="18"/>
        <v>-3518.97</v>
      </c>
      <c r="Y28" s="2"/>
      <c r="Z28" s="6">
        <f t="shared" si="19"/>
        <v>-1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853.34</v>
      </c>
      <c r="I29" s="2"/>
      <c r="J29" s="6">
        <f t="shared" si="13"/>
        <v>1.7565361158843693E-2</v>
      </c>
      <c r="K29" s="2"/>
      <c r="L29" s="7">
        <f t="shared" si="14"/>
        <v>-853.34</v>
      </c>
      <c r="M29" s="2"/>
      <c r="N29" s="6">
        <f t="shared" si="15"/>
        <v>-1</v>
      </c>
      <c r="O29" s="11"/>
      <c r="P29" s="7"/>
      <c r="Q29" s="2"/>
      <c r="R29" s="6">
        <f t="shared" si="16"/>
        <v>0</v>
      </c>
      <c r="S29" s="2"/>
      <c r="T29" s="7">
        <v>2986.69</v>
      </c>
      <c r="U29" s="2"/>
      <c r="V29" s="6">
        <f t="shared" si="17"/>
        <v>2.7863747339981398E-2</v>
      </c>
      <c r="W29" s="2"/>
      <c r="X29" s="7">
        <f t="shared" si="18"/>
        <v>-2986.69</v>
      </c>
      <c r="Y29" s="2"/>
      <c r="Z29" s="6">
        <f t="shared" si="19"/>
        <v>-1</v>
      </c>
    </row>
    <row r="30" spans="1:26" s="25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0</v>
      </c>
      <c r="E30" s="1"/>
      <c r="F30" s="5">
        <f t="shared" ref="F30:F34" si="20">IF(D$12=0,0,D30/D$12)</f>
        <v>0</v>
      </c>
      <c r="G30" s="1"/>
      <c r="H30" s="1">
        <f>SUM(OSRRefH22_1x_0)</f>
        <v>22023.83</v>
      </c>
      <c r="I30" s="1"/>
      <c r="J30" s="5">
        <f t="shared" ref="J30:J34" si="21">IF(H$12=0,0,H30/H$12)</f>
        <v>0.45334395206011263</v>
      </c>
      <c r="K30" s="1"/>
      <c r="L30" s="1">
        <f t="shared" ref="L30:L34" si="22">+D30-H30</f>
        <v>-22023.83</v>
      </c>
      <c r="M30" s="1"/>
      <c r="N30" s="5">
        <f t="shared" ref="N30:N34" si="23">IF(H30=0,0,L30/H30)</f>
        <v>-1</v>
      </c>
      <c r="O30" s="13"/>
      <c r="P30" s="1">
        <f>SUM(OSRRefP22_1x_0)</f>
        <v>0</v>
      </c>
      <c r="Q30" s="1"/>
      <c r="R30" s="5">
        <f t="shared" ref="R30:R34" si="24">IF(P$12=0,0,P30/P$12)</f>
        <v>0</v>
      </c>
      <c r="S30" s="1"/>
      <c r="T30" s="1">
        <f>SUM(OSRRefT22_1x_0)</f>
        <v>85301.47</v>
      </c>
      <c r="U30" s="1"/>
      <c r="V30" s="5">
        <f t="shared" ref="V30:V34" si="25">IF(T$12=0,0,T30/T$12)</f>
        <v>0.79580358450626054</v>
      </c>
      <c r="W30" s="1"/>
      <c r="X30" s="1">
        <f t="shared" ref="X30:X34" si="26">+P30-T30</f>
        <v>-85301.47</v>
      </c>
      <c r="Y30" s="1"/>
      <c r="Z30" s="5">
        <f t="shared" ref="Z30:Z34" si="27">IF(T30=0,0,X30/T30)</f>
        <v>-1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20"/>
        <v>0</v>
      </c>
      <c r="G31" s="2"/>
      <c r="H31" s="7">
        <v>16234.550000000001</v>
      </c>
      <c r="I31" s="2"/>
      <c r="J31" s="6">
        <f t="shared" si="21"/>
        <v>0.33417598378290703</v>
      </c>
      <c r="K31" s="2"/>
      <c r="L31" s="7">
        <f t="shared" si="22"/>
        <v>-16234.550000000001</v>
      </c>
      <c r="M31" s="2"/>
      <c r="N31" s="6">
        <f t="shared" si="23"/>
        <v>-1</v>
      </c>
      <c r="O31" s="11"/>
      <c r="P31" s="7"/>
      <c r="Q31" s="2"/>
      <c r="R31" s="6">
        <f t="shared" si="24"/>
        <v>0</v>
      </c>
      <c r="S31" s="2"/>
      <c r="T31" s="7">
        <v>59654.82</v>
      </c>
      <c r="U31" s="2"/>
      <c r="V31" s="6">
        <f t="shared" si="25"/>
        <v>0.55653811814820731</v>
      </c>
      <c r="W31" s="2"/>
      <c r="X31" s="7">
        <f t="shared" si="26"/>
        <v>-59654.82</v>
      </c>
      <c r="Y31" s="2"/>
      <c r="Z31" s="6">
        <f t="shared" si="27"/>
        <v>-1</v>
      </c>
    </row>
    <row r="32" spans="1:26" s="24" customFormat="1" hidden="1" outlineLevel="2" x14ac:dyDescent="0.25">
      <c r="A32" s="27"/>
      <c r="B32" s="11" t="str">
        <f>CONCATENATE("          ", "6005", " - ", "TEMPORARY WAGES-HOURLY")</f>
        <v xml:space="preserve">          6005 - TEMPORARY WAGES-HOURLY</v>
      </c>
      <c r="C32" s="11"/>
      <c r="D32" s="7"/>
      <c r="E32" s="2"/>
      <c r="F32" s="6">
        <f t="shared" si="20"/>
        <v>0</v>
      </c>
      <c r="G32" s="2"/>
      <c r="H32" s="7">
        <v>2821.19</v>
      </c>
      <c r="I32" s="2"/>
      <c r="J32" s="6">
        <f t="shared" si="21"/>
        <v>5.8072071211613473E-2</v>
      </c>
      <c r="K32" s="2"/>
      <c r="L32" s="7">
        <f t="shared" si="22"/>
        <v>-2821.19</v>
      </c>
      <c r="M32" s="2"/>
      <c r="N32" s="6">
        <f t="shared" si="23"/>
        <v>-1</v>
      </c>
      <c r="O32" s="11"/>
      <c r="P32" s="7"/>
      <c r="Q32" s="2"/>
      <c r="R32" s="6">
        <f t="shared" si="24"/>
        <v>0</v>
      </c>
      <c r="S32" s="2"/>
      <c r="T32" s="7">
        <v>9386.98</v>
      </c>
      <c r="U32" s="2"/>
      <c r="V32" s="6">
        <f t="shared" si="25"/>
        <v>8.7574016387860332E-2</v>
      </c>
      <c r="W32" s="2"/>
      <c r="X32" s="7">
        <f t="shared" si="26"/>
        <v>-9386.98</v>
      </c>
      <c r="Y32" s="2"/>
      <c r="Z32" s="6">
        <f t="shared" si="27"/>
        <v>-1</v>
      </c>
    </row>
    <row r="33" spans="1:26" s="24" customFormat="1" hidden="1" outlineLevel="2" x14ac:dyDescent="0.25">
      <c r="A33" s="27"/>
      <c r="B33" s="11" t="str">
        <f>CONCATENATE("          ", "6007", " - ", "STUDENT HOURLY")</f>
        <v xml:space="preserve">          6007 - STUDENT HOURLY</v>
      </c>
      <c r="C33" s="11"/>
      <c r="D33" s="7"/>
      <c r="E33" s="2"/>
      <c r="F33" s="6">
        <f t="shared" si="20"/>
        <v>0</v>
      </c>
      <c r="G33" s="2"/>
      <c r="H33" s="7">
        <v>1687.68</v>
      </c>
      <c r="I33" s="2"/>
      <c r="J33" s="6">
        <f t="shared" si="21"/>
        <v>3.4739621628609142E-2</v>
      </c>
      <c r="K33" s="2"/>
      <c r="L33" s="7">
        <f t="shared" si="22"/>
        <v>-1687.68</v>
      </c>
      <c r="M33" s="2"/>
      <c r="N33" s="6">
        <f t="shared" si="23"/>
        <v>-1</v>
      </c>
      <c r="O33" s="11"/>
      <c r="P33" s="7"/>
      <c r="Q33" s="2"/>
      <c r="R33" s="6">
        <f t="shared" si="24"/>
        <v>0</v>
      </c>
      <c r="S33" s="2"/>
      <c r="T33" s="7">
        <v>12452.22</v>
      </c>
      <c r="U33" s="2"/>
      <c r="V33" s="6">
        <f t="shared" si="25"/>
        <v>0.11617058077733651</v>
      </c>
      <c r="W33" s="2"/>
      <c r="X33" s="7">
        <f t="shared" si="26"/>
        <v>-12452.22</v>
      </c>
      <c r="Y33" s="2"/>
      <c r="Z33" s="6">
        <f t="shared" si="27"/>
        <v>-1</v>
      </c>
    </row>
    <row r="34" spans="1:26" s="24" customFormat="1" hidden="1" outlineLevel="2" x14ac:dyDescent="0.25">
      <c r="A34" s="27"/>
      <c r="B34" s="11" t="str">
        <f>CONCATENATE("          ", "6008", " - ", "STUDENT HOURLY-FICA EXEMPT")</f>
        <v xml:space="preserve">          6008 - STUDENT HOURLY-FICA EXEMPT</v>
      </c>
      <c r="C34" s="11"/>
      <c r="D34" s="7"/>
      <c r="E34" s="2"/>
      <c r="F34" s="6">
        <f t="shared" si="20"/>
        <v>0</v>
      </c>
      <c r="G34" s="2"/>
      <c r="H34" s="7">
        <v>1280.4100000000001</v>
      </c>
      <c r="I34" s="2"/>
      <c r="J34" s="6">
        <f t="shared" si="21"/>
        <v>2.635627543698298E-2</v>
      </c>
      <c r="K34" s="2"/>
      <c r="L34" s="7">
        <f t="shared" si="22"/>
        <v>-1280.4100000000001</v>
      </c>
      <c r="M34" s="2"/>
      <c r="N34" s="6">
        <f t="shared" si="23"/>
        <v>-1</v>
      </c>
      <c r="O34" s="11"/>
      <c r="P34" s="7"/>
      <c r="Q34" s="2"/>
      <c r="R34" s="6">
        <f t="shared" si="24"/>
        <v>0</v>
      </c>
      <c r="S34" s="2"/>
      <c r="T34" s="7">
        <v>3807.45</v>
      </c>
      <c r="U34" s="2"/>
      <c r="V34" s="6">
        <f t="shared" si="25"/>
        <v>3.5520869192856366E-2</v>
      </c>
      <c r="W34" s="2"/>
      <c r="X34" s="7">
        <f t="shared" si="26"/>
        <v>-3807.45</v>
      </c>
      <c r="Y34" s="2"/>
      <c r="Z34" s="6">
        <f t="shared" si="27"/>
        <v>-1</v>
      </c>
    </row>
    <row r="35" spans="1:26" s="25" customFormat="1" outlineLevel="1" collapsed="1" x14ac:dyDescent="0.25">
      <c r="A35" s="26"/>
      <c r="B35" s="13" t="str">
        <f>CONCATENATE("     ","Bank/card Fees                                    ")</f>
        <v xml:space="preserve">     Bank/card Fees                                    </v>
      </c>
      <c r="C35" s="13"/>
      <c r="D35" s="1">
        <f>SUM(OSRRefD22_2x_0)</f>
        <v>0</v>
      </c>
      <c r="E35" s="1"/>
      <c r="F35" s="5">
        <f t="shared" ref="F35:F41" si="28">IF(D$12=0,0,D35/D$12)</f>
        <v>0</v>
      </c>
      <c r="G35" s="1"/>
      <c r="H35" s="1">
        <f>SUM(OSRRefH22_2x_0)</f>
        <v>43.37</v>
      </c>
      <c r="I35" s="1"/>
      <c r="J35" s="5">
        <f t="shared" ref="J35:J41" si="29">IF(H$12=0,0,H35/H$12)</f>
        <v>8.9273878343807973E-4</v>
      </c>
      <c r="K35" s="1"/>
      <c r="L35" s="1">
        <f t="shared" ref="L35:L41" si="30">+D35-H35</f>
        <v>-43.37</v>
      </c>
      <c r="M35" s="1"/>
      <c r="N35" s="5">
        <f t="shared" ref="N35:N41" si="31">IF(H35=0,0,L35/H35)</f>
        <v>-1</v>
      </c>
      <c r="O35" s="13"/>
      <c r="P35" s="1">
        <f>SUM(OSRRefP22_2x_0)</f>
        <v>0</v>
      </c>
      <c r="Q35" s="1"/>
      <c r="R35" s="5">
        <f t="shared" ref="R35:R41" si="32">IF(P$12=0,0,P35/P$12)</f>
        <v>0</v>
      </c>
      <c r="S35" s="1"/>
      <c r="T35" s="1">
        <f>SUM(OSRRefT22_2x_0)</f>
        <v>245.96</v>
      </c>
      <c r="U35" s="1"/>
      <c r="V35" s="5">
        <f t="shared" ref="V35:V41" si="33">IF(T$12=0,0,T35/T$12)</f>
        <v>2.2946363016388797E-3</v>
      </c>
      <c r="W35" s="1"/>
      <c r="X35" s="1">
        <f t="shared" ref="X35:X41" si="34">+P35-T35</f>
        <v>-245.96</v>
      </c>
      <c r="Y35" s="1"/>
      <c r="Z35" s="5">
        <f t="shared" ref="Z35:Z41" si="35">IF(T35=0,0,X35/T35)</f>
        <v>-1</v>
      </c>
    </row>
    <row r="36" spans="1:26" s="24" customFormat="1" hidden="1" outlineLevel="2" x14ac:dyDescent="0.25">
      <c r="A36" s="27"/>
      <c r="B36" s="11" t="str">
        <f>CONCATENATE("          ", "6381", " - ", "BANK/CREDIT CARD FEES")</f>
        <v xml:space="preserve">          6381 - BANK/CREDIT CARD FEES</v>
      </c>
      <c r="C36" s="11"/>
      <c r="D36" s="7"/>
      <c r="E36" s="2"/>
      <c r="F36" s="6">
        <f t="shared" si="28"/>
        <v>0</v>
      </c>
      <c r="G36" s="2"/>
      <c r="H36" s="7">
        <v>43.37</v>
      </c>
      <c r="I36" s="2"/>
      <c r="J36" s="6">
        <f t="shared" si="29"/>
        <v>8.9273878343807973E-4</v>
      </c>
      <c r="K36" s="2"/>
      <c r="L36" s="7">
        <f t="shared" si="30"/>
        <v>-43.37</v>
      </c>
      <c r="M36" s="2"/>
      <c r="N36" s="6">
        <f t="shared" si="31"/>
        <v>-1</v>
      </c>
      <c r="O36" s="11"/>
      <c r="P36" s="7"/>
      <c r="Q36" s="2"/>
      <c r="R36" s="6">
        <f t="shared" si="32"/>
        <v>0</v>
      </c>
      <c r="S36" s="2"/>
      <c r="T36" s="7">
        <v>245.96</v>
      </c>
      <c r="U36" s="2"/>
      <c r="V36" s="6">
        <f t="shared" si="33"/>
        <v>2.2946363016388797E-3</v>
      </c>
      <c r="W36" s="2"/>
      <c r="X36" s="7">
        <f t="shared" si="34"/>
        <v>-245.96</v>
      </c>
      <c r="Y36" s="2"/>
      <c r="Z36" s="6">
        <f t="shared" si="35"/>
        <v>-1</v>
      </c>
    </row>
    <row r="37" spans="1:26" s="25" customFormat="1" outlineLevel="1" collapsed="1" x14ac:dyDescent="0.25">
      <c r="A37" s="26"/>
      <c r="B37" s="13" t="str">
        <f>CONCATENATE("     ","Repair and Maintenance                            ")</f>
        <v xml:space="preserve">     Repair and Maintenance                            </v>
      </c>
      <c r="C37" s="13"/>
      <c r="D37" s="1">
        <f>SUM(OSRRefD22_3x_0)</f>
        <v>0</v>
      </c>
      <c r="E37" s="1"/>
      <c r="F37" s="5">
        <f t="shared" si="28"/>
        <v>0</v>
      </c>
      <c r="G37" s="1"/>
      <c r="H37" s="1">
        <f>SUM(OSRRefH22_3x_0)</f>
        <v>0</v>
      </c>
      <c r="I37" s="1"/>
      <c r="J37" s="5">
        <f t="shared" si="29"/>
        <v>0</v>
      </c>
      <c r="K37" s="1"/>
      <c r="L37" s="1">
        <f t="shared" si="30"/>
        <v>0</v>
      </c>
      <c r="M37" s="1"/>
      <c r="N37" s="5">
        <f t="shared" si="31"/>
        <v>0</v>
      </c>
      <c r="O37" s="13"/>
      <c r="P37" s="1">
        <f>SUM(OSRRefP22_3x_0)</f>
        <v>0</v>
      </c>
      <c r="Q37" s="1"/>
      <c r="R37" s="5">
        <f t="shared" si="32"/>
        <v>0</v>
      </c>
      <c r="S37" s="1"/>
      <c r="T37" s="1">
        <f>SUM(OSRRefT22_3x_0)</f>
        <v>1151.21</v>
      </c>
      <c r="U37" s="1"/>
      <c r="V37" s="5">
        <f t="shared" si="33"/>
        <v>1.0739991286427445E-2</v>
      </c>
      <c r="W37" s="1"/>
      <c r="X37" s="1">
        <f t="shared" si="34"/>
        <v>-1151.21</v>
      </c>
      <c r="Y37" s="1"/>
      <c r="Z37" s="5">
        <f t="shared" si="35"/>
        <v>-1</v>
      </c>
    </row>
    <row r="38" spans="1:26" s="24" customFormat="1" hidden="1" outlineLevel="2" x14ac:dyDescent="0.25">
      <c r="A38" s="27"/>
      <c r="B38" s="11" t="str">
        <f>CONCATENATE("          ", "6375", " - ", "OUTSIDE REPAIRS &amp; MAINTENANCE")</f>
        <v xml:space="preserve">          6375 - OUTSIDE REPAIRS &amp; MAINTENANCE</v>
      </c>
      <c r="C38" s="11"/>
      <c r="D38" s="7"/>
      <c r="E38" s="2"/>
      <c r="F38" s="6">
        <f t="shared" si="28"/>
        <v>0</v>
      </c>
      <c r="G38" s="2"/>
      <c r="H38" s="7"/>
      <c r="I38" s="2"/>
      <c r="J38" s="6">
        <f t="shared" si="29"/>
        <v>0</v>
      </c>
      <c r="K38" s="2"/>
      <c r="L38" s="7">
        <f t="shared" si="30"/>
        <v>0</v>
      </c>
      <c r="M38" s="2"/>
      <c r="N38" s="6">
        <f t="shared" si="31"/>
        <v>0</v>
      </c>
      <c r="O38" s="11"/>
      <c r="P38" s="7"/>
      <c r="Q38" s="2"/>
      <c r="R38" s="6">
        <f t="shared" si="32"/>
        <v>0</v>
      </c>
      <c r="S38" s="2"/>
      <c r="T38" s="7">
        <v>1151.21</v>
      </c>
      <c r="U38" s="2"/>
      <c r="V38" s="6">
        <f t="shared" si="33"/>
        <v>1.0739991286427445E-2</v>
      </c>
      <c r="W38" s="2"/>
      <c r="X38" s="7">
        <f t="shared" si="34"/>
        <v>-1151.21</v>
      </c>
      <c r="Y38" s="2"/>
      <c r="Z38" s="6">
        <f t="shared" si="35"/>
        <v>-1</v>
      </c>
    </row>
    <row r="39" spans="1:26" s="25" customFormat="1" outlineLevel="1" collapsed="1" x14ac:dyDescent="0.25">
      <c r="A39" s="26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SUM(OSRRefD22_4x_0)</f>
        <v>0</v>
      </c>
      <c r="E39" s="1"/>
      <c r="F39" s="5">
        <f t="shared" si="28"/>
        <v>0</v>
      </c>
      <c r="G39" s="1"/>
      <c r="H39" s="1">
        <f>SUM(OSRRefH22_4x_0)</f>
        <v>557.49</v>
      </c>
      <c r="I39" s="1"/>
      <c r="J39" s="5">
        <f t="shared" si="29"/>
        <v>1.1475511744959536E-2</v>
      </c>
      <c r="K39" s="1"/>
      <c r="L39" s="1">
        <f t="shared" si="30"/>
        <v>-557.49</v>
      </c>
      <c r="M39" s="1"/>
      <c r="N39" s="5">
        <f t="shared" si="31"/>
        <v>-1</v>
      </c>
      <c r="O39" s="13"/>
      <c r="P39" s="1">
        <f>SUM(OSRRefP22_4x_0)</f>
        <v>0</v>
      </c>
      <c r="Q39" s="1"/>
      <c r="R39" s="5">
        <f t="shared" si="32"/>
        <v>0</v>
      </c>
      <c r="S39" s="1"/>
      <c r="T39" s="1">
        <f>SUM(OSRRefT22_4x_0)</f>
        <v>1137.47</v>
      </c>
      <c r="U39" s="1"/>
      <c r="V39" s="5">
        <f t="shared" si="33"/>
        <v>1.0611806610933389E-2</v>
      </c>
      <c r="W39" s="1"/>
      <c r="X39" s="1">
        <f t="shared" si="34"/>
        <v>-1137.47</v>
      </c>
      <c r="Y39" s="1"/>
      <c r="Z39" s="5">
        <f t="shared" si="35"/>
        <v>-1</v>
      </c>
    </row>
    <row r="40" spans="1:26" s="24" customFormat="1" hidden="1" outlineLevel="2" x14ac:dyDescent="0.25">
      <c r="A40" s="27"/>
      <c r="B40" s="11" t="str">
        <f>CONCATENATE("          ", "6241", " - ", "OFFICE EXPENSE")</f>
        <v xml:space="preserve">          6241 - OFFICE EXPENSE</v>
      </c>
      <c r="C40" s="11"/>
      <c r="D40" s="7"/>
      <c r="E40" s="2"/>
      <c r="F40" s="6">
        <f t="shared" si="28"/>
        <v>0</v>
      </c>
      <c r="G40" s="2"/>
      <c r="H40" s="7">
        <v>334.1</v>
      </c>
      <c r="I40" s="2"/>
      <c r="J40" s="6">
        <f t="shared" si="29"/>
        <v>6.8771968537390468E-3</v>
      </c>
      <c r="K40" s="2"/>
      <c r="L40" s="7">
        <f t="shared" si="30"/>
        <v>-334.1</v>
      </c>
      <c r="M40" s="2"/>
      <c r="N40" s="6">
        <f t="shared" si="31"/>
        <v>-1</v>
      </c>
      <c r="O40" s="11"/>
      <c r="P40" s="7"/>
      <c r="Q40" s="2"/>
      <c r="R40" s="6">
        <f t="shared" si="32"/>
        <v>0</v>
      </c>
      <c r="S40" s="2"/>
      <c r="T40" s="7">
        <v>914.08</v>
      </c>
      <c r="U40" s="2"/>
      <c r="V40" s="6">
        <f t="shared" si="33"/>
        <v>8.5277327638724476E-3</v>
      </c>
      <c r="W40" s="2"/>
      <c r="X40" s="7">
        <f t="shared" si="34"/>
        <v>-914.08</v>
      </c>
      <c r="Y40" s="2"/>
      <c r="Z40" s="6">
        <f t="shared" si="35"/>
        <v>-1</v>
      </c>
    </row>
    <row r="41" spans="1:26" s="24" customFormat="1" hidden="1" outlineLevel="2" x14ac:dyDescent="0.25">
      <c r="A41" s="27"/>
      <c r="B41" s="11" t="str">
        <f>CONCATENATE("          ", "6247", " - ", "STORE SUPPLIES")</f>
        <v xml:space="preserve">          6247 - STORE SUPPLIES</v>
      </c>
      <c r="C41" s="11"/>
      <c r="D41" s="7"/>
      <c r="E41" s="2"/>
      <c r="F41" s="6">
        <f t="shared" si="28"/>
        <v>0</v>
      </c>
      <c r="G41" s="2"/>
      <c r="H41" s="7">
        <v>223.39</v>
      </c>
      <c r="I41" s="2"/>
      <c r="J41" s="6">
        <f t="shared" si="29"/>
        <v>4.5983148912204898E-3</v>
      </c>
      <c r="K41" s="2"/>
      <c r="L41" s="7">
        <f t="shared" si="30"/>
        <v>-223.39</v>
      </c>
      <c r="M41" s="2"/>
      <c r="N41" s="6">
        <f t="shared" si="31"/>
        <v>-1</v>
      </c>
      <c r="O41" s="11"/>
      <c r="P41" s="7"/>
      <c r="Q41" s="2"/>
      <c r="R41" s="6">
        <f t="shared" si="32"/>
        <v>0</v>
      </c>
      <c r="S41" s="2"/>
      <c r="T41" s="7">
        <v>223.39</v>
      </c>
      <c r="U41" s="2"/>
      <c r="V41" s="6">
        <f t="shared" si="33"/>
        <v>2.0840738470609419E-3</v>
      </c>
      <c r="W41" s="2"/>
      <c r="X41" s="7">
        <f t="shared" si="34"/>
        <v>-223.39</v>
      </c>
      <c r="Y41" s="2"/>
      <c r="Z41" s="6">
        <f t="shared" si="35"/>
        <v>-1</v>
      </c>
    </row>
    <row r="42" spans="1:26" s="25" customFormat="1" outlineLevel="1" collapsed="1" x14ac:dyDescent="0.25">
      <c r="A42" s="26"/>
      <c r="B42" s="13" t="str">
        <f>CONCATENATE("     ","Travel                                            ")</f>
        <v xml:space="preserve">     Travel                                            </v>
      </c>
      <c r="C42" s="13"/>
      <c r="D42" s="1">
        <f>SUM(OSRRefD22_5x_0)</f>
        <v>0</v>
      </c>
      <c r="E42" s="1"/>
      <c r="F42" s="5">
        <f t="shared" ref="F42:F43" si="36">IF(D$12=0,0,D42/D$12)</f>
        <v>0</v>
      </c>
      <c r="G42" s="1"/>
      <c r="H42" s="1">
        <f>SUM(OSRRefH22_5x_0)</f>
        <v>1269.1500000000001</v>
      </c>
      <c r="I42" s="1"/>
      <c r="J42" s="5">
        <f t="shared" ref="J42:J43" si="37">IF(H$12=0,0,H42/H$12)</f>
        <v>2.6124496818087133E-2</v>
      </c>
      <c r="K42" s="1"/>
      <c r="L42" s="1">
        <f t="shared" ref="L42:L43" si="38">+D42-H42</f>
        <v>-1269.1500000000001</v>
      </c>
      <c r="M42" s="1"/>
      <c r="N42" s="5">
        <f t="shared" ref="N42:N43" si="39">IF(H42=0,0,L42/H42)</f>
        <v>-1</v>
      </c>
      <c r="O42" s="13"/>
      <c r="P42" s="1">
        <f>SUM(OSRRefP22_5x_0)</f>
        <v>0</v>
      </c>
      <c r="Q42" s="1"/>
      <c r="R42" s="5">
        <f t="shared" ref="R42:R43" si="40">IF(P$12=0,0,P42/P$12)</f>
        <v>0</v>
      </c>
      <c r="S42" s="1"/>
      <c r="T42" s="1">
        <f>SUM(OSRRefT22_5x_0)</f>
        <v>1269.1500000000001</v>
      </c>
      <c r="U42" s="1"/>
      <c r="V42" s="5">
        <f t="shared" ref="V42:V43" si="41">IF(T$12=0,0,T42/T$12)</f>
        <v>1.1840289730952122E-2</v>
      </c>
      <c r="W42" s="1"/>
      <c r="X42" s="1">
        <f t="shared" ref="X42:X43" si="42">+P42-T42</f>
        <v>-1269.1500000000001</v>
      </c>
      <c r="Y42" s="1"/>
      <c r="Z42" s="5">
        <f t="shared" ref="Z42:Z43" si="43">IF(T42=0,0,X42/T42)</f>
        <v>-1</v>
      </c>
    </row>
    <row r="43" spans="1:26" s="24" customFormat="1" hidden="1" outlineLevel="2" x14ac:dyDescent="0.25">
      <c r="A43" s="27"/>
      <c r="B43" s="11" t="str">
        <f>CONCATENATE("          ", "6292", " - ", "TRAVEL/CONFERENCE")</f>
        <v xml:space="preserve">          6292 - TRAVEL/CONFERENCE</v>
      </c>
      <c r="C43" s="11"/>
      <c r="D43" s="7"/>
      <c r="E43" s="2"/>
      <c r="F43" s="6">
        <f t="shared" si="36"/>
        <v>0</v>
      </c>
      <c r="G43" s="2"/>
      <c r="H43" s="7">
        <v>1269.1500000000001</v>
      </c>
      <c r="I43" s="2"/>
      <c r="J43" s="6">
        <f t="shared" si="37"/>
        <v>2.6124496818087133E-2</v>
      </c>
      <c r="K43" s="2"/>
      <c r="L43" s="7">
        <f t="shared" si="38"/>
        <v>-1269.1500000000001</v>
      </c>
      <c r="M43" s="2"/>
      <c r="N43" s="6">
        <f t="shared" si="39"/>
        <v>-1</v>
      </c>
      <c r="O43" s="11"/>
      <c r="P43" s="7"/>
      <c r="Q43" s="2"/>
      <c r="R43" s="6">
        <f t="shared" si="40"/>
        <v>0</v>
      </c>
      <c r="S43" s="2"/>
      <c r="T43" s="7">
        <v>1269.1500000000001</v>
      </c>
      <c r="U43" s="2"/>
      <c r="V43" s="6">
        <f t="shared" si="41"/>
        <v>1.1840289730952122E-2</v>
      </c>
      <c r="W43" s="2"/>
      <c r="X43" s="7">
        <f t="shared" si="42"/>
        <v>-1269.1500000000001</v>
      </c>
      <c r="Y43" s="2"/>
      <c r="Z43" s="6">
        <f t="shared" si="43"/>
        <v>-1</v>
      </c>
    </row>
    <row r="44" spans="1:26" s="55" customFormat="1" x14ac:dyDescent="0.25">
      <c r="A44" s="37"/>
      <c r="B44" s="37"/>
      <c r="C44" s="37"/>
      <c r="D44" s="1"/>
      <c r="E44" s="1"/>
      <c r="F44" s="5"/>
      <c r="G44" s="1"/>
      <c r="H44" s="1"/>
      <c r="I44" s="1"/>
      <c r="J44" s="5"/>
      <c r="K44" s="1"/>
      <c r="L44" s="1"/>
      <c r="M44" s="1"/>
      <c r="N44" s="5"/>
      <c r="O44" s="37"/>
      <c r="P44" s="1"/>
      <c r="Q44" s="1"/>
      <c r="R44" s="5"/>
      <c r="S44" s="1"/>
      <c r="T44" s="1"/>
      <c r="U44" s="1"/>
      <c r="V44" s="5"/>
      <c r="W44" s="1"/>
      <c r="X44" s="1"/>
      <c r="Y44" s="1"/>
      <c r="Z44" s="5"/>
    </row>
    <row r="45" spans="1:26" s="23" customFormat="1" x14ac:dyDescent="0.25">
      <c r="A45" s="10"/>
      <c r="B45" s="29" t="s">
        <v>0</v>
      </c>
      <c r="C45" s="10"/>
      <c r="D45" s="4">
        <f>SUM(0)</f>
        <v>0</v>
      </c>
      <c r="E45" s="4"/>
      <c r="F45" s="12">
        <f>IF(D$12=0,0,D45/D$12)</f>
        <v>0</v>
      </c>
      <c r="G45" s="4"/>
      <c r="H45" s="4">
        <f>SUM(0)</f>
        <v>0</v>
      </c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>
        <f>SUM(0)</f>
        <v>0</v>
      </c>
      <c r="Q45" s="4"/>
      <c r="R45" s="12">
        <f>IF(P$12=0,0,P45/P$12)</f>
        <v>0</v>
      </c>
      <c r="S45" s="4"/>
      <c r="T45" s="4">
        <f>SUM(0)</f>
        <v>0</v>
      </c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25">
      <c r="A47" s="10"/>
      <c r="B47" s="28" t="s">
        <v>3</v>
      </c>
      <c r="C47" s="28"/>
      <c r="D47" s="20">
        <f>+D19-D21+D45</f>
        <v>62378.23</v>
      </c>
      <c r="E47" s="14"/>
      <c r="F47" s="21">
        <f>IF(D$12=0,0,D47/D$12)</f>
        <v>1</v>
      </c>
      <c r="G47" s="14"/>
      <c r="H47" s="20">
        <f>+H19-H21+H45</f>
        <v>17773.399999999998</v>
      </c>
      <c r="I47" s="14"/>
      <c r="J47" s="21">
        <f>IF(H$12=0,0,H47/H$12)</f>
        <v>0.36585205196122583</v>
      </c>
      <c r="K47" s="15"/>
      <c r="L47" s="20">
        <f>+D47-H47</f>
        <v>44604.83</v>
      </c>
      <c r="M47" s="15"/>
      <c r="N47" s="21">
        <f>IF(H47=0,0,L47/H47)</f>
        <v>2.5096396862727453</v>
      </c>
      <c r="O47" s="29"/>
      <c r="P47" s="20">
        <f>+P19-P21+P45</f>
        <v>148095.53000000003</v>
      </c>
      <c r="Q47" s="14"/>
      <c r="R47" s="21">
        <f>IF(P$12=0,0,P47/P$12)</f>
        <v>0.9999469289663121</v>
      </c>
      <c r="S47" s="14"/>
      <c r="T47" s="20">
        <f>+T19-T21+T45</f>
        <v>-3887.2800000000134</v>
      </c>
      <c r="U47" s="14"/>
      <c r="V47" s="21">
        <f>IF(T$12=0,0,T47/T$12)</f>
        <v>-3.6265627755061043E-2</v>
      </c>
      <c r="W47" s="15"/>
      <c r="X47" s="20">
        <f>+P47-T47</f>
        <v>151982.81000000006</v>
      </c>
      <c r="Y47" s="15"/>
      <c r="Z47" s="21">
        <f>IF(T47=0,0,X47/T47)</f>
        <v>-39.097469181535558</v>
      </c>
    </row>
    <row r="48" spans="1:26" x14ac:dyDescent="0.25">
      <c r="A48" s="9"/>
      <c r="B48" s="10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51"/>
      <c r="B49" s="10" t="s">
        <v>13</v>
      </c>
      <c r="C49" s="10"/>
      <c r="D49" s="4">
        <v>13780.53</v>
      </c>
      <c r="E49" s="4"/>
      <c r="F49" s="12">
        <f>IF(D$12=0,0,D49/D$12)</f>
        <v>0.22091890071263645</v>
      </c>
      <c r="G49" s="4"/>
      <c r="H49" s="4">
        <v>5371.03</v>
      </c>
      <c r="I49" s="4"/>
      <c r="J49" s="12">
        <f>IF(H$12=0,0,H49/H$12)</f>
        <v>0.11055860705578578</v>
      </c>
      <c r="K49" s="4"/>
      <c r="L49" s="4">
        <f>+D49-H49</f>
        <v>8409.5</v>
      </c>
      <c r="M49" s="4"/>
      <c r="N49" s="12">
        <f>IF(H49=0,0,L49/H49)</f>
        <v>1.5657145836087307</v>
      </c>
      <c r="O49" s="10"/>
      <c r="P49" s="4">
        <v>27402.26</v>
      </c>
      <c r="Q49" s="4"/>
      <c r="R49" s="12">
        <f>IF(P$12=0,0,P49/P$12)</f>
        <v>0.1850211531282302</v>
      </c>
      <c r="S49" s="4"/>
      <c r="T49" s="4">
        <v>11577.25</v>
      </c>
      <c r="U49" s="4"/>
      <c r="V49" s="12">
        <f>IF(T$12=0,0,T49/T$12)</f>
        <v>0.1080077172025887</v>
      </c>
      <c r="W49" s="4"/>
      <c r="X49" s="4">
        <f>+P49-T49</f>
        <v>15825.009999999998</v>
      </c>
      <c r="Y49" s="4"/>
      <c r="Z49" s="12">
        <f>IF(T49=0,0,X49/T49)</f>
        <v>1.3669057850525814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.75" thickBot="1" x14ac:dyDescent="0.3">
      <c r="A51" s="10"/>
      <c r="B51" s="28" t="s">
        <v>4</v>
      </c>
      <c r="C51" s="28"/>
      <c r="D51" s="33">
        <f>+D47-D49</f>
        <v>48597.700000000004</v>
      </c>
      <c r="E51" s="14"/>
      <c r="F51" s="34">
        <f>IF(D$12=0,0,D51/D$12)</f>
        <v>0.77908109928736358</v>
      </c>
      <c r="G51" s="14"/>
      <c r="H51" s="33">
        <f>+H47-H49</f>
        <v>12402.369999999999</v>
      </c>
      <c r="I51" s="14"/>
      <c r="J51" s="34">
        <f>IF(H$12=0,0,H51/H$12)</f>
        <v>0.25529344490544009</v>
      </c>
      <c r="K51" s="15"/>
      <c r="L51" s="33">
        <f>D51-H51</f>
        <v>36195.33</v>
      </c>
      <c r="M51" s="15"/>
      <c r="N51" s="34">
        <f>IF(H51=0,0,L51/H51)</f>
        <v>2.9184204309337654</v>
      </c>
      <c r="O51" s="29"/>
      <c r="P51" s="33">
        <f>+P47-P49</f>
        <v>120693.27000000003</v>
      </c>
      <c r="Q51" s="14"/>
      <c r="R51" s="34">
        <f>IF(P$12=0,0,P51/P$12)</f>
        <v>0.8149257758380819</v>
      </c>
      <c r="S51" s="14"/>
      <c r="T51" s="33">
        <f>+T47-T49</f>
        <v>-15464.530000000013</v>
      </c>
      <c r="U51" s="14"/>
      <c r="V51" s="34">
        <f>IF(T$12=0,0,T51/T$12)</f>
        <v>-0.14427334495764974</v>
      </c>
      <c r="W51" s="15"/>
      <c r="X51" s="33">
        <f>P51-T51</f>
        <v>136157.80000000005</v>
      </c>
      <c r="Y51" s="15"/>
      <c r="Z51" s="34">
        <f>IF(T51=0,0,X51/T51)</f>
        <v>-8.8045223488848308</v>
      </c>
    </row>
    <row r="52" spans="1:26" ht="15.75" thickTop="1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8" t="s">
        <v>5</v>
      </c>
      <c r="C54" s="28"/>
      <c r="D54" s="30">
        <f>SUM(D51:D53)</f>
        <v>48597.700000000004</v>
      </c>
      <c r="E54" s="14"/>
      <c r="F54" s="32">
        <f>IF(D$12=0,0,D54/D$12)</f>
        <v>0.77908109928736358</v>
      </c>
      <c r="G54" s="14"/>
      <c r="H54" s="30">
        <f>SUM(H51:H53)</f>
        <v>12402.369999999999</v>
      </c>
      <c r="I54" s="14"/>
      <c r="J54" s="32">
        <f>IF(H$12=0,0,H54/H$12)</f>
        <v>0.25529344490544009</v>
      </c>
      <c r="K54" s="15"/>
      <c r="L54" s="30">
        <f>+D54-H54</f>
        <v>36195.33</v>
      </c>
      <c r="M54" s="15"/>
      <c r="N54" s="32">
        <f>IF(H54=0,0,L54/H54)</f>
        <v>2.9184204309337654</v>
      </c>
      <c r="O54" s="29"/>
      <c r="P54" s="30">
        <f>SUM(P51:P53)</f>
        <v>120693.27000000003</v>
      </c>
      <c r="Q54" s="14"/>
      <c r="R54" s="32">
        <f>IF(P$12=0,0,P54/P$12)</f>
        <v>0.8149257758380819</v>
      </c>
      <c r="S54" s="14"/>
      <c r="T54" s="30">
        <f>SUM(T51:T53)</f>
        <v>-15464.530000000013</v>
      </c>
      <c r="U54" s="14"/>
      <c r="V54" s="32">
        <f>IF(T$12=0,0,T54/T$12)</f>
        <v>-0.14427334495764974</v>
      </c>
      <c r="W54" s="15"/>
      <c r="X54" s="30">
        <f>+P54-T54</f>
        <v>136157.80000000005</v>
      </c>
      <c r="Y54" s="15"/>
      <c r="Z54" s="32">
        <f>IF(T54=0,0,X54/T54)</f>
        <v>-8.8045223488848308</v>
      </c>
    </row>
    <row r="55" spans="1:26" ht="15.75" thickTop="1" x14ac:dyDescent="0.25">
      <c r="A55" s="9"/>
      <c r="C55" s="9"/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25">
      <c r="A56" s="9"/>
      <c r="B56" s="58">
        <v>44209.522131331018</v>
      </c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25">
      <c r="A57" s="9"/>
      <c r="B57" s="61" t="s">
        <v>313</v>
      </c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A58" s="9"/>
      <c r="B58" s="57"/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25"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","423", " - ", "Contract Revenue")</f>
        <v>Department 423 - Contract Revenue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-805.48</v>
      </c>
      <c r="U14" s="4"/>
      <c r="V14" s="12">
        <f t="shared" ref="V14:V15" si="5">IF(T$12=0,0,T14/T$12)</f>
        <v>0</v>
      </c>
      <c r="W14" s="4"/>
      <c r="X14" s="4">
        <f t="shared" ref="X14:X15" si="6">+P14-T14</f>
        <v>805.48</v>
      </c>
      <c r="Y14" s="4"/>
      <c r="Z14" s="12">
        <f t="shared" ref="Z14:Z15" si="7">IF(T14=0,0,X14/T14)</f>
        <v>-1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/>
      <c r="Q15" s="2"/>
      <c r="R15" s="19">
        <f t="shared" si="4"/>
        <v>0</v>
      </c>
      <c r="S15" s="2"/>
      <c r="T15" s="2">
        <v>-805.48</v>
      </c>
      <c r="U15" s="2"/>
      <c r="V15" s="19">
        <f t="shared" si="5"/>
        <v>0</v>
      </c>
      <c r="W15" s="2"/>
      <c r="X15" s="2">
        <f t="shared" si="6"/>
        <v>805.48</v>
      </c>
      <c r="Y15" s="2"/>
      <c r="Z15" s="19">
        <f t="shared" si="7"/>
        <v>-1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D12-D14</f>
        <v>0</v>
      </c>
      <c r="E17" s="14"/>
      <c r="F17" s="21">
        <f>IF(D$12=0,0,D17/D$12)</f>
        <v>0</v>
      </c>
      <c r="G17" s="14"/>
      <c r="H17" s="20">
        <f>H12-H14</f>
        <v>0</v>
      </c>
      <c r="I17" s="14"/>
      <c r="J17" s="21">
        <f>IF(H$12=0,0,H17/H$12)</f>
        <v>0</v>
      </c>
      <c r="K17" s="15"/>
      <c r="L17" s="20">
        <f>+D17-H17</f>
        <v>0</v>
      </c>
      <c r="M17" s="15"/>
      <c r="N17" s="21">
        <f>IF(H17=0,0,L17/H17)</f>
        <v>0</v>
      </c>
      <c r="O17" s="29"/>
      <c r="P17" s="20">
        <f>P12-P14</f>
        <v>0</v>
      </c>
      <c r="Q17" s="14"/>
      <c r="R17" s="21">
        <f>IF(P$12=0,0,P17/P$12)</f>
        <v>0</v>
      </c>
      <c r="S17" s="14"/>
      <c r="T17" s="20">
        <f>T12-T14</f>
        <v>805.48</v>
      </c>
      <c r="U17" s="14"/>
      <c r="V17" s="21">
        <f>IF(T$12=0,0,T17/T$12)</f>
        <v>0</v>
      </c>
      <c r="W17" s="15"/>
      <c r="X17" s="20">
        <f>+P17-T17</f>
        <v>-805.48</v>
      </c>
      <c r="Y17" s="15"/>
      <c r="Z17" s="21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2">
        <f>SUM(OSRRefD22x_0)</f>
        <v>191.5</v>
      </c>
      <c r="E19" s="22"/>
      <c r="F19" s="36">
        <f t="shared" ref="F19:F28" si="8">IF(D$12=0,0,D19/D$12)</f>
        <v>0</v>
      </c>
      <c r="G19" s="22"/>
      <c r="H19" s="22">
        <f>SUM(OSRRefH22x_0)</f>
        <v>7544.0199999999995</v>
      </c>
      <c r="I19" s="22"/>
      <c r="J19" s="36">
        <f t="shared" ref="J19:J28" si="9">IF(H$12=0,0,H19/H$12)</f>
        <v>0</v>
      </c>
      <c r="K19" s="4"/>
      <c r="L19" s="22">
        <f t="shared" ref="L19:L28" si="10">+D19-H19</f>
        <v>-7352.5199999999995</v>
      </c>
      <c r="M19" s="4"/>
      <c r="N19" s="36">
        <f t="shared" ref="N19:N28" si="11">IF(H19=0,0,L19/H19)</f>
        <v>-0.97461565584396648</v>
      </c>
      <c r="O19" s="10"/>
      <c r="P19" s="22">
        <f>SUM(OSRRefP22x_0)</f>
        <v>3132.93</v>
      </c>
      <c r="Q19" s="22"/>
      <c r="R19" s="36">
        <f t="shared" ref="R19:R28" si="12">IF(P$12=0,0,P19/P$12)</f>
        <v>0</v>
      </c>
      <c r="S19" s="22"/>
      <c r="T19" s="22">
        <f>SUM(OSRRefT22x_0)</f>
        <v>68975.400000000009</v>
      </c>
      <c r="U19" s="22"/>
      <c r="V19" s="36">
        <f t="shared" ref="V19:V28" si="13">IF(T$12=0,0,T19/T$12)</f>
        <v>0</v>
      </c>
      <c r="W19" s="4"/>
      <c r="X19" s="22">
        <f t="shared" ref="X19:X28" si="14">+P19-T19</f>
        <v>-65842.470000000016</v>
      </c>
      <c r="Y19" s="4"/>
      <c r="Z19" s="36">
        <f t="shared" ref="Z19:Z28" si="15">IF(T19=0,0,X19/T19)</f>
        <v>-0.95457902382588589</v>
      </c>
    </row>
    <row r="20" spans="1:26" s="25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2646.2999999999997</v>
      </c>
      <c r="I20" s="1"/>
      <c r="J20" s="5">
        <f t="shared" si="9"/>
        <v>0</v>
      </c>
      <c r="K20" s="1"/>
      <c r="L20" s="1">
        <f t="shared" si="10"/>
        <v>-2646.2999999999997</v>
      </c>
      <c r="M20" s="1"/>
      <c r="N20" s="5">
        <f t="shared" si="11"/>
        <v>-1</v>
      </c>
      <c r="O20" s="13"/>
      <c r="P20" s="1">
        <f>SUM(OSRRefP22_0x_0)</f>
        <v>2478.73</v>
      </c>
      <c r="Q20" s="1"/>
      <c r="R20" s="5">
        <f t="shared" si="12"/>
        <v>0</v>
      </c>
      <c r="S20" s="1"/>
      <c r="T20" s="1">
        <f>SUM(OSRRefT22_0x_0)</f>
        <v>27456.609999999997</v>
      </c>
      <c r="U20" s="1"/>
      <c r="V20" s="5">
        <f t="shared" si="13"/>
        <v>0</v>
      </c>
      <c r="W20" s="1"/>
      <c r="X20" s="1">
        <f t="shared" si="14"/>
        <v>-24977.879999999997</v>
      </c>
      <c r="Y20" s="1"/>
      <c r="Z20" s="5">
        <f t="shared" si="15"/>
        <v>-0.90972192124228013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7"/>
      <c r="E21" s="2"/>
      <c r="F21" s="6">
        <f t="shared" si="8"/>
        <v>0</v>
      </c>
      <c r="G21" s="2"/>
      <c r="H21" s="7">
        <v>241.11</v>
      </c>
      <c r="I21" s="2"/>
      <c r="J21" s="6">
        <f t="shared" si="9"/>
        <v>0</v>
      </c>
      <c r="K21" s="2"/>
      <c r="L21" s="7">
        <f t="shared" si="10"/>
        <v>-241.11</v>
      </c>
      <c r="M21" s="2"/>
      <c r="N21" s="6">
        <f t="shared" si="11"/>
        <v>-1</v>
      </c>
      <c r="O21" s="11"/>
      <c r="P21" s="7"/>
      <c r="Q21" s="2"/>
      <c r="R21" s="6">
        <f t="shared" si="12"/>
        <v>0</v>
      </c>
      <c r="S21" s="2"/>
      <c r="T21" s="7">
        <v>3789.31</v>
      </c>
      <c r="U21" s="2"/>
      <c r="V21" s="6">
        <f t="shared" si="13"/>
        <v>0</v>
      </c>
      <c r="W21" s="2"/>
      <c r="X21" s="7">
        <f t="shared" si="14"/>
        <v>-3789.31</v>
      </c>
      <c r="Y21" s="2"/>
      <c r="Z21" s="6">
        <f t="shared" si="15"/>
        <v>-1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7"/>
      <c r="E22" s="2"/>
      <c r="F22" s="6">
        <f t="shared" si="8"/>
        <v>0</v>
      </c>
      <c r="G22" s="2"/>
      <c r="H22" s="7">
        <v>25.66</v>
      </c>
      <c r="I22" s="2"/>
      <c r="J22" s="6">
        <f t="shared" si="9"/>
        <v>0</v>
      </c>
      <c r="K22" s="2"/>
      <c r="L22" s="7">
        <f t="shared" si="10"/>
        <v>-25.66</v>
      </c>
      <c r="M22" s="2"/>
      <c r="N22" s="6">
        <f t="shared" si="11"/>
        <v>-1</v>
      </c>
      <c r="O22" s="11"/>
      <c r="P22" s="7"/>
      <c r="Q22" s="2"/>
      <c r="R22" s="6">
        <f t="shared" si="12"/>
        <v>0</v>
      </c>
      <c r="S22" s="2"/>
      <c r="T22" s="7">
        <v>125.1</v>
      </c>
      <c r="U22" s="2"/>
      <c r="V22" s="6">
        <f t="shared" si="13"/>
        <v>0</v>
      </c>
      <c r="W22" s="2"/>
      <c r="X22" s="7">
        <f t="shared" si="14"/>
        <v>-125.1</v>
      </c>
      <c r="Y22" s="2"/>
      <c r="Z22" s="6">
        <f t="shared" si="15"/>
        <v>-1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7"/>
      <c r="E23" s="2"/>
      <c r="F23" s="6">
        <f t="shared" si="8"/>
        <v>0</v>
      </c>
      <c r="G23" s="2"/>
      <c r="H23" s="7">
        <v>1011.43</v>
      </c>
      <c r="I23" s="2"/>
      <c r="J23" s="6">
        <f t="shared" si="9"/>
        <v>0</v>
      </c>
      <c r="K23" s="2"/>
      <c r="L23" s="7">
        <f t="shared" si="10"/>
        <v>-1011.43</v>
      </c>
      <c r="M23" s="2"/>
      <c r="N23" s="6">
        <f t="shared" si="11"/>
        <v>-1</v>
      </c>
      <c r="O23" s="11"/>
      <c r="P23" s="7">
        <v>1868.2</v>
      </c>
      <c r="Q23" s="2"/>
      <c r="R23" s="6">
        <f t="shared" si="12"/>
        <v>0</v>
      </c>
      <c r="S23" s="2"/>
      <c r="T23" s="7">
        <v>6068.58</v>
      </c>
      <c r="U23" s="2"/>
      <c r="V23" s="6">
        <f t="shared" si="13"/>
        <v>0</v>
      </c>
      <c r="W23" s="2"/>
      <c r="X23" s="7">
        <f t="shared" si="14"/>
        <v>-4200.38</v>
      </c>
      <c r="Y23" s="2"/>
      <c r="Z23" s="6">
        <f t="shared" si="15"/>
        <v>-0.69215203556680482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/>
      <c r="E24" s="2"/>
      <c r="F24" s="6">
        <f t="shared" si="8"/>
        <v>0</v>
      </c>
      <c r="G24" s="2"/>
      <c r="H24" s="7">
        <v>19.62</v>
      </c>
      <c r="I24" s="2"/>
      <c r="J24" s="6">
        <f t="shared" si="9"/>
        <v>0</v>
      </c>
      <c r="K24" s="2"/>
      <c r="L24" s="7">
        <f t="shared" si="10"/>
        <v>-19.62</v>
      </c>
      <c r="M24" s="2"/>
      <c r="N24" s="6">
        <f t="shared" si="11"/>
        <v>-1</v>
      </c>
      <c r="O24" s="11"/>
      <c r="P24" s="7"/>
      <c r="Q24" s="2"/>
      <c r="R24" s="6">
        <f t="shared" si="12"/>
        <v>0</v>
      </c>
      <c r="S24" s="2"/>
      <c r="T24" s="7">
        <v>108.15</v>
      </c>
      <c r="U24" s="2"/>
      <c r="V24" s="6">
        <f t="shared" si="13"/>
        <v>0</v>
      </c>
      <c r="W24" s="2"/>
      <c r="X24" s="7">
        <f t="shared" si="14"/>
        <v>-108.15</v>
      </c>
      <c r="Y24" s="2"/>
      <c r="Z24" s="6">
        <f t="shared" si="15"/>
        <v>-1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7"/>
      <c r="E25" s="2"/>
      <c r="F25" s="6">
        <f t="shared" si="8"/>
        <v>0</v>
      </c>
      <c r="G25" s="2"/>
      <c r="H25" s="7">
        <v>514.27</v>
      </c>
      <c r="I25" s="2"/>
      <c r="J25" s="6">
        <f t="shared" si="9"/>
        <v>0</v>
      </c>
      <c r="K25" s="2"/>
      <c r="L25" s="7">
        <f t="shared" si="10"/>
        <v>-514.27</v>
      </c>
      <c r="M25" s="2"/>
      <c r="N25" s="6">
        <f t="shared" si="11"/>
        <v>-1</v>
      </c>
      <c r="O25" s="11"/>
      <c r="P25" s="7">
        <v>610.53</v>
      </c>
      <c r="Q25" s="2"/>
      <c r="R25" s="6">
        <f t="shared" si="12"/>
        <v>0</v>
      </c>
      <c r="S25" s="2"/>
      <c r="T25" s="7">
        <v>3994.94</v>
      </c>
      <c r="U25" s="2"/>
      <c r="V25" s="6">
        <f t="shared" si="13"/>
        <v>0</v>
      </c>
      <c r="W25" s="2"/>
      <c r="X25" s="7">
        <f t="shared" si="14"/>
        <v>-3384.41</v>
      </c>
      <c r="Y25" s="2"/>
      <c r="Z25" s="6">
        <f t="shared" si="15"/>
        <v>-0.84717417533179462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8"/>
        <v>0</v>
      </c>
      <c r="G26" s="2"/>
      <c r="H26" s="7">
        <v>464.78</v>
      </c>
      <c r="I26" s="2"/>
      <c r="J26" s="6">
        <f t="shared" si="9"/>
        <v>0</v>
      </c>
      <c r="K26" s="2"/>
      <c r="L26" s="7">
        <f t="shared" si="10"/>
        <v>-464.78</v>
      </c>
      <c r="M26" s="2"/>
      <c r="N26" s="6">
        <f t="shared" si="11"/>
        <v>-1</v>
      </c>
      <c r="O26" s="11"/>
      <c r="P26" s="7"/>
      <c r="Q26" s="2"/>
      <c r="R26" s="6">
        <f t="shared" si="12"/>
        <v>0</v>
      </c>
      <c r="S26" s="2"/>
      <c r="T26" s="7">
        <v>4383.8100000000004</v>
      </c>
      <c r="U26" s="2"/>
      <c r="V26" s="6">
        <f t="shared" si="13"/>
        <v>0</v>
      </c>
      <c r="W26" s="2"/>
      <c r="X26" s="7">
        <f t="shared" si="14"/>
        <v>-4383.8100000000004</v>
      </c>
      <c r="Y26" s="2"/>
      <c r="Z26" s="6">
        <f t="shared" si="15"/>
        <v>-1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8"/>
        <v>0</v>
      </c>
      <c r="G27" s="2"/>
      <c r="H27" s="7">
        <v>232.08</v>
      </c>
      <c r="I27" s="2"/>
      <c r="J27" s="6">
        <f t="shared" si="9"/>
        <v>0</v>
      </c>
      <c r="K27" s="2"/>
      <c r="L27" s="7">
        <f t="shared" si="10"/>
        <v>-232.08</v>
      </c>
      <c r="M27" s="2"/>
      <c r="N27" s="6">
        <f t="shared" si="11"/>
        <v>-1</v>
      </c>
      <c r="O27" s="11"/>
      <c r="P27" s="7"/>
      <c r="Q27" s="2"/>
      <c r="R27" s="6">
        <f t="shared" si="12"/>
        <v>0</v>
      </c>
      <c r="S27" s="2"/>
      <c r="T27" s="7">
        <v>8119.96</v>
      </c>
      <c r="U27" s="2"/>
      <c r="V27" s="6">
        <f t="shared" si="13"/>
        <v>0</v>
      </c>
      <c r="W27" s="2"/>
      <c r="X27" s="7">
        <f t="shared" si="14"/>
        <v>-8119.96</v>
      </c>
      <c r="Y27" s="2"/>
      <c r="Z27" s="6">
        <f t="shared" si="15"/>
        <v>-1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8"/>
        <v>0</v>
      </c>
      <c r="G28" s="2"/>
      <c r="H28" s="7">
        <v>137.35</v>
      </c>
      <c r="I28" s="2"/>
      <c r="J28" s="6">
        <f t="shared" si="9"/>
        <v>0</v>
      </c>
      <c r="K28" s="2"/>
      <c r="L28" s="7">
        <f t="shared" si="10"/>
        <v>-137.35</v>
      </c>
      <c r="M28" s="2"/>
      <c r="N28" s="6">
        <f t="shared" si="11"/>
        <v>-1</v>
      </c>
      <c r="O28" s="11"/>
      <c r="P28" s="7"/>
      <c r="Q28" s="2"/>
      <c r="R28" s="6">
        <f t="shared" si="12"/>
        <v>0</v>
      </c>
      <c r="S28" s="2"/>
      <c r="T28" s="7">
        <v>866.76</v>
      </c>
      <c r="U28" s="2"/>
      <c r="V28" s="6">
        <f t="shared" si="13"/>
        <v>0</v>
      </c>
      <c r="W28" s="2"/>
      <c r="X28" s="7">
        <f t="shared" si="14"/>
        <v>-866.76</v>
      </c>
      <c r="Y28" s="2"/>
      <c r="Z28" s="6">
        <f t="shared" si="15"/>
        <v>-1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0</v>
      </c>
      <c r="E29" s="1"/>
      <c r="F29" s="5">
        <f t="shared" ref="F29:F38" si="16">IF(D$12=0,0,D29/D$12)</f>
        <v>0</v>
      </c>
      <c r="G29" s="1"/>
      <c r="H29" s="1">
        <f>SUM(OSRRefH22_1x_0)</f>
        <v>4779.93</v>
      </c>
      <c r="I29" s="1"/>
      <c r="J29" s="5">
        <f t="shared" ref="J29:J38" si="17">IF(H$12=0,0,H29/H$12)</f>
        <v>0</v>
      </c>
      <c r="K29" s="1"/>
      <c r="L29" s="1">
        <f t="shared" ref="L29:L38" si="18">+D29-H29</f>
        <v>-4779.93</v>
      </c>
      <c r="M29" s="1"/>
      <c r="N29" s="5">
        <f t="shared" ref="N29:N38" si="19">IF(H29=0,0,L29/H29)</f>
        <v>-1</v>
      </c>
      <c r="O29" s="13"/>
      <c r="P29" s="1">
        <f>SUM(OSRRefP22_1x_0)</f>
        <v>0</v>
      </c>
      <c r="Q29" s="1"/>
      <c r="R29" s="5">
        <f t="shared" ref="R29:R38" si="20">IF(P$12=0,0,P29/P$12)</f>
        <v>0</v>
      </c>
      <c r="S29" s="1"/>
      <c r="T29" s="1">
        <f>SUM(OSRRefT22_1x_0)</f>
        <v>27879.11</v>
      </c>
      <c r="U29" s="1"/>
      <c r="V29" s="5">
        <f t="shared" ref="V29:V38" si="21">IF(T$12=0,0,T29/T$12)</f>
        <v>0</v>
      </c>
      <c r="W29" s="1"/>
      <c r="X29" s="1">
        <f t="shared" ref="X29:X38" si="22">+P29-T29</f>
        <v>-27879.11</v>
      </c>
      <c r="Y29" s="1"/>
      <c r="Z29" s="5">
        <f t="shared" ref="Z29:Z38" si="23">IF(T29=0,0,X29/T29)</f>
        <v>-1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16"/>
        <v>0</v>
      </c>
      <c r="G30" s="2"/>
      <c r="H30" s="7">
        <v>4779.93</v>
      </c>
      <c r="I30" s="2"/>
      <c r="J30" s="6">
        <f t="shared" si="17"/>
        <v>0</v>
      </c>
      <c r="K30" s="2"/>
      <c r="L30" s="7">
        <f t="shared" si="18"/>
        <v>-4779.93</v>
      </c>
      <c r="M30" s="2"/>
      <c r="N30" s="6">
        <f t="shared" si="19"/>
        <v>-1</v>
      </c>
      <c r="O30" s="11"/>
      <c r="P30" s="7"/>
      <c r="Q30" s="2"/>
      <c r="R30" s="6">
        <f t="shared" si="20"/>
        <v>0</v>
      </c>
      <c r="S30" s="2"/>
      <c r="T30" s="7">
        <v>27879.11</v>
      </c>
      <c r="U30" s="2"/>
      <c r="V30" s="6">
        <f t="shared" si="21"/>
        <v>0</v>
      </c>
      <c r="W30" s="2"/>
      <c r="X30" s="7">
        <f t="shared" si="22"/>
        <v>-27879.11</v>
      </c>
      <c r="Y30" s="2"/>
      <c r="Z30" s="6">
        <f t="shared" si="23"/>
        <v>-1</v>
      </c>
    </row>
    <row r="31" spans="1:26" s="25" customFormat="1" outlineLevel="1" collapsed="1" x14ac:dyDescent="0.25">
      <c r="A31" s="26"/>
      <c r="B31" s="13" t="str">
        <f>CONCATENATE("     ","General                                           ")</f>
        <v xml:space="preserve">     General                                           </v>
      </c>
      <c r="C31" s="13"/>
      <c r="D31" s="1">
        <f>SUM(OSRRefD22_2x_0)</f>
        <v>0</v>
      </c>
      <c r="E31" s="1"/>
      <c r="F31" s="5">
        <f t="shared" si="16"/>
        <v>0</v>
      </c>
      <c r="G31" s="1"/>
      <c r="H31" s="1">
        <f>SUM(OSRRefH22_2x_0)</f>
        <v>0</v>
      </c>
      <c r="I31" s="1"/>
      <c r="J31" s="5">
        <f t="shared" si="17"/>
        <v>0</v>
      </c>
      <c r="K31" s="1"/>
      <c r="L31" s="1">
        <f t="shared" si="18"/>
        <v>0</v>
      </c>
      <c r="M31" s="1"/>
      <c r="N31" s="5">
        <f t="shared" si="19"/>
        <v>0</v>
      </c>
      <c r="O31" s="13"/>
      <c r="P31" s="1">
        <f>SUM(OSRRefP22_2x_0)</f>
        <v>0</v>
      </c>
      <c r="Q31" s="1"/>
      <c r="R31" s="5">
        <f t="shared" si="20"/>
        <v>0</v>
      </c>
      <c r="S31" s="1"/>
      <c r="T31" s="1">
        <f>SUM(OSRRefT22_2x_0)</f>
        <v>2443.65</v>
      </c>
      <c r="U31" s="1"/>
      <c r="V31" s="5">
        <f t="shared" si="21"/>
        <v>0</v>
      </c>
      <c r="W31" s="1"/>
      <c r="X31" s="1">
        <f t="shared" si="22"/>
        <v>-2443.65</v>
      </c>
      <c r="Y31" s="1"/>
      <c r="Z31" s="5">
        <f t="shared" si="23"/>
        <v>-1</v>
      </c>
    </row>
    <row r="32" spans="1:26" s="24" customFormat="1" hidden="1" outlineLevel="2" x14ac:dyDescent="0.25">
      <c r="A32" s="27"/>
      <c r="B32" s="11" t="str">
        <f>CONCATENATE("          ", "6279", " - ", "GENERAL EXPENSE")</f>
        <v xml:space="preserve">          6279 - GENERAL EXPENSE</v>
      </c>
      <c r="C32" s="11"/>
      <c r="D32" s="7"/>
      <c r="E32" s="2"/>
      <c r="F32" s="6">
        <f t="shared" si="16"/>
        <v>0</v>
      </c>
      <c r="G32" s="2"/>
      <c r="H32" s="7"/>
      <c r="I32" s="2"/>
      <c r="J32" s="6">
        <f t="shared" si="17"/>
        <v>0</v>
      </c>
      <c r="K32" s="2"/>
      <c r="L32" s="7">
        <f t="shared" si="18"/>
        <v>0</v>
      </c>
      <c r="M32" s="2"/>
      <c r="N32" s="6">
        <f t="shared" si="19"/>
        <v>0</v>
      </c>
      <c r="O32" s="11"/>
      <c r="P32" s="7"/>
      <c r="Q32" s="2"/>
      <c r="R32" s="6">
        <f t="shared" si="20"/>
        <v>0</v>
      </c>
      <c r="S32" s="2"/>
      <c r="T32" s="7">
        <v>2443.65</v>
      </c>
      <c r="U32" s="2"/>
      <c r="V32" s="6">
        <f t="shared" si="21"/>
        <v>0</v>
      </c>
      <c r="W32" s="2"/>
      <c r="X32" s="7">
        <f t="shared" si="22"/>
        <v>-2443.65</v>
      </c>
      <c r="Y32" s="2"/>
      <c r="Z32" s="6">
        <f t="shared" si="23"/>
        <v>-1</v>
      </c>
    </row>
    <row r="33" spans="1:26" s="25" customFormat="1" outlineLevel="1" collapsed="1" x14ac:dyDescent="0.25">
      <c r="A33" s="26"/>
      <c r="B33" s="13" t="str">
        <f>CONCATENATE("     ","Royalty &amp; Commissions                             ")</f>
        <v xml:space="preserve">     Royalty &amp; Commissions                             </v>
      </c>
      <c r="C33" s="13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0</v>
      </c>
      <c r="I33" s="1"/>
      <c r="J33" s="5">
        <f t="shared" si="17"/>
        <v>0</v>
      </c>
      <c r="K33" s="1"/>
      <c r="L33" s="1">
        <f t="shared" si="18"/>
        <v>0</v>
      </c>
      <c r="M33" s="1"/>
      <c r="N33" s="5">
        <f t="shared" si="19"/>
        <v>0</v>
      </c>
      <c r="O33" s="13"/>
      <c r="P33" s="1">
        <f>SUM(OSRRefP22_3x_0)</f>
        <v>0</v>
      </c>
      <c r="Q33" s="1"/>
      <c r="R33" s="5">
        <f t="shared" si="20"/>
        <v>0</v>
      </c>
      <c r="S33" s="1"/>
      <c r="T33" s="1">
        <f>SUM(OSRRefT22_3x_0)</f>
        <v>10393.31</v>
      </c>
      <c r="U33" s="1"/>
      <c r="V33" s="5">
        <f t="shared" si="21"/>
        <v>0</v>
      </c>
      <c r="W33" s="1"/>
      <c r="X33" s="1">
        <f t="shared" si="22"/>
        <v>-10393.31</v>
      </c>
      <c r="Y33" s="1"/>
      <c r="Z33" s="5">
        <f t="shared" si="23"/>
        <v>-1</v>
      </c>
    </row>
    <row r="34" spans="1:26" s="24" customFormat="1" hidden="1" outlineLevel="2" x14ac:dyDescent="0.25">
      <c r="A34" s="27"/>
      <c r="B34" s="11" t="str">
        <f>CONCATENATE("          ", "6254", " - ", "ROYALTY &amp; COMMISSIONS")</f>
        <v xml:space="preserve">          6254 - ROYALTY &amp; COMMISSIONS</v>
      </c>
      <c r="C34" s="11"/>
      <c r="D34" s="7"/>
      <c r="E34" s="2"/>
      <c r="F34" s="6">
        <f t="shared" si="16"/>
        <v>0</v>
      </c>
      <c r="G34" s="2"/>
      <c r="H34" s="7"/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/>
      <c r="Q34" s="2"/>
      <c r="R34" s="6">
        <f t="shared" si="20"/>
        <v>0</v>
      </c>
      <c r="S34" s="2"/>
      <c r="T34" s="7">
        <v>10393.31</v>
      </c>
      <c r="U34" s="2"/>
      <c r="V34" s="6">
        <f t="shared" si="21"/>
        <v>0</v>
      </c>
      <c r="W34" s="2"/>
      <c r="X34" s="7">
        <f t="shared" si="22"/>
        <v>-10393.31</v>
      </c>
      <c r="Y34" s="2"/>
      <c r="Z34" s="6">
        <f t="shared" si="23"/>
        <v>-1</v>
      </c>
    </row>
    <row r="35" spans="1:26" s="25" customFormat="1" outlineLevel="1" collapsed="1" x14ac:dyDescent="0.25">
      <c r="A35" s="26"/>
      <c r="B35" s="13" t="str">
        <f>CONCATENATE("     ","Supplies                                          ")</f>
        <v xml:space="preserve">     Supplies                                          </v>
      </c>
      <c r="C35" s="13"/>
      <c r="D35" s="1">
        <f>SUM(OSRRefD22_4x_0)</f>
        <v>5.5</v>
      </c>
      <c r="E35" s="1"/>
      <c r="F35" s="5">
        <f t="shared" si="16"/>
        <v>0</v>
      </c>
      <c r="G35" s="1"/>
      <c r="H35" s="1">
        <f>SUM(OSRRefH22_4x_0)</f>
        <v>28.39</v>
      </c>
      <c r="I35" s="1"/>
      <c r="J35" s="5">
        <f t="shared" si="17"/>
        <v>0</v>
      </c>
      <c r="K35" s="1"/>
      <c r="L35" s="1">
        <f t="shared" si="18"/>
        <v>-22.89</v>
      </c>
      <c r="M35" s="1"/>
      <c r="N35" s="5">
        <f t="shared" si="19"/>
        <v>-0.80626981331454739</v>
      </c>
      <c r="O35" s="13"/>
      <c r="P35" s="1">
        <f>SUM(OSRRefP22_4x_0)</f>
        <v>-50.8</v>
      </c>
      <c r="Q35" s="1"/>
      <c r="R35" s="5">
        <f t="shared" si="20"/>
        <v>0</v>
      </c>
      <c r="S35" s="1"/>
      <c r="T35" s="1">
        <f>SUM(OSRRefT22_4x_0)</f>
        <v>65.92</v>
      </c>
      <c r="U35" s="1"/>
      <c r="V35" s="5">
        <f t="shared" si="21"/>
        <v>0</v>
      </c>
      <c r="W35" s="1"/>
      <c r="X35" s="1">
        <f t="shared" si="22"/>
        <v>-116.72</v>
      </c>
      <c r="Y35" s="1"/>
      <c r="Z35" s="5">
        <f t="shared" si="23"/>
        <v>-1.770631067961165</v>
      </c>
    </row>
    <row r="36" spans="1:26" s="24" customFormat="1" hidden="1" outlineLevel="2" x14ac:dyDescent="0.25">
      <c r="A36" s="27"/>
      <c r="B36" s="11" t="str">
        <f>CONCATENATE("          ", "6241", " - ", "OFFICE EXPENSE")</f>
        <v xml:space="preserve">          6241 - OFFICE EXPENSE</v>
      </c>
      <c r="C36" s="11"/>
      <c r="D36" s="7">
        <v>5.5</v>
      </c>
      <c r="E36" s="2"/>
      <c r="F36" s="6">
        <f t="shared" si="16"/>
        <v>0</v>
      </c>
      <c r="G36" s="2"/>
      <c r="H36" s="7">
        <v>28.39</v>
      </c>
      <c r="I36" s="2"/>
      <c r="J36" s="6">
        <f t="shared" si="17"/>
        <v>0</v>
      </c>
      <c r="K36" s="2"/>
      <c r="L36" s="7">
        <f t="shared" si="18"/>
        <v>-22.89</v>
      </c>
      <c r="M36" s="2"/>
      <c r="N36" s="6">
        <f t="shared" si="19"/>
        <v>-0.80626981331454739</v>
      </c>
      <c r="O36" s="11"/>
      <c r="P36" s="7">
        <v>-50.8</v>
      </c>
      <c r="Q36" s="2"/>
      <c r="R36" s="6">
        <f t="shared" si="20"/>
        <v>0</v>
      </c>
      <c r="S36" s="2"/>
      <c r="T36" s="7">
        <v>65.92</v>
      </c>
      <c r="U36" s="2"/>
      <c r="V36" s="6">
        <f t="shared" si="21"/>
        <v>0</v>
      </c>
      <c r="W36" s="2"/>
      <c r="X36" s="7">
        <f t="shared" si="22"/>
        <v>-116.72</v>
      </c>
      <c r="Y36" s="2"/>
      <c r="Z36" s="6">
        <f t="shared" si="23"/>
        <v>-1.770631067961165</v>
      </c>
    </row>
    <row r="37" spans="1:26" s="25" customFormat="1" outlineLevel="1" collapsed="1" x14ac:dyDescent="0.25">
      <c r="A37" s="26"/>
      <c r="B37" s="13" t="str">
        <f>CONCATENATE("     ","Telephone/Data Lines                              ")</f>
        <v xml:space="preserve">     Telephone/Data Lines                              </v>
      </c>
      <c r="C37" s="13"/>
      <c r="D37" s="1">
        <f>SUM(OSRRefD22_5x_0)</f>
        <v>186</v>
      </c>
      <c r="E37" s="1"/>
      <c r="F37" s="5">
        <f t="shared" si="16"/>
        <v>0</v>
      </c>
      <c r="G37" s="1"/>
      <c r="H37" s="1">
        <f>SUM(OSRRefH22_5x_0)</f>
        <v>89.4</v>
      </c>
      <c r="I37" s="1"/>
      <c r="J37" s="5">
        <f t="shared" si="17"/>
        <v>0</v>
      </c>
      <c r="K37" s="1"/>
      <c r="L37" s="1">
        <f t="shared" si="18"/>
        <v>96.6</v>
      </c>
      <c r="M37" s="1"/>
      <c r="N37" s="5">
        <f t="shared" si="19"/>
        <v>1.0805369127516777</v>
      </c>
      <c r="O37" s="13"/>
      <c r="P37" s="1">
        <f>SUM(OSRRefP22_5x_0)</f>
        <v>705</v>
      </c>
      <c r="Q37" s="1"/>
      <c r="R37" s="5">
        <f t="shared" si="20"/>
        <v>0</v>
      </c>
      <c r="S37" s="1"/>
      <c r="T37" s="1">
        <f>SUM(OSRRefT22_5x_0)</f>
        <v>736.8</v>
      </c>
      <c r="U37" s="1"/>
      <c r="V37" s="5">
        <f t="shared" si="21"/>
        <v>0</v>
      </c>
      <c r="W37" s="1"/>
      <c r="X37" s="1">
        <f t="shared" si="22"/>
        <v>-31.799999999999955</v>
      </c>
      <c r="Y37" s="1"/>
      <c r="Z37" s="5">
        <f t="shared" si="23"/>
        <v>-4.3159609120521115E-2</v>
      </c>
    </row>
    <row r="38" spans="1:26" s="24" customFormat="1" hidden="1" outlineLevel="2" x14ac:dyDescent="0.25">
      <c r="A38" s="27"/>
      <c r="B38" s="11" t="str">
        <f>CONCATENATE("          ", "6309", " - ", "TELEPHONE")</f>
        <v xml:space="preserve">          6309 - TELEPHONE</v>
      </c>
      <c r="C38" s="11"/>
      <c r="D38" s="7">
        <v>186</v>
      </c>
      <c r="E38" s="2"/>
      <c r="F38" s="6">
        <f t="shared" si="16"/>
        <v>0</v>
      </c>
      <c r="G38" s="2"/>
      <c r="H38" s="7">
        <v>89.4</v>
      </c>
      <c r="I38" s="2"/>
      <c r="J38" s="6">
        <f t="shared" si="17"/>
        <v>0</v>
      </c>
      <c r="K38" s="2"/>
      <c r="L38" s="7">
        <f t="shared" si="18"/>
        <v>96.6</v>
      </c>
      <c r="M38" s="2"/>
      <c r="N38" s="6">
        <f t="shared" si="19"/>
        <v>1.0805369127516777</v>
      </c>
      <c r="O38" s="11"/>
      <c r="P38" s="7">
        <v>705</v>
      </c>
      <c r="Q38" s="2"/>
      <c r="R38" s="6">
        <f t="shared" si="20"/>
        <v>0</v>
      </c>
      <c r="S38" s="2"/>
      <c r="T38" s="7">
        <v>736.8</v>
      </c>
      <c r="U38" s="2"/>
      <c r="V38" s="6">
        <f t="shared" si="21"/>
        <v>0</v>
      </c>
      <c r="W38" s="2"/>
      <c r="X38" s="7">
        <f t="shared" si="22"/>
        <v>-31.799999999999955</v>
      </c>
      <c r="Y38" s="2"/>
      <c r="Z38" s="6">
        <f t="shared" si="23"/>
        <v>-4.3159609120521115E-2</v>
      </c>
    </row>
    <row r="39" spans="1:26" s="55" customFormat="1" x14ac:dyDescent="0.25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9" t="s">
        <v>0</v>
      </c>
      <c r="C40" s="10"/>
      <c r="D40" s="4">
        <f>SUM(OSRRefD25x_0)</f>
        <v>0</v>
      </c>
      <c r="E40" s="4"/>
      <c r="F40" s="12">
        <f t="shared" ref="F40:F41" si="24">IF(D$12=0,0,D40/D$12)</f>
        <v>0</v>
      </c>
      <c r="G40" s="4"/>
      <c r="H40" s="4">
        <f>SUM(OSRRefH25x_0)</f>
        <v>7143.65</v>
      </c>
      <c r="I40" s="4"/>
      <c r="J40" s="12">
        <f t="shared" ref="J40:J41" si="25">IF(H$12=0,0,H40/H$12)</f>
        <v>0</v>
      </c>
      <c r="K40" s="4"/>
      <c r="L40" s="4">
        <f t="shared" ref="L40:L41" si="26">+D40-H40</f>
        <v>-7143.65</v>
      </c>
      <c r="M40" s="4"/>
      <c r="N40" s="12">
        <f t="shared" ref="N40:N41" si="27">IF(H40=0,0,L40/H40)</f>
        <v>-1</v>
      </c>
      <c r="O40" s="10"/>
      <c r="P40" s="4">
        <f>SUM(OSRRefP25x_0)</f>
        <v>0</v>
      </c>
      <c r="Q40" s="4"/>
      <c r="R40" s="12">
        <f t="shared" ref="R40:R41" si="28">IF(P$12=0,0,P40/P$12)</f>
        <v>0</v>
      </c>
      <c r="S40" s="4"/>
      <c r="T40" s="4">
        <f>SUM(OSRRefT25x_0)</f>
        <v>78627.399999999994</v>
      </c>
      <c r="U40" s="4"/>
      <c r="V40" s="12">
        <f t="shared" ref="V40:V41" si="29">IF(T$12=0,0,T40/T$12)</f>
        <v>0</v>
      </c>
      <c r="W40" s="4"/>
      <c r="X40" s="4">
        <f t="shared" ref="X40:X41" si="30">+P40-T40</f>
        <v>-78627.399999999994</v>
      </c>
      <c r="Y40" s="4"/>
      <c r="Z40" s="12">
        <f t="shared" ref="Z40:Z41" si="31">IF(T40=0,0,X40/T40)</f>
        <v>-1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>0</f>
        <v>0</v>
      </c>
      <c r="E41" s="2"/>
      <c r="F41" s="19">
        <f t="shared" si="24"/>
        <v>0</v>
      </c>
      <c r="G41" s="2"/>
      <c r="H41" s="2">
        <f>--7143.65</f>
        <v>7143.65</v>
      </c>
      <c r="I41" s="2"/>
      <c r="J41" s="19">
        <f t="shared" si="25"/>
        <v>0</v>
      </c>
      <c r="K41" s="2"/>
      <c r="L41" s="2">
        <f t="shared" si="26"/>
        <v>-7143.65</v>
      </c>
      <c r="M41" s="2"/>
      <c r="N41" s="19">
        <f t="shared" si="27"/>
        <v>-1</v>
      </c>
      <c r="O41" s="11"/>
      <c r="P41" s="2">
        <f>0</f>
        <v>0</v>
      </c>
      <c r="Q41" s="2"/>
      <c r="R41" s="19">
        <f t="shared" si="28"/>
        <v>0</v>
      </c>
      <c r="S41" s="2"/>
      <c r="T41" s="2">
        <f>--78627.4</f>
        <v>78627.399999999994</v>
      </c>
      <c r="U41" s="2"/>
      <c r="V41" s="19">
        <f t="shared" si="29"/>
        <v>0</v>
      </c>
      <c r="W41" s="2"/>
      <c r="X41" s="2">
        <f t="shared" si="30"/>
        <v>-78627.399999999994</v>
      </c>
      <c r="Y41" s="2"/>
      <c r="Z41" s="19">
        <f t="shared" si="31"/>
        <v>-1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8" t="s">
        <v>3</v>
      </c>
      <c r="C43" s="28"/>
      <c r="D43" s="20">
        <f>+D17-D19+D40</f>
        <v>-191.5</v>
      </c>
      <c r="E43" s="14"/>
      <c r="F43" s="21">
        <f>IF(D$12=0,0,D43/D$12)</f>
        <v>0</v>
      </c>
      <c r="G43" s="14"/>
      <c r="H43" s="20">
        <f>+H17-H19+H40</f>
        <v>-400.36999999999989</v>
      </c>
      <c r="I43" s="14"/>
      <c r="J43" s="21">
        <f>IF(H$12=0,0,H43/H$12)</f>
        <v>0</v>
      </c>
      <c r="K43" s="15"/>
      <c r="L43" s="20">
        <f>+D43-H43</f>
        <v>208.86999999999989</v>
      </c>
      <c r="M43" s="15"/>
      <c r="N43" s="21">
        <f>IF(H43=0,0,L43/H43)</f>
        <v>-0.52169243449808911</v>
      </c>
      <c r="O43" s="29"/>
      <c r="P43" s="20">
        <f>+P17-P19+P40</f>
        <v>-3132.93</v>
      </c>
      <c r="Q43" s="14"/>
      <c r="R43" s="21">
        <f>IF(P$12=0,0,P43/P$12)</f>
        <v>0</v>
      </c>
      <c r="S43" s="14"/>
      <c r="T43" s="20">
        <f>+T17-T19+T40</f>
        <v>10457.479999999981</v>
      </c>
      <c r="U43" s="14"/>
      <c r="V43" s="21">
        <f>IF(T$12=0,0,T43/T$12)</f>
        <v>0</v>
      </c>
      <c r="W43" s="15"/>
      <c r="X43" s="20">
        <f>+P43-T43</f>
        <v>-13590.409999999982</v>
      </c>
      <c r="Y43" s="15"/>
      <c r="Z43" s="21">
        <f>IF(T43=0,0,X43/T43)</f>
        <v>-1.2995874723164669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13</v>
      </c>
      <c r="C45" s="10"/>
      <c r="D45" s="4"/>
      <c r="E45" s="4"/>
      <c r="F45" s="12">
        <f>IF(D$12=0,0,D45/D$12)</f>
        <v>0</v>
      </c>
      <c r="G45" s="4"/>
      <c r="H45" s="4"/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/>
      <c r="Q45" s="4"/>
      <c r="R45" s="12">
        <f>IF(P$12=0,0,P45/P$12)</f>
        <v>0</v>
      </c>
      <c r="S45" s="4"/>
      <c r="T45" s="4"/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8" t="s">
        <v>4</v>
      </c>
      <c r="C47" s="28"/>
      <c r="D47" s="33">
        <f>+D43-D45</f>
        <v>-191.5</v>
      </c>
      <c r="E47" s="14"/>
      <c r="F47" s="34">
        <f>IF(D$12=0,0,D47/D$12)</f>
        <v>0</v>
      </c>
      <c r="G47" s="14"/>
      <c r="H47" s="33">
        <f>+H43-H45</f>
        <v>-400.36999999999989</v>
      </c>
      <c r="I47" s="14"/>
      <c r="J47" s="34">
        <f>IF(H$12=0,0,H47/H$12)</f>
        <v>0</v>
      </c>
      <c r="K47" s="15"/>
      <c r="L47" s="33">
        <f>D47-H47</f>
        <v>208.86999999999989</v>
      </c>
      <c r="M47" s="15"/>
      <c r="N47" s="34">
        <f>IF(H47=0,0,L47/H47)</f>
        <v>-0.52169243449808911</v>
      </c>
      <c r="O47" s="29"/>
      <c r="P47" s="33">
        <f>+P43-P45</f>
        <v>-3132.93</v>
      </c>
      <c r="Q47" s="14"/>
      <c r="R47" s="34">
        <f>IF(P$12=0,0,P47/P$12)</f>
        <v>0</v>
      </c>
      <c r="S47" s="14"/>
      <c r="T47" s="33">
        <f>+T43-T45</f>
        <v>10457.479999999981</v>
      </c>
      <c r="U47" s="14"/>
      <c r="V47" s="34">
        <f>IF(T$12=0,0,T47/T$12)</f>
        <v>0</v>
      </c>
      <c r="W47" s="15"/>
      <c r="X47" s="33">
        <f>P47-T47</f>
        <v>-13590.409999999982</v>
      </c>
      <c r="Y47" s="15"/>
      <c r="Z47" s="34">
        <f>IF(T47=0,0,X47/T47)</f>
        <v>-1.2995874723164669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8" t="s">
        <v>5</v>
      </c>
      <c r="C50" s="28"/>
      <c r="D50" s="30">
        <f>SUM(D47:D49)</f>
        <v>-191.5</v>
      </c>
      <c r="E50" s="14"/>
      <c r="F50" s="32">
        <f>IF(D$12=0,0,D50/D$12)</f>
        <v>0</v>
      </c>
      <c r="G50" s="14"/>
      <c r="H50" s="30">
        <f>SUM(H47:H49)</f>
        <v>-400.36999999999989</v>
      </c>
      <c r="I50" s="14"/>
      <c r="J50" s="32">
        <f>IF(H$12=0,0,H50/H$12)</f>
        <v>0</v>
      </c>
      <c r="K50" s="15"/>
      <c r="L50" s="30">
        <f>+D50-H50</f>
        <v>208.86999999999989</v>
      </c>
      <c r="M50" s="15"/>
      <c r="N50" s="32">
        <f>IF(H50=0,0,L50/H50)</f>
        <v>-0.52169243449808911</v>
      </c>
      <c r="O50" s="29"/>
      <c r="P50" s="30">
        <f>SUM(P47:P49)</f>
        <v>-3132.93</v>
      </c>
      <c r="Q50" s="14"/>
      <c r="R50" s="32">
        <f>IF(P$12=0,0,P50/P$12)</f>
        <v>0</v>
      </c>
      <c r="S50" s="14"/>
      <c r="T50" s="30">
        <f>SUM(T47:T49)</f>
        <v>10457.479999999981</v>
      </c>
      <c r="U50" s="14"/>
      <c r="V50" s="32">
        <f>IF(T$12=0,0,T50/T$12)</f>
        <v>0</v>
      </c>
      <c r="W50" s="15"/>
      <c r="X50" s="30">
        <f>+P50-T50</f>
        <v>-13590.409999999982</v>
      </c>
      <c r="Y50" s="15"/>
      <c r="Z50" s="32">
        <f>IF(T50=0,0,X50/T50)</f>
        <v>-1.2995874723164669</v>
      </c>
    </row>
    <row r="51" spans="1:26" ht="15.75" thickTop="1" x14ac:dyDescent="0.25">
      <c r="A51" s="9"/>
      <c r="C51" s="9"/>
      <c r="D51" s="17"/>
      <c r="E51" s="17"/>
      <c r="G51" s="17"/>
      <c r="H51" s="17"/>
      <c r="I51" s="17"/>
      <c r="J51" s="43"/>
      <c r="K51" s="17"/>
      <c r="L51" s="17"/>
      <c r="M51" s="17"/>
      <c r="P51" s="17"/>
      <c r="Q51" s="17"/>
      <c r="R51" s="43"/>
      <c r="S51" s="17"/>
      <c r="T51" s="17"/>
      <c r="U51" s="17"/>
      <c r="V51" s="43"/>
      <c r="W51" s="17"/>
      <c r="X51" s="17"/>
    </row>
    <row r="52" spans="1:26" x14ac:dyDescent="0.25">
      <c r="A52" s="9"/>
      <c r="B52" s="58">
        <v>44209.522144594906</v>
      </c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25">
      <c r="A53" s="9"/>
      <c r="B53" s="61" t="s">
        <v>313</v>
      </c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25">
      <c r="A54" s="9"/>
      <c r="B54" s="57"/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","424", " - ", "Blair Field")</f>
        <v>Department 424 - Blair Field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19851.87</v>
      </c>
      <c r="U12" s="4"/>
      <c r="V12" s="12"/>
      <c r="W12" s="4"/>
      <c r="X12" s="4">
        <f t="shared" ref="X12:X13" si="2">+P12-T12</f>
        <v>-19851.87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--19851.87</f>
        <v>19851.87</v>
      </c>
      <c r="U13" s="2"/>
      <c r="V13" s="19"/>
      <c r="W13" s="2"/>
      <c r="X13" s="2">
        <f t="shared" si="2"/>
        <v>-19851.87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4834</v>
      </c>
      <c r="I15" s="4"/>
      <c r="J15" s="12">
        <f t="shared" ref="J15:J17" si="5">IF(H$12=0,0,H15/H$12)</f>
        <v>0</v>
      </c>
      <c r="K15" s="4"/>
      <c r="L15" s="4">
        <f t="shared" ref="L15:L17" si="6">+D15-H15</f>
        <v>-4834</v>
      </c>
      <c r="M15" s="4"/>
      <c r="N15" s="12">
        <f t="shared" ref="N15:N17" si="7">IF(H15=0,0,L15/H15)</f>
        <v>-1</v>
      </c>
      <c r="O15" s="10"/>
      <c r="P15" s="4">
        <f>SUM(OSRRefP16x_0)</f>
        <v>0</v>
      </c>
      <c r="Q15" s="4"/>
      <c r="R15" s="12">
        <f t="shared" ref="R15:R17" si="8">IF(P$12=0,0,P15/P$12)</f>
        <v>0</v>
      </c>
      <c r="S15" s="4"/>
      <c r="T15" s="4">
        <f>SUM(OSRRefT16x_0)</f>
        <v>9644.7900000000009</v>
      </c>
      <c r="U15" s="4"/>
      <c r="V15" s="12">
        <f t="shared" ref="V15:V17" si="9">IF(T$12=0,0,T15/T$12)</f>
        <v>0.48583785809598801</v>
      </c>
      <c r="W15" s="4"/>
      <c r="X15" s="4">
        <f t="shared" ref="X15:X17" si="10">+P15-T15</f>
        <v>-9644.7900000000009</v>
      </c>
      <c r="Y15" s="4"/>
      <c r="Z15" s="12">
        <f t="shared" ref="Z15:Z17" si="11">IF(T15=0,0,X15/T15)</f>
        <v>-1</v>
      </c>
    </row>
    <row r="16" spans="1:26" s="24" customFormat="1" hidden="1" outlineLevel="1" x14ac:dyDescent="0.25">
      <c r="A16" s="44"/>
      <c r="B16" s="11" t="str">
        <f>CONCATENATE("          ", "5053", " - ", "PURCHASES @ COST-FOOD")</f>
        <v xml:space="preserve">          5053 - PURCHASES @ COST-FOOD</v>
      </c>
      <c r="C16" s="11"/>
      <c r="D16" s="2"/>
      <c r="E16" s="2"/>
      <c r="F16" s="19">
        <f t="shared" si="4"/>
        <v>0</v>
      </c>
      <c r="G16" s="2"/>
      <c r="H16" s="2"/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/>
      <c r="Q16" s="2"/>
      <c r="R16" s="19">
        <f t="shared" si="8"/>
        <v>0</v>
      </c>
      <c r="S16" s="2"/>
      <c r="T16" s="2">
        <v>6367.79</v>
      </c>
      <c r="U16" s="2"/>
      <c r="V16" s="19">
        <f t="shared" si="9"/>
        <v>0.32076524780788912</v>
      </c>
      <c r="W16" s="2"/>
      <c r="X16" s="2">
        <f t="shared" si="10"/>
        <v>-6367.79</v>
      </c>
      <c r="Y16" s="2"/>
      <c r="Z16" s="19">
        <f t="shared" si="11"/>
        <v>-1</v>
      </c>
    </row>
    <row r="17" spans="1:26" s="24" customFormat="1" hidden="1" outlineLevel="1" x14ac:dyDescent="0.25">
      <c r="A17" s="44"/>
      <c r="B17" s="11" t="str">
        <f>CONCATENATE("          ", "5059", " - ", "PURCHASES @ COST-FOOD")</f>
        <v xml:space="preserve">          5059 - PURCHASES @ COST-FOOD</v>
      </c>
      <c r="C17" s="11"/>
      <c r="D17" s="2"/>
      <c r="E17" s="2"/>
      <c r="F17" s="19">
        <f t="shared" si="4"/>
        <v>0</v>
      </c>
      <c r="G17" s="2"/>
      <c r="H17" s="2">
        <v>4834</v>
      </c>
      <c r="I17" s="2"/>
      <c r="J17" s="19">
        <f t="shared" si="5"/>
        <v>0</v>
      </c>
      <c r="K17" s="2"/>
      <c r="L17" s="2">
        <f t="shared" si="6"/>
        <v>-4834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3277</v>
      </c>
      <c r="U17" s="2"/>
      <c r="V17" s="19">
        <f t="shared" si="9"/>
        <v>0.1650726102880988</v>
      </c>
      <c r="W17" s="2"/>
      <c r="X17" s="2">
        <f t="shared" si="10"/>
        <v>-3277</v>
      </c>
      <c r="Y17" s="2"/>
      <c r="Z17" s="19">
        <f t="shared" si="11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8" t="s">
        <v>6</v>
      </c>
      <c r="C19" s="28"/>
      <c r="D19" s="20">
        <f>D12-D15</f>
        <v>0</v>
      </c>
      <c r="E19" s="14"/>
      <c r="F19" s="21">
        <f>IF(D$12=0,0,D19/D$12)</f>
        <v>0</v>
      </c>
      <c r="G19" s="14"/>
      <c r="H19" s="20">
        <f>H12-H15</f>
        <v>-4834</v>
      </c>
      <c r="I19" s="14"/>
      <c r="J19" s="21">
        <f>IF(H$12=0,0,H19/H$12)</f>
        <v>0</v>
      </c>
      <c r="K19" s="15"/>
      <c r="L19" s="20">
        <f>+D19-H19</f>
        <v>4834</v>
      </c>
      <c r="M19" s="15"/>
      <c r="N19" s="21">
        <f>IF(H19=0,0,L19/H19)</f>
        <v>-1</v>
      </c>
      <c r="O19" s="29"/>
      <c r="P19" s="20">
        <f>P12-P15</f>
        <v>0</v>
      </c>
      <c r="Q19" s="14"/>
      <c r="R19" s="21">
        <f>IF(P$12=0,0,P19/P$12)</f>
        <v>0</v>
      </c>
      <c r="S19" s="14"/>
      <c r="T19" s="20">
        <f>T12-T15</f>
        <v>10207.079999999998</v>
      </c>
      <c r="U19" s="14"/>
      <c r="V19" s="21">
        <f>IF(T$12=0,0,T19/T$12)</f>
        <v>0.51416214190401199</v>
      </c>
      <c r="W19" s="15"/>
      <c r="X19" s="20">
        <f>+P19-T19</f>
        <v>-10207.079999999998</v>
      </c>
      <c r="Y19" s="15"/>
      <c r="Z19" s="21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9" t="s">
        <v>9</v>
      </c>
      <c r="C21" s="10"/>
      <c r="D21" s="22">
        <f>SUM(OSRRefD22x_0)</f>
        <v>483.29</v>
      </c>
      <c r="E21" s="22"/>
      <c r="F21" s="36">
        <f t="shared" ref="F21:F24" si="12">IF(D$12=0,0,D21/D$12)</f>
        <v>0</v>
      </c>
      <c r="G21" s="22"/>
      <c r="H21" s="22">
        <f>SUM(OSRRefH22x_0)</f>
        <v>946.06</v>
      </c>
      <c r="I21" s="22"/>
      <c r="J21" s="36">
        <f t="shared" ref="J21:J24" si="13">IF(H$12=0,0,H21/H$12)</f>
        <v>0</v>
      </c>
      <c r="K21" s="4"/>
      <c r="L21" s="22">
        <f t="shared" ref="L21:L24" si="14">+D21-H21</f>
        <v>-462.76999999999992</v>
      </c>
      <c r="M21" s="4"/>
      <c r="N21" s="36">
        <f t="shared" ref="N21:N24" si="15">IF(H21=0,0,L21/H21)</f>
        <v>-0.48915502188021898</v>
      </c>
      <c r="O21" s="10"/>
      <c r="P21" s="22">
        <f>SUM(OSRRefP22x_0)</f>
        <v>3780.5899999999997</v>
      </c>
      <c r="Q21" s="22"/>
      <c r="R21" s="36">
        <f t="shared" ref="R21:R24" si="16">IF(P$12=0,0,P21/P$12)</f>
        <v>0</v>
      </c>
      <c r="S21" s="22"/>
      <c r="T21" s="22">
        <f>SUM(OSRRefT22x_0)</f>
        <v>20640.849999999999</v>
      </c>
      <c r="U21" s="22"/>
      <c r="V21" s="36">
        <f t="shared" ref="V21:V24" si="17">IF(T$12=0,0,T21/T$12)</f>
        <v>1.0397433591898395</v>
      </c>
      <c r="W21" s="4"/>
      <c r="X21" s="22">
        <f t="shared" ref="X21:X24" si="18">+P21-T21</f>
        <v>-16860.259999999998</v>
      </c>
      <c r="Y21" s="4"/>
      <c r="Z21" s="36">
        <f t="shared" ref="Z21:Z24" si="19">IF(T21=0,0,X21/T21)</f>
        <v>-0.81683942279508837</v>
      </c>
    </row>
    <row r="22" spans="1:26" s="25" customFormat="1" outlineLevel="1" collapsed="1" x14ac:dyDescent="0.25">
      <c r="A22" s="26"/>
      <c r="B22" s="13" t="str">
        <f>CONCATENATE("     ","*Benefits                                         ")</f>
        <v xml:space="preserve">     *Benefits                                         </v>
      </c>
      <c r="C22" s="13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0</v>
      </c>
      <c r="M22" s="1"/>
      <c r="N22" s="5">
        <f t="shared" si="15"/>
        <v>0</v>
      </c>
      <c r="O22" s="13"/>
      <c r="P22" s="1">
        <f>SUM(OSRRefP22_0x_0)</f>
        <v>0</v>
      </c>
      <c r="Q22" s="1"/>
      <c r="R22" s="5">
        <f t="shared" si="16"/>
        <v>0</v>
      </c>
      <c r="S22" s="1"/>
      <c r="T22" s="1">
        <f>SUM(OSRRefT22_0x_0)</f>
        <v>355.92</v>
      </c>
      <c r="U22" s="1"/>
      <c r="V22" s="5">
        <f t="shared" si="17"/>
        <v>1.7928789580024453E-2</v>
      </c>
      <c r="W22" s="1"/>
      <c r="X22" s="1">
        <f t="shared" si="18"/>
        <v>-355.92</v>
      </c>
      <c r="Y22" s="1"/>
      <c r="Z22" s="5">
        <f t="shared" si="19"/>
        <v>-1</v>
      </c>
    </row>
    <row r="23" spans="1:26" s="24" customFormat="1" hidden="1" outlineLevel="2" x14ac:dyDescent="0.25">
      <c r="A23" s="27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2"/>
        <v>0</v>
      </c>
      <c r="G23" s="2"/>
      <c r="H23" s="7"/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366.32</v>
      </c>
      <c r="U23" s="2"/>
      <c r="V23" s="6">
        <f t="shared" si="17"/>
        <v>1.8452669698119119E-2</v>
      </c>
      <c r="W23" s="2"/>
      <c r="X23" s="7">
        <f t="shared" si="18"/>
        <v>-366.32</v>
      </c>
      <c r="Y23" s="2"/>
      <c r="Z23" s="6">
        <f t="shared" si="19"/>
        <v>-1</v>
      </c>
    </row>
    <row r="24" spans="1:26" s="24" customFormat="1" hidden="1" outlineLevel="2" x14ac:dyDescent="0.25">
      <c r="A24" s="27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2"/>
        <v>0</v>
      </c>
      <c r="G24" s="2"/>
      <c r="H24" s="7"/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-10.4</v>
      </c>
      <c r="U24" s="2"/>
      <c r="V24" s="6">
        <f t="shared" si="17"/>
        <v>-5.2388011809466816E-4</v>
      </c>
      <c r="W24" s="2"/>
      <c r="X24" s="7">
        <f t="shared" si="18"/>
        <v>10.4</v>
      </c>
      <c r="Y24" s="2"/>
      <c r="Z24" s="6">
        <f t="shared" si="19"/>
        <v>-1</v>
      </c>
    </row>
    <row r="25" spans="1:26" s="25" customFormat="1" outlineLevel="1" collapsed="1" x14ac:dyDescent="0.25">
      <c r="A25" s="26"/>
      <c r="B25" s="13" t="str">
        <f>CONCATENATE("     ","*Payroll                                          ")</f>
        <v xml:space="preserve">     *Payroll                                          </v>
      </c>
      <c r="C25" s="13"/>
      <c r="D25" s="1">
        <f>SUM(OSRRefD22_1x_0)</f>
        <v>0</v>
      </c>
      <c r="E25" s="1"/>
      <c r="F25" s="5">
        <f t="shared" ref="F25:F30" si="20">IF(D$12=0,0,D25/D$12)</f>
        <v>0</v>
      </c>
      <c r="G25" s="1"/>
      <c r="H25" s="1">
        <f>SUM(OSRRefH22_1x_0)</f>
        <v>60.56</v>
      </c>
      <c r="I25" s="1"/>
      <c r="J25" s="5">
        <f t="shared" ref="J25:J30" si="21">IF(H$12=0,0,H25/H$12)</f>
        <v>0</v>
      </c>
      <c r="K25" s="1"/>
      <c r="L25" s="1">
        <f t="shared" ref="L25:L30" si="22">+D25-H25</f>
        <v>-60.56</v>
      </c>
      <c r="M25" s="1"/>
      <c r="N25" s="5">
        <f t="shared" ref="N25:N30" si="23">IF(H25=0,0,L25/H25)</f>
        <v>-1</v>
      </c>
      <c r="O25" s="13"/>
      <c r="P25" s="1">
        <f>SUM(OSRRefP22_1x_0)</f>
        <v>0</v>
      </c>
      <c r="Q25" s="1"/>
      <c r="R25" s="5">
        <f t="shared" ref="R25:R30" si="24">IF(P$12=0,0,P25/P$12)</f>
        <v>0</v>
      </c>
      <c r="S25" s="1"/>
      <c r="T25" s="1">
        <f>SUM(OSRRefT22_1x_0)</f>
        <v>5587.09</v>
      </c>
      <c r="U25" s="1"/>
      <c r="V25" s="5">
        <f t="shared" ref="V25:V30" si="25">IF(T$12=0,0,T25/T$12)</f>
        <v>0.28143897778899418</v>
      </c>
      <c r="W25" s="1"/>
      <c r="X25" s="1">
        <f t="shared" ref="X25:X30" si="26">+P25-T25</f>
        <v>-5587.09</v>
      </c>
      <c r="Y25" s="1"/>
      <c r="Z25" s="5">
        <f t="shared" ref="Z25:Z30" si="27">IF(T25=0,0,X25/T25)</f>
        <v>-1</v>
      </c>
    </row>
    <row r="26" spans="1:26" s="24" customFormat="1" hidden="1" outlineLevel="2" x14ac:dyDescent="0.25">
      <c r="A26" s="27"/>
      <c r="B26" s="11" t="str">
        <f>CONCATENATE("          ", "6004", " - ", "STAFF HOURLY")</f>
        <v xml:space="preserve">          6004 - STAFF HOURLY</v>
      </c>
      <c r="C26" s="11"/>
      <c r="D26" s="7"/>
      <c r="E26" s="2"/>
      <c r="F26" s="6">
        <f t="shared" si="20"/>
        <v>0</v>
      </c>
      <c r="G26" s="2"/>
      <c r="H26" s="7">
        <v>60.56</v>
      </c>
      <c r="I26" s="2"/>
      <c r="J26" s="6">
        <f t="shared" si="21"/>
        <v>0</v>
      </c>
      <c r="K26" s="2"/>
      <c r="L26" s="7">
        <f t="shared" si="22"/>
        <v>-60.56</v>
      </c>
      <c r="M26" s="2"/>
      <c r="N26" s="6">
        <f t="shared" si="23"/>
        <v>-1</v>
      </c>
      <c r="O26" s="11"/>
      <c r="P26" s="7"/>
      <c r="Q26" s="2"/>
      <c r="R26" s="6">
        <f t="shared" si="24"/>
        <v>0</v>
      </c>
      <c r="S26" s="2"/>
      <c r="T26" s="7">
        <v>60.56</v>
      </c>
      <c r="U26" s="2"/>
      <c r="V26" s="6">
        <f t="shared" si="25"/>
        <v>3.0505942261358754E-3</v>
      </c>
      <c r="W26" s="2"/>
      <c r="X26" s="7">
        <f t="shared" si="26"/>
        <v>-60.56</v>
      </c>
      <c r="Y26" s="2"/>
      <c r="Z26" s="6">
        <f t="shared" si="27"/>
        <v>-1</v>
      </c>
    </row>
    <row r="27" spans="1:26" s="24" customFormat="1" hidden="1" outlineLevel="2" x14ac:dyDescent="0.25">
      <c r="A27" s="27"/>
      <c r="B27" s="11" t="str">
        <f>CONCATENATE("          ", "6005", " - ", "TEMPORARY WAGES-HOURLY")</f>
        <v xml:space="preserve">          6005 - TEMPORARY WAGES-HOURLY</v>
      </c>
      <c r="C27" s="11"/>
      <c r="D27" s="7"/>
      <c r="E27" s="2"/>
      <c r="F27" s="6">
        <f t="shared" si="20"/>
        <v>0</v>
      </c>
      <c r="G27" s="2"/>
      <c r="H27" s="7"/>
      <c r="I27" s="2"/>
      <c r="J27" s="6">
        <f t="shared" si="21"/>
        <v>0</v>
      </c>
      <c r="K27" s="2"/>
      <c r="L27" s="7">
        <f t="shared" si="22"/>
        <v>0</v>
      </c>
      <c r="M27" s="2"/>
      <c r="N27" s="6">
        <f t="shared" si="23"/>
        <v>0</v>
      </c>
      <c r="O27" s="11"/>
      <c r="P27" s="7"/>
      <c r="Q27" s="2"/>
      <c r="R27" s="6">
        <f t="shared" si="24"/>
        <v>0</v>
      </c>
      <c r="S27" s="2"/>
      <c r="T27" s="7">
        <v>2489.34</v>
      </c>
      <c r="U27" s="2"/>
      <c r="V27" s="6">
        <f t="shared" si="25"/>
        <v>0.12539574357478667</v>
      </c>
      <c r="W27" s="2"/>
      <c r="X27" s="7">
        <f t="shared" si="26"/>
        <v>-2489.34</v>
      </c>
      <c r="Y27" s="2"/>
      <c r="Z27" s="6">
        <f t="shared" si="27"/>
        <v>-1</v>
      </c>
    </row>
    <row r="28" spans="1:26" s="24" customFormat="1" hidden="1" outlineLevel="2" x14ac:dyDescent="0.25">
      <c r="A28" s="27"/>
      <c r="B28" s="11" t="str">
        <f>CONCATENATE("          ", "6006", " - ", "TEMPORARY PART TIME")</f>
        <v xml:space="preserve">          6006 - TEMPORARY PART TIME</v>
      </c>
      <c r="C28" s="11"/>
      <c r="D28" s="7"/>
      <c r="E28" s="2"/>
      <c r="F28" s="6">
        <f t="shared" si="20"/>
        <v>0</v>
      </c>
      <c r="G28" s="2"/>
      <c r="H28" s="7"/>
      <c r="I28" s="2"/>
      <c r="J28" s="6">
        <f t="shared" si="21"/>
        <v>0</v>
      </c>
      <c r="K28" s="2"/>
      <c r="L28" s="7">
        <f t="shared" si="22"/>
        <v>0</v>
      </c>
      <c r="M28" s="2"/>
      <c r="N28" s="6">
        <f t="shared" si="23"/>
        <v>0</v>
      </c>
      <c r="O28" s="11"/>
      <c r="P28" s="7"/>
      <c r="Q28" s="2"/>
      <c r="R28" s="6">
        <f t="shared" si="24"/>
        <v>0</v>
      </c>
      <c r="S28" s="2"/>
      <c r="T28" s="7">
        <v>247.5</v>
      </c>
      <c r="U28" s="2"/>
      <c r="V28" s="6">
        <f t="shared" si="25"/>
        <v>1.2467339348887536E-2</v>
      </c>
      <c r="W28" s="2"/>
      <c r="X28" s="7">
        <f t="shared" si="26"/>
        <v>-247.5</v>
      </c>
      <c r="Y28" s="2"/>
      <c r="Z28" s="6">
        <f t="shared" si="27"/>
        <v>-1</v>
      </c>
    </row>
    <row r="29" spans="1:26" s="24" customFormat="1" hidden="1" outlineLevel="2" x14ac:dyDescent="0.25">
      <c r="A29" s="27"/>
      <c r="B29" s="11" t="str">
        <f>CONCATENATE("          ", "6007", " - ", "STUDENT HOURLY")</f>
        <v xml:space="preserve">          6007 - STUDENT HOURLY</v>
      </c>
      <c r="C29" s="11"/>
      <c r="D29" s="7"/>
      <c r="E29" s="2"/>
      <c r="F29" s="6">
        <f t="shared" si="20"/>
        <v>0</v>
      </c>
      <c r="G29" s="2"/>
      <c r="H29" s="7"/>
      <c r="I29" s="2"/>
      <c r="J29" s="6">
        <f t="shared" si="21"/>
        <v>0</v>
      </c>
      <c r="K29" s="2"/>
      <c r="L29" s="7">
        <f t="shared" si="22"/>
        <v>0</v>
      </c>
      <c r="M29" s="2"/>
      <c r="N29" s="6">
        <f t="shared" si="23"/>
        <v>0</v>
      </c>
      <c r="O29" s="11"/>
      <c r="P29" s="7"/>
      <c r="Q29" s="2"/>
      <c r="R29" s="6">
        <f t="shared" si="24"/>
        <v>0</v>
      </c>
      <c r="S29" s="2"/>
      <c r="T29" s="7">
        <v>2156.69</v>
      </c>
      <c r="U29" s="2"/>
      <c r="V29" s="6">
        <f t="shared" si="25"/>
        <v>0.10863913575899903</v>
      </c>
      <c r="W29" s="2"/>
      <c r="X29" s="7">
        <f t="shared" si="26"/>
        <v>-2156.69</v>
      </c>
      <c r="Y29" s="2"/>
      <c r="Z29" s="6">
        <f t="shared" si="27"/>
        <v>-1</v>
      </c>
    </row>
    <row r="30" spans="1:26" s="24" customFormat="1" hidden="1" outlineLevel="2" x14ac:dyDescent="0.25">
      <c r="A30" s="27"/>
      <c r="B30" s="11" t="str">
        <f>CONCATENATE("          ", "6008", " - ", "STUDENT HOURLY-FICA EXEMPT")</f>
        <v xml:space="preserve">          6008 - STUDENT HOURLY-FICA EXEMPT</v>
      </c>
      <c r="C30" s="11"/>
      <c r="D30" s="7"/>
      <c r="E30" s="2"/>
      <c r="F30" s="6">
        <f t="shared" si="20"/>
        <v>0</v>
      </c>
      <c r="G30" s="2"/>
      <c r="H30" s="7"/>
      <c r="I30" s="2"/>
      <c r="J30" s="6">
        <f t="shared" si="21"/>
        <v>0</v>
      </c>
      <c r="K30" s="2"/>
      <c r="L30" s="7">
        <f t="shared" si="22"/>
        <v>0</v>
      </c>
      <c r="M30" s="2"/>
      <c r="N30" s="6">
        <f t="shared" si="23"/>
        <v>0</v>
      </c>
      <c r="O30" s="11"/>
      <c r="P30" s="7"/>
      <c r="Q30" s="2"/>
      <c r="R30" s="6">
        <f t="shared" si="24"/>
        <v>0</v>
      </c>
      <c r="S30" s="2"/>
      <c r="T30" s="7">
        <v>633</v>
      </c>
      <c r="U30" s="2"/>
      <c r="V30" s="6">
        <f t="shared" si="25"/>
        <v>3.1886164880185093E-2</v>
      </c>
      <c r="W30" s="2"/>
      <c r="X30" s="7">
        <f t="shared" si="26"/>
        <v>-633</v>
      </c>
      <c r="Y30" s="2"/>
      <c r="Z30" s="6">
        <f t="shared" si="27"/>
        <v>-1</v>
      </c>
    </row>
    <row r="31" spans="1:26" s="25" customFormat="1" outlineLevel="1" collapsed="1" x14ac:dyDescent="0.25">
      <c r="A31" s="26"/>
      <c r="B31" s="13" t="str">
        <f>CONCATENATE("     ","Advertising/Promo                                 ")</f>
        <v xml:space="preserve">     Advertising/Promo                                 </v>
      </c>
      <c r="C31" s="13"/>
      <c r="D31" s="1">
        <f>SUM(OSRRefD22_2x_0)</f>
        <v>0</v>
      </c>
      <c r="E31" s="1"/>
      <c r="F31" s="5">
        <f t="shared" ref="F31:F45" si="28">IF(D$12=0,0,D31/D$12)</f>
        <v>0</v>
      </c>
      <c r="G31" s="1"/>
      <c r="H31" s="1">
        <f>SUM(OSRRefH22_2x_0)</f>
        <v>667.5</v>
      </c>
      <c r="I31" s="1"/>
      <c r="J31" s="5">
        <f t="shared" ref="J31:J45" si="29">IF(H$12=0,0,H31/H$12)</f>
        <v>0</v>
      </c>
      <c r="K31" s="1"/>
      <c r="L31" s="1">
        <f t="shared" ref="L31:L45" si="30">+D31-H31</f>
        <v>-667.5</v>
      </c>
      <c r="M31" s="1"/>
      <c r="N31" s="5">
        <f t="shared" ref="N31:N45" si="31">IF(H31=0,0,L31/H31)</f>
        <v>-1</v>
      </c>
      <c r="O31" s="13"/>
      <c r="P31" s="1">
        <f>SUM(OSRRefP22_2x_0)</f>
        <v>0</v>
      </c>
      <c r="Q31" s="1"/>
      <c r="R31" s="5">
        <f t="shared" ref="R31:R45" si="32">IF(P$12=0,0,P31/P$12)</f>
        <v>0</v>
      </c>
      <c r="S31" s="1"/>
      <c r="T31" s="1">
        <f>SUM(OSRRefT22_2x_0)</f>
        <v>1600.53</v>
      </c>
      <c r="U31" s="1"/>
      <c r="V31" s="5">
        <f t="shared" ref="V31:V45" si="33">IF(T$12=0,0,T31/T$12)</f>
        <v>8.0623638982121076E-2</v>
      </c>
      <c r="W31" s="1"/>
      <c r="X31" s="1">
        <f t="shared" ref="X31:X45" si="34">+P31-T31</f>
        <v>-1600.53</v>
      </c>
      <c r="Y31" s="1"/>
      <c r="Z31" s="5">
        <f t="shared" ref="Z31:Z45" si="35">IF(T31=0,0,X31/T31)</f>
        <v>-1</v>
      </c>
    </row>
    <row r="32" spans="1:26" s="24" customFormat="1" hidden="1" outlineLevel="2" x14ac:dyDescent="0.25">
      <c r="A32" s="27"/>
      <c r="B32" s="11" t="str">
        <f>CONCATENATE("          ", "6362", " - ", "ADVERTISING EXPENSE")</f>
        <v xml:space="preserve">          6362 - ADVERTISING EXPENSE</v>
      </c>
      <c r="C32" s="11"/>
      <c r="D32" s="7"/>
      <c r="E32" s="2"/>
      <c r="F32" s="6">
        <f t="shared" si="28"/>
        <v>0</v>
      </c>
      <c r="G32" s="2"/>
      <c r="H32" s="7">
        <v>667.5</v>
      </c>
      <c r="I32" s="2"/>
      <c r="J32" s="6">
        <f t="shared" si="29"/>
        <v>0</v>
      </c>
      <c r="K32" s="2"/>
      <c r="L32" s="7">
        <f t="shared" si="30"/>
        <v>-667.5</v>
      </c>
      <c r="M32" s="2"/>
      <c r="N32" s="6">
        <f t="shared" si="31"/>
        <v>-1</v>
      </c>
      <c r="O32" s="11"/>
      <c r="P32" s="7"/>
      <c r="Q32" s="2"/>
      <c r="R32" s="6">
        <f t="shared" si="32"/>
        <v>0</v>
      </c>
      <c r="S32" s="2"/>
      <c r="T32" s="7">
        <v>1600.53</v>
      </c>
      <c r="U32" s="2"/>
      <c r="V32" s="6">
        <f t="shared" si="33"/>
        <v>8.0623638982121076E-2</v>
      </c>
      <c r="W32" s="2"/>
      <c r="X32" s="7">
        <f t="shared" si="34"/>
        <v>-1600.53</v>
      </c>
      <c r="Y32" s="2"/>
      <c r="Z32" s="6">
        <f t="shared" si="35"/>
        <v>-1</v>
      </c>
    </row>
    <row r="33" spans="1:26" s="25" customFormat="1" outlineLevel="1" collapsed="1" x14ac:dyDescent="0.25">
      <c r="A33" s="26"/>
      <c r="B33" s="13" t="str">
        <f>CONCATENATE("     ","Bad Debts/Over/Short                              ")</f>
        <v xml:space="preserve">     Bad Debts/Over/Short                              </v>
      </c>
      <c r="C33" s="13"/>
      <c r="D33" s="1">
        <f>SUM(OSRRefD22_3x_0)</f>
        <v>0</v>
      </c>
      <c r="E33" s="1"/>
      <c r="F33" s="5">
        <f t="shared" si="28"/>
        <v>0</v>
      </c>
      <c r="G33" s="1"/>
      <c r="H33" s="1">
        <f>SUM(OSRRefH22_3x_0)</f>
        <v>0</v>
      </c>
      <c r="I33" s="1"/>
      <c r="J33" s="5">
        <f t="shared" si="29"/>
        <v>0</v>
      </c>
      <c r="K33" s="1"/>
      <c r="L33" s="1">
        <f t="shared" si="30"/>
        <v>0</v>
      </c>
      <c r="M33" s="1"/>
      <c r="N33" s="5">
        <f t="shared" si="31"/>
        <v>0</v>
      </c>
      <c r="O33" s="13"/>
      <c r="P33" s="1">
        <f>SUM(OSRRefP22_3x_0)</f>
        <v>0</v>
      </c>
      <c r="Q33" s="1"/>
      <c r="R33" s="5">
        <f t="shared" si="32"/>
        <v>0</v>
      </c>
      <c r="S33" s="1"/>
      <c r="T33" s="1">
        <f>SUM(OSRRefT22_3x_0)</f>
        <v>1.85</v>
      </c>
      <c r="U33" s="1"/>
      <c r="V33" s="5">
        <f t="shared" si="33"/>
        <v>9.3190213314916939E-5</v>
      </c>
      <c r="W33" s="1"/>
      <c r="X33" s="1">
        <f t="shared" si="34"/>
        <v>-1.85</v>
      </c>
      <c r="Y33" s="1"/>
      <c r="Z33" s="5">
        <f t="shared" si="35"/>
        <v>-1</v>
      </c>
    </row>
    <row r="34" spans="1:26" s="24" customFormat="1" hidden="1" outlineLevel="2" x14ac:dyDescent="0.25">
      <c r="A34" s="27"/>
      <c r="B34" s="11" t="str">
        <f>CONCATENATE("          ", "6272", " - ", "CASH (OVER/SHORT)")</f>
        <v xml:space="preserve">          6272 - CASH (OVER/SHORT)</v>
      </c>
      <c r="C34" s="11"/>
      <c r="D34" s="7"/>
      <c r="E34" s="2"/>
      <c r="F34" s="6">
        <f t="shared" si="28"/>
        <v>0</v>
      </c>
      <c r="G34" s="2"/>
      <c r="H34" s="7"/>
      <c r="I34" s="2"/>
      <c r="J34" s="6">
        <f t="shared" si="29"/>
        <v>0</v>
      </c>
      <c r="K34" s="2"/>
      <c r="L34" s="7">
        <f t="shared" si="30"/>
        <v>0</v>
      </c>
      <c r="M34" s="2"/>
      <c r="N34" s="6">
        <f t="shared" si="31"/>
        <v>0</v>
      </c>
      <c r="O34" s="11"/>
      <c r="P34" s="7"/>
      <c r="Q34" s="2"/>
      <c r="R34" s="6">
        <f t="shared" si="32"/>
        <v>0</v>
      </c>
      <c r="S34" s="2"/>
      <c r="T34" s="7">
        <v>1.85</v>
      </c>
      <c r="U34" s="2"/>
      <c r="V34" s="6">
        <f t="shared" si="33"/>
        <v>9.3190213314916939E-5</v>
      </c>
      <c r="W34" s="2"/>
      <c r="X34" s="7">
        <f t="shared" si="34"/>
        <v>-1.85</v>
      </c>
      <c r="Y34" s="2"/>
      <c r="Z34" s="6">
        <f t="shared" si="35"/>
        <v>-1</v>
      </c>
    </row>
    <row r="35" spans="1:26" s="25" customFormat="1" outlineLevel="1" collapsed="1" x14ac:dyDescent="0.25">
      <c r="A35" s="26"/>
      <c r="B35" s="13" t="str">
        <f>CONCATENATE("     ","Bank/card Fees                                    ")</f>
        <v xml:space="preserve">     Bank/card Fees                                    </v>
      </c>
      <c r="C35" s="13"/>
      <c r="D35" s="1">
        <f>SUM(OSRRefD22_4x_0)</f>
        <v>0</v>
      </c>
      <c r="E35" s="1"/>
      <c r="F35" s="5">
        <f t="shared" si="28"/>
        <v>0</v>
      </c>
      <c r="G35" s="1"/>
      <c r="H35" s="1">
        <f>SUM(OSRRefH22_4x_0)</f>
        <v>0</v>
      </c>
      <c r="I35" s="1"/>
      <c r="J35" s="5">
        <f t="shared" si="29"/>
        <v>0</v>
      </c>
      <c r="K35" s="1"/>
      <c r="L35" s="1">
        <f t="shared" si="30"/>
        <v>0</v>
      </c>
      <c r="M35" s="1"/>
      <c r="N35" s="5">
        <f t="shared" si="31"/>
        <v>0</v>
      </c>
      <c r="O35" s="13"/>
      <c r="P35" s="1">
        <f>SUM(OSRRefP22_4x_0)</f>
        <v>0</v>
      </c>
      <c r="Q35" s="1"/>
      <c r="R35" s="5">
        <f t="shared" si="32"/>
        <v>0</v>
      </c>
      <c r="S35" s="1"/>
      <c r="T35" s="1">
        <f>SUM(OSRRefT22_4x_0)</f>
        <v>348.55</v>
      </c>
      <c r="U35" s="1"/>
      <c r="V35" s="5">
        <f t="shared" si="33"/>
        <v>1.7557539919413136E-2</v>
      </c>
      <c r="W35" s="1"/>
      <c r="X35" s="1">
        <f t="shared" si="34"/>
        <v>-348.55</v>
      </c>
      <c r="Y35" s="1"/>
      <c r="Z35" s="5">
        <f t="shared" si="35"/>
        <v>-1</v>
      </c>
    </row>
    <row r="36" spans="1:26" s="24" customFormat="1" hidden="1" outlineLevel="2" x14ac:dyDescent="0.25">
      <c r="A36" s="27"/>
      <c r="B36" s="11" t="str">
        <f>CONCATENATE("          ", "6381", " - ", "BANK/CREDIT CARD FEES")</f>
        <v xml:space="preserve">          6381 - BANK/CREDIT CARD FEES</v>
      </c>
      <c r="C36" s="11"/>
      <c r="D36" s="7"/>
      <c r="E36" s="2"/>
      <c r="F36" s="6">
        <f t="shared" si="28"/>
        <v>0</v>
      </c>
      <c r="G36" s="2"/>
      <c r="H36" s="7"/>
      <c r="I36" s="2"/>
      <c r="J36" s="6">
        <f t="shared" si="29"/>
        <v>0</v>
      </c>
      <c r="K36" s="2"/>
      <c r="L36" s="7">
        <f t="shared" si="30"/>
        <v>0</v>
      </c>
      <c r="M36" s="2"/>
      <c r="N36" s="6">
        <f t="shared" si="31"/>
        <v>0</v>
      </c>
      <c r="O36" s="11"/>
      <c r="P36" s="7"/>
      <c r="Q36" s="2"/>
      <c r="R36" s="6">
        <f t="shared" si="32"/>
        <v>0</v>
      </c>
      <c r="S36" s="2"/>
      <c r="T36" s="7">
        <v>348.55</v>
      </c>
      <c r="U36" s="2"/>
      <c r="V36" s="6">
        <f t="shared" si="33"/>
        <v>1.7557539919413136E-2</v>
      </c>
      <c r="W36" s="2"/>
      <c r="X36" s="7">
        <f t="shared" si="34"/>
        <v>-348.55</v>
      </c>
      <c r="Y36" s="2"/>
      <c r="Z36" s="6">
        <f t="shared" si="35"/>
        <v>-1</v>
      </c>
    </row>
    <row r="37" spans="1:26" s="25" customFormat="1" outlineLevel="1" collapsed="1" x14ac:dyDescent="0.25">
      <c r="A37" s="26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SUM(OSRRefD22_5x_0)</f>
        <v>479.29</v>
      </c>
      <c r="E37" s="1"/>
      <c r="F37" s="5">
        <f t="shared" si="28"/>
        <v>0</v>
      </c>
      <c r="G37" s="1"/>
      <c r="H37" s="1">
        <f>SUM(OSRRefH22_5x_0)</f>
        <v>0</v>
      </c>
      <c r="I37" s="1"/>
      <c r="J37" s="5">
        <f t="shared" si="29"/>
        <v>0</v>
      </c>
      <c r="K37" s="1"/>
      <c r="L37" s="1">
        <f t="shared" si="30"/>
        <v>479.29</v>
      </c>
      <c r="M37" s="1"/>
      <c r="N37" s="5">
        <f t="shared" si="31"/>
        <v>0</v>
      </c>
      <c r="O37" s="13"/>
      <c r="P37" s="1">
        <f>SUM(OSRRefP22_5x_0)</f>
        <v>2875.74</v>
      </c>
      <c r="Q37" s="1"/>
      <c r="R37" s="5">
        <f t="shared" si="32"/>
        <v>0</v>
      </c>
      <c r="S37" s="1"/>
      <c r="T37" s="1">
        <f>SUM(OSRRefT22_5x_0)</f>
        <v>0</v>
      </c>
      <c r="U37" s="1"/>
      <c r="V37" s="5">
        <f t="shared" si="33"/>
        <v>0</v>
      </c>
      <c r="W37" s="1"/>
      <c r="X37" s="1">
        <f t="shared" si="34"/>
        <v>2875.74</v>
      </c>
      <c r="Y37" s="1"/>
      <c r="Z37" s="5">
        <f t="shared" si="35"/>
        <v>0</v>
      </c>
    </row>
    <row r="38" spans="1:26" s="24" customFormat="1" hidden="1" outlineLevel="2" x14ac:dyDescent="0.25">
      <c r="A38" s="27"/>
      <c r="B38" s="11" t="str">
        <f>CONCATENATE("          ", "6322", " - ", "EQUIPMENT DEPRECIATION EXPENSE")</f>
        <v xml:space="preserve">          6322 - EQUIPMENT DEPRECIATION EXPENSE</v>
      </c>
      <c r="C38" s="11"/>
      <c r="D38" s="7">
        <v>479.29</v>
      </c>
      <c r="E38" s="2"/>
      <c r="F38" s="6">
        <f t="shared" si="28"/>
        <v>0</v>
      </c>
      <c r="G38" s="2"/>
      <c r="H38" s="7"/>
      <c r="I38" s="2"/>
      <c r="J38" s="6">
        <f t="shared" si="29"/>
        <v>0</v>
      </c>
      <c r="K38" s="2"/>
      <c r="L38" s="7">
        <f t="shared" si="30"/>
        <v>479.29</v>
      </c>
      <c r="M38" s="2"/>
      <c r="N38" s="6">
        <f t="shared" si="31"/>
        <v>0</v>
      </c>
      <c r="O38" s="11"/>
      <c r="P38" s="7">
        <v>2875.74</v>
      </c>
      <c r="Q38" s="2"/>
      <c r="R38" s="6">
        <f t="shared" si="32"/>
        <v>0</v>
      </c>
      <c r="S38" s="2"/>
      <c r="T38" s="7"/>
      <c r="U38" s="2"/>
      <c r="V38" s="6">
        <f t="shared" si="33"/>
        <v>0</v>
      </c>
      <c r="W38" s="2"/>
      <c r="X38" s="7">
        <f t="shared" si="34"/>
        <v>2875.74</v>
      </c>
      <c r="Y38" s="2"/>
      <c r="Z38" s="6">
        <f t="shared" si="35"/>
        <v>0</v>
      </c>
    </row>
    <row r="39" spans="1:26" s="25" customFormat="1" outlineLevel="1" collapsed="1" x14ac:dyDescent="0.25">
      <c r="A39" s="26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SUM(OSRRefD22_6x_0)</f>
        <v>0</v>
      </c>
      <c r="E39" s="1"/>
      <c r="F39" s="5">
        <f t="shared" si="28"/>
        <v>0</v>
      </c>
      <c r="G39" s="1"/>
      <c r="H39" s="1">
        <f>SUM(OSRRefH22_6x_0)</f>
        <v>0</v>
      </c>
      <c r="I39" s="1"/>
      <c r="J39" s="5">
        <f t="shared" si="29"/>
        <v>0</v>
      </c>
      <c r="K39" s="1"/>
      <c r="L39" s="1">
        <f t="shared" si="30"/>
        <v>0</v>
      </c>
      <c r="M39" s="1"/>
      <c r="N39" s="5">
        <f t="shared" si="31"/>
        <v>0</v>
      </c>
      <c r="O39" s="13"/>
      <c r="P39" s="1">
        <f>SUM(OSRRefP22_6x_0)</f>
        <v>0</v>
      </c>
      <c r="Q39" s="1"/>
      <c r="R39" s="5">
        <f t="shared" si="32"/>
        <v>0</v>
      </c>
      <c r="S39" s="1"/>
      <c r="T39" s="1">
        <f>SUM(OSRRefT22_6x_0)</f>
        <v>114.64</v>
      </c>
      <c r="U39" s="1"/>
      <c r="V39" s="5">
        <f t="shared" si="33"/>
        <v>5.7747708402281503E-3</v>
      </c>
      <c r="W39" s="1"/>
      <c r="X39" s="1">
        <f t="shared" si="34"/>
        <v>-114.64</v>
      </c>
      <c r="Y39" s="1"/>
      <c r="Z39" s="5">
        <f t="shared" si="35"/>
        <v>-1</v>
      </c>
    </row>
    <row r="40" spans="1:26" s="24" customFormat="1" hidden="1" outlineLevel="2" x14ac:dyDescent="0.25">
      <c r="A40" s="27"/>
      <c r="B40" s="11" t="str">
        <f>CONCATENATE("          ", "6277", " - ", "EMPLOYEE APPRECIATION")</f>
        <v xml:space="preserve">          6277 - EMPLOYEE APPRECIATION</v>
      </c>
      <c r="C40" s="11"/>
      <c r="D40" s="7"/>
      <c r="E40" s="2"/>
      <c r="F40" s="6">
        <f t="shared" si="28"/>
        <v>0</v>
      </c>
      <c r="G40" s="2"/>
      <c r="H40" s="7"/>
      <c r="I40" s="2"/>
      <c r="J40" s="6">
        <f t="shared" si="29"/>
        <v>0</v>
      </c>
      <c r="K40" s="2"/>
      <c r="L40" s="7">
        <f t="shared" si="30"/>
        <v>0</v>
      </c>
      <c r="M40" s="2"/>
      <c r="N40" s="6">
        <f t="shared" si="31"/>
        <v>0</v>
      </c>
      <c r="O40" s="11"/>
      <c r="P40" s="7"/>
      <c r="Q40" s="2"/>
      <c r="R40" s="6">
        <f t="shared" si="32"/>
        <v>0</v>
      </c>
      <c r="S40" s="2"/>
      <c r="T40" s="7">
        <v>114.64</v>
      </c>
      <c r="U40" s="2"/>
      <c r="V40" s="6">
        <f t="shared" si="33"/>
        <v>5.7747708402281503E-3</v>
      </c>
      <c r="W40" s="2"/>
      <c r="X40" s="7">
        <f t="shared" si="34"/>
        <v>-114.64</v>
      </c>
      <c r="Y40" s="2"/>
      <c r="Z40" s="6">
        <f t="shared" si="35"/>
        <v>-1</v>
      </c>
    </row>
    <row r="41" spans="1:26" s="25" customFormat="1" outlineLevel="1" collapsed="1" x14ac:dyDescent="0.25">
      <c r="A41" s="26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SUM(OSRRefD22_7x_0)</f>
        <v>4</v>
      </c>
      <c r="E41" s="1"/>
      <c r="F41" s="5">
        <f t="shared" si="28"/>
        <v>0</v>
      </c>
      <c r="G41" s="1"/>
      <c r="H41" s="1">
        <f>SUM(OSRRefH22_7x_0)</f>
        <v>4</v>
      </c>
      <c r="I41" s="1"/>
      <c r="J41" s="5">
        <f t="shared" si="29"/>
        <v>0</v>
      </c>
      <c r="K41" s="1"/>
      <c r="L41" s="1">
        <f t="shared" si="30"/>
        <v>0</v>
      </c>
      <c r="M41" s="1"/>
      <c r="N41" s="5">
        <f t="shared" si="31"/>
        <v>0</v>
      </c>
      <c r="O41" s="13"/>
      <c r="P41" s="1">
        <f>SUM(OSRRefP22_7x_0)</f>
        <v>523.54999999999995</v>
      </c>
      <c r="Q41" s="1"/>
      <c r="R41" s="5">
        <f t="shared" si="32"/>
        <v>0</v>
      </c>
      <c r="S41" s="1"/>
      <c r="T41" s="1">
        <f>SUM(OSRRefT22_7x_0)</f>
        <v>3271.75</v>
      </c>
      <c r="U41" s="1"/>
      <c r="V41" s="5">
        <f t="shared" si="33"/>
        <v>0.16480815157463757</v>
      </c>
      <c r="W41" s="1"/>
      <c r="X41" s="1">
        <f t="shared" si="34"/>
        <v>-2748.2</v>
      </c>
      <c r="Y41" s="1"/>
      <c r="Z41" s="5">
        <f t="shared" si="35"/>
        <v>-0.83997860472224339</v>
      </c>
    </row>
    <row r="42" spans="1:26" s="24" customFormat="1" hidden="1" outlineLevel="2" x14ac:dyDescent="0.25">
      <c r="A42" s="27"/>
      <c r="B42" s="11" t="str">
        <f>CONCATENATE("          ", "6279", " - ", "GENERAL EXPENSE")</f>
        <v xml:space="preserve">          6279 - GENERAL EXPENSE</v>
      </c>
      <c r="C42" s="11"/>
      <c r="D42" s="7">
        <v>4</v>
      </c>
      <c r="E42" s="2"/>
      <c r="F42" s="6">
        <f t="shared" si="28"/>
        <v>0</v>
      </c>
      <c r="G42" s="2"/>
      <c r="H42" s="7">
        <v>4</v>
      </c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>
        <v>523.54999999999995</v>
      </c>
      <c r="Q42" s="2"/>
      <c r="R42" s="6">
        <f t="shared" si="32"/>
        <v>0</v>
      </c>
      <c r="S42" s="2"/>
      <c r="T42" s="7">
        <v>3271.75</v>
      </c>
      <c r="U42" s="2"/>
      <c r="V42" s="6">
        <f t="shared" si="33"/>
        <v>0.16480815157463757</v>
      </c>
      <c r="W42" s="2"/>
      <c r="X42" s="7">
        <f t="shared" si="34"/>
        <v>-2748.2</v>
      </c>
      <c r="Y42" s="2"/>
      <c r="Z42" s="6">
        <f t="shared" si="35"/>
        <v>-0.83997860472224339</v>
      </c>
    </row>
    <row r="43" spans="1:26" s="25" customFormat="1" outlineLevel="1" collapsed="1" x14ac:dyDescent="0.25">
      <c r="A43" s="26"/>
      <c r="B43" s="13" t="str">
        <f>CONCATENATE("     ","Repair and Maintenance                            ")</f>
        <v xml:space="preserve">     Repair and Maintenance                            </v>
      </c>
      <c r="C43" s="13"/>
      <c r="D43" s="1">
        <f>SUM(OSRRefD22_8x_0)</f>
        <v>0</v>
      </c>
      <c r="E43" s="1"/>
      <c r="F43" s="5">
        <f t="shared" si="28"/>
        <v>0</v>
      </c>
      <c r="G43" s="1"/>
      <c r="H43" s="1">
        <f>SUM(OSRRefH22_8x_0)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SUM(OSRRefP22_8x_0)</f>
        <v>154.33000000000001</v>
      </c>
      <c r="Q43" s="1"/>
      <c r="R43" s="5">
        <f t="shared" si="32"/>
        <v>0</v>
      </c>
      <c r="S43" s="1"/>
      <c r="T43" s="1">
        <f>SUM(OSRRefT22_8x_0)</f>
        <v>434.72</v>
      </c>
      <c r="U43" s="1"/>
      <c r="V43" s="5">
        <f t="shared" si="33"/>
        <v>2.1898188936357133E-2</v>
      </c>
      <c r="W43" s="1"/>
      <c r="X43" s="1">
        <f t="shared" si="34"/>
        <v>-280.39</v>
      </c>
      <c r="Y43" s="1"/>
      <c r="Z43" s="5">
        <f t="shared" si="35"/>
        <v>-0.64498987854251</v>
      </c>
    </row>
    <row r="44" spans="1:26" s="24" customFormat="1" hidden="1" outlineLevel="2" x14ac:dyDescent="0.25">
      <c r="A44" s="27"/>
      <c r="B44" s="11" t="str">
        <f>CONCATENATE("          ", "6373", " - ", "MAINTENANCE CONTRACTS")</f>
        <v xml:space="preserve">          6373 - MAINTENANCE CONTRACTS</v>
      </c>
      <c r="C44" s="11"/>
      <c r="D44" s="7"/>
      <c r="E44" s="2"/>
      <c r="F44" s="6">
        <f t="shared" si="28"/>
        <v>0</v>
      </c>
      <c r="G44" s="2"/>
      <c r="H44" s="7"/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>
        <v>154.33000000000001</v>
      </c>
      <c r="Q44" s="2"/>
      <c r="R44" s="6">
        <f t="shared" si="32"/>
        <v>0</v>
      </c>
      <c r="S44" s="2"/>
      <c r="T44" s="7">
        <v>296.64</v>
      </c>
      <c r="U44" s="2"/>
      <c r="V44" s="6">
        <f t="shared" si="33"/>
        <v>1.4942672906884842E-2</v>
      </c>
      <c r="W44" s="2"/>
      <c r="X44" s="7">
        <f t="shared" si="34"/>
        <v>-142.30999999999997</v>
      </c>
      <c r="Y44" s="2"/>
      <c r="Z44" s="6">
        <f t="shared" si="35"/>
        <v>-0.4797397518878101</v>
      </c>
    </row>
    <row r="45" spans="1:26" s="24" customFormat="1" hidden="1" outlineLevel="2" x14ac:dyDescent="0.25">
      <c r="A45" s="27"/>
      <c r="B45" s="11" t="str">
        <f>CONCATENATE("          ", "6375", " - ", "OUTSIDE REPAIRS &amp; MAINTENANCE")</f>
        <v xml:space="preserve">          6375 - OUTSIDE REPAIRS &amp; MAINTENANCE</v>
      </c>
      <c r="C45" s="11"/>
      <c r="D45" s="7"/>
      <c r="E45" s="2"/>
      <c r="F45" s="6">
        <f t="shared" si="28"/>
        <v>0</v>
      </c>
      <c r="G45" s="2"/>
      <c r="H45" s="7"/>
      <c r="I45" s="2"/>
      <c r="J45" s="6">
        <f t="shared" si="29"/>
        <v>0</v>
      </c>
      <c r="K45" s="2"/>
      <c r="L45" s="7">
        <f t="shared" si="30"/>
        <v>0</v>
      </c>
      <c r="M45" s="2"/>
      <c r="N45" s="6">
        <f t="shared" si="31"/>
        <v>0</v>
      </c>
      <c r="O45" s="11"/>
      <c r="P45" s="7"/>
      <c r="Q45" s="2"/>
      <c r="R45" s="6">
        <f t="shared" si="32"/>
        <v>0</v>
      </c>
      <c r="S45" s="2"/>
      <c r="T45" s="7">
        <v>138.08000000000001</v>
      </c>
      <c r="U45" s="2"/>
      <c r="V45" s="6">
        <f t="shared" si="33"/>
        <v>6.9555160294722876E-3</v>
      </c>
      <c r="W45" s="2"/>
      <c r="X45" s="7">
        <f t="shared" si="34"/>
        <v>-138.08000000000001</v>
      </c>
      <c r="Y45" s="2"/>
      <c r="Z45" s="6">
        <f t="shared" si="35"/>
        <v>-1</v>
      </c>
    </row>
    <row r="46" spans="1:26" s="25" customFormat="1" outlineLevel="1" collapsed="1" x14ac:dyDescent="0.25">
      <c r="A46" s="26"/>
      <c r="B46" s="13" t="str">
        <f>CONCATENATE("     ","Royalty &amp; Commissions                             ")</f>
        <v xml:space="preserve">     Royalty &amp; Commissions                             </v>
      </c>
      <c r="C46" s="13"/>
      <c r="D46" s="1">
        <f>SUM(OSRRefD22_9x_0)</f>
        <v>0</v>
      </c>
      <c r="E46" s="1"/>
      <c r="F46" s="5">
        <f t="shared" ref="F46:F53" si="36">IF(D$12=0,0,D46/D$12)</f>
        <v>0</v>
      </c>
      <c r="G46" s="1"/>
      <c r="H46" s="1">
        <f>SUM(OSRRefH22_9x_0)</f>
        <v>0</v>
      </c>
      <c r="I46" s="1"/>
      <c r="J46" s="5">
        <f t="shared" ref="J46:J53" si="37">IF(H$12=0,0,H46/H$12)</f>
        <v>0</v>
      </c>
      <c r="K46" s="1"/>
      <c r="L46" s="1">
        <f t="shared" ref="L46:L53" si="38">+D46-H46</f>
        <v>0</v>
      </c>
      <c r="M46" s="1"/>
      <c r="N46" s="5">
        <f t="shared" ref="N46:N53" si="39">IF(H46=0,0,L46/H46)</f>
        <v>0</v>
      </c>
      <c r="O46" s="13"/>
      <c r="P46" s="1">
        <f>SUM(OSRRefP22_9x_0)</f>
        <v>0</v>
      </c>
      <c r="Q46" s="1"/>
      <c r="R46" s="5">
        <f t="shared" ref="R46:R53" si="40">IF(P$12=0,0,P46/P$12)</f>
        <v>0</v>
      </c>
      <c r="S46" s="1"/>
      <c r="T46" s="1">
        <f>SUM(OSRRefT22_9x_0)</f>
        <v>6595.88</v>
      </c>
      <c r="U46" s="1"/>
      <c r="V46" s="5">
        <f t="shared" ref="V46:V53" si="41">IF(T$12=0,0,T46/T$12)</f>
        <v>0.33225484551329426</v>
      </c>
      <c r="W46" s="1"/>
      <c r="X46" s="1">
        <f t="shared" ref="X46:X53" si="42">+P46-T46</f>
        <v>-6595.88</v>
      </c>
      <c r="Y46" s="1"/>
      <c r="Z46" s="5">
        <f t="shared" ref="Z46:Z53" si="43">IF(T46=0,0,X46/T46)</f>
        <v>-1</v>
      </c>
    </row>
    <row r="47" spans="1:26" s="24" customFormat="1" hidden="1" outlineLevel="2" x14ac:dyDescent="0.25">
      <c r="A47" s="27"/>
      <c r="B47" s="11" t="str">
        <f>CONCATENATE("          ", "6254", " - ", "ROYALTY &amp; COMMISSIONS")</f>
        <v xml:space="preserve">          6254 - ROYALTY &amp; COMMISSIONS</v>
      </c>
      <c r="C47" s="11"/>
      <c r="D47" s="7"/>
      <c r="E47" s="2"/>
      <c r="F47" s="6">
        <f t="shared" si="36"/>
        <v>0</v>
      </c>
      <c r="G47" s="2"/>
      <c r="H47" s="7"/>
      <c r="I47" s="2"/>
      <c r="J47" s="6">
        <f t="shared" si="37"/>
        <v>0</v>
      </c>
      <c r="K47" s="2"/>
      <c r="L47" s="7">
        <f t="shared" si="38"/>
        <v>0</v>
      </c>
      <c r="M47" s="2"/>
      <c r="N47" s="6">
        <f t="shared" si="39"/>
        <v>0</v>
      </c>
      <c r="O47" s="11"/>
      <c r="P47" s="7"/>
      <c r="Q47" s="2"/>
      <c r="R47" s="6">
        <f t="shared" si="40"/>
        <v>0</v>
      </c>
      <c r="S47" s="2"/>
      <c r="T47" s="7">
        <v>6595.88</v>
      </c>
      <c r="U47" s="2"/>
      <c r="V47" s="6">
        <f t="shared" si="41"/>
        <v>0.33225484551329426</v>
      </c>
      <c r="W47" s="2"/>
      <c r="X47" s="7">
        <f t="shared" si="42"/>
        <v>-6595.88</v>
      </c>
      <c r="Y47" s="2"/>
      <c r="Z47" s="6">
        <f t="shared" si="43"/>
        <v>-1</v>
      </c>
    </row>
    <row r="48" spans="1:26" s="25" customFormat="1" outlineLevel="1" collapsed="1" x14ac:dyDescent="0.25">
      <c r="A48" s="26"/>
      <c r="B48" s="13" t="str">
        <f>CONCATENATE("     ","Services                                          ")</f>
        <v xml:space="preserve">     Services                                          </v>
      </c>
      <c r="C48" s="13"/>
      <c r="D48" s="1">
        <f>SUM(OSRRefD22_10x_0)</f>
        <v>0</v>
      </c>
      <c r="E48" s="1"/>
      <c r="F48" s="5">
        <f t="shared" si="36"/>
        <v>0</v>
      </c>
      <c r="G48" s="1"/>
      <c r="H48" s="1">
        <f>SUM(OSRRefH22_10x_0)</f>
        <v>0</v>
      </c>
      <c r="I48" s="1"/>
      <c r="J48" s="5">
        <f t="shared" si="37"/>
        <v>0</v>
      </c>
      <c r="K48" s="1"/>
      <c r="L48" s="1">
        <f t="shared" si="38"/>
        <v>0</v>
      </c>
      <c r="M48" s="1"/>
      <c r="N48" s="5">
        <f t="shared" si="39"/>
        <v>0</v>
      </c>
      <c r="O48" s="13"/>
      <c r="P48" s="1">
        <f>SUM(OSRRefP22_10x_0)</f>
        <v>0</v>
      </c>
      <c r="Q48" s="1"/>
      <c r="R48" s="5">
        <f t="shared" si="40"/>
        <v>0</v>
      </c>
      <c r="S48" s="1"/>
      <c r="T48" s="1">
        <f>SUM(OSRRefT22_10x_0)</f>
        <v>32.5</v>
      </c>
      <c r="U48" s="1"/>
      <c r="V48" s="5">
        <f t="shared" si="41"/>
        <v>1.6371253690458381E-3</v>
      </c>
      <c r="W48" s="1"/>
      <c r="X48" s="1">
        <f t="shared" si="42"/>
        <v>-32.5</v>
      </c>
      <c r="Y48" s="1"/>
      <c r="Z48" s="5">
        <f t="shared" si="43"/>
        <v>-1</v>
      </c>
    </row>
    <row r="49" spans="1:26" s="24" customFormat="1" hidden="1" outlineLevel="2" x14ac:dyDescent="0.25">
      <c r="A49" s="27"/>
      <c r="B49" s="11" t="str">
        <f>CONCATENATE("          ", "6286", " - ", "LAUNDRY EXPENSE")</f>
        <v xml:space="preserve">          6286 - LAUNDRY EXPENSE</v>
      </c>
      <c r="C49" s="11"/>
      <c r="D49" s="7"/>
      <c r="E49" s="2"/>
      <c r="F49" s="6">
        <f t="shared" si="36"/>
        <v>0</v>
      </c>
      <c r="G49" s="2"/>
      <c r="H49" s="7"/>
      <c r="I49" s="2"/>
      <c r="J49" s="6">
        <f t="shared" si="37"/>
        <v>0</v>
      </c>
      <c r="K49" s="2"/>
      <c r="L49" s="7">
        <f t="shared" si="38"/>
        <v>0</v>
      </c>
      <c r="M49" s="2"/>
      <c r="N49" s="6">
        <f t="shared" si="39"/>
        <v>0</v>
      </c>
      <c r="O49" s="11"/>
      <c r="P49" s="7"/>
      <c r="Q49" s="2"/>
      <c r="R49" s="6">
        <f t="shared" si="40"/>
        <v>0</v>
      </c>
      <c r="S49" s="2"/>
      <c r="T49" s="7">
        <v>32.5</v>
      </c>
      <c r="U49" s="2"/>
      <c r="V49" s="6">
        <f t="shared" si="41"/>
        <v>1.6371253690458381E-3</v>
      </c>
      <c r="W49" s="2"/>
      <c r="X49" s="7">
        <f t="shared" si="42"/>
        <v>-32.5</v>
      </c>
      <c r="Y49" s="2"/>
      <c r="Z49" s="6">
        <f t="shared" si="43"/>
        <v>-1</v>
      </c>
    </row>
    <row r="50" spans="1:26" s="25" customFormat="1" outlineLevel="1" collapsed="1" x14ac:dyDescent="0.25">
      <c r="A50" s="26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SUM(OSRRefD22_11x_0)</f>
        <v>0</v>
      </c>
      <c r="E50" s="1"/>
      <c r="F50" s="5">
        <f t="shared" si="36"/>
        <v>0</v>
      </c>
      <c r="G50" s="1"/>
      <c r="H50" s="1">
        <f>SUM(OSRRefH22_11x_0)</f>
        <v>0</v>
      </c>
      <c r="I50" s="1"/>
      <c r="J50" s="5">
        <f t="shared" si="37"/>
        <v>0</v>
      </c>
      <c r="K50" s="1"/>
      <c r="L50" s="1">
        <f t="shared" si="38"/>
        <v>0</v>
      </c>
      <c r="M50" s="1"/>
      <c r="N50" s="5">
        <f t="shared" si="39"/>
        <v>0</v>
      </c>
      <c r="O50" s="13"/>
      <c r="P50" s="1">
        <f>SUM(OSRRefP22_11x_0)</f>
        <v>0</v>
      </c>
      <c r="Q50" s="1"/>
      <c r="R50" s="5">
        <f t="shared" si="40"/>
        <v>0</v>
      </c>
      <c r="S50" s="1"/>
      <c r="T50" s="1">
        <f>SUM(OSRRefT22_11x_0)</f>
        <v>1013.37</v>
      </c>
      <c r="U50" s="1"/>
      <c r="V50" s="5">
        <f t="shared" si="41"/>
        <v>5.1046576468614796E-2</v>
      </c>
      <c r="W50" s="1"/>
      <c r="X50" s="1">
        <f t="shared" si="42"/>
        <v>-1013.37</v>
      </c>
      <c r="Y50" s="1"/>
      <c r="Z50" s="5">
        <f t="shared" si="43"/>
        <v>-1</v>
      </c>
    </row>
    <row r="51" spans="1:26" s="24" customFormat="1" hidden="1" outlineLevel="2" x14ac:dyDescent="0.25">
      <c r="A51" s="27"/>
      <c r="B51" s="11" t="str">
        <f>CONCATENATE("          ", "6239", " - ", "KITCHEN SUPPLIES")</f>
        <v xml:space="preserve">          6239 - KITCHEN SUPPLIES</v>
      </c>
      <c r="C51" s="11"/>
      <c r="D51" s="7"/>
      <c r="E51" s="2"/>
      <c r="F51" s="6">
        <f t="shared" si="36"/>
        <v>0</v>
      </c>
      <c r="G51" s="2"/>
      <c r="H51" s="7"/>
      <c r="I51" s="2"/>
      <c r="J51" s="6">
        <f t="shared" si="37"/>
        <v>0</v>
      </c>
      <c r="K51" s="2"/>
      <c r="L51" s="7">
        <f t="shared" si="38"/>
        <v>0</v>
      </c>
      <c r="M51" s="2"/>
      <c r="N51" s="6">
        <f t="shared" si="39"/>
        <v>0</v>
      </c>
      <c r="O51" s="11"/>
      <c r="P51" s="7"/>
      <c r="Q51" s="2"/>
      <c r="R51" s="6">
        <f t="shared" si="40"/>
        <v>0</v>
      </c>
      <c r="S51" s="2"/>
      <c r="T51" s="7">
        <v>875.42</v>
      </c>
      <c r="U51" s="2"/>
      <c r="V51" s="6">
        <f t="shared" si="41"/>
        <v>4.4097608940618691E-2</v>
      </c>
      <c r="W51" s="2"/>
      <c r="X51" s="7">
        <f t="shared" si="42"/>
        <v>-875.42</v>
      </c>
      <c r="Y51" s="2"/>
      <c r="Z51" s="6">
        <f t="shared" si="43"/>
        <v>-1</v>
      </c>
    </row>
    <row r="52" spans="1:26" s="24" customFormat="1" hidden="1" outlineLevel="2" x14ac:dyDescent="0.25">
      <c r="A52" s="27"/>
      <c r="B52" s="11" t="str">
        <f>CONCATENATE("          ", "6241", " - ", "OFFICE EXPENSE")</f>
        <v xml:space="preserve">          6241 - OFFICE EXPENSE</v>
      </c>
      <c r="C52" s="11"/>
      <c r="D52" s="7"/>
      <c r="E52" s="2"/>
      <c r="F52" s="6">
        <f t="shared" si="36"/>
        <v>0</v>
      </c>
      <c r="G52" s="2"/>
      <c r="H52" s="7"/>
      <c r="I52" s="2"/>
      <c r="J52" s="6">
        <f t="shared" si="37"/>
        <v>0</v>
      </c>
      <c r="K52" s="2"/>
      <c r="L52" s="7">
        <f t="shared" si="38"/>
        <v>0</v>
      </c>
      <c r="M52" s="2"/>
      <c r="N52" s="6">
        <f t="shared" si="39"/>
        <v>0</v>
      </c>
      <c r="O52" s="11"/>
      <c r="P52" s="7"/>
      <c r="Q52" s="2"/>
      <c r="R52" s="6">
        <f t="shared" si="40"/>
        <v>0</v>
      </c>
      <c r="S52" s="2"/>
      <c r="T52" s="7">
        <v>33.06</v>
      </c>
      <c r="U52" s="2"/>
      <c r="V52" s="6">
        <f t="shared" si="41"/>
        <v>1.6653342984817049E-3</v>
      </c>
      <c r="W52" s="2"/>
      <c r="X52" s="7">
        <f t="shared" si="42"/>
        <v>-33.06</v>
      </c>
      <c r="Y52" s="2"/>
      <c r="Z52" s="6">
        <f t="shared" si="43"/>
        <v>-1</v>
      </c>
    </row>
    <row r="53" spans="1:26" s="24" customFormat="1" hidden="1" outlineLevel="2" x14ac:dyDescent="0.25">
      <c r="A53" s="27"/>
      <c r="B53" s="11" t="str">
        <f>CONCATENATE("          ", "6247", " - ", "STORE SUPPLIES")</f>
        <v xml:space="preserve">          6247 - STORE SUPPLIES</v>
      </c>
      <c r="C53" s="11"/>
      <c r="D53" s="7"/>
      <c r="E53" s="2"/>
      <c r="F53" s="6">
        <f t="shared" si="36"/>
        <v>0</v>
      </c>
      <c r="G53" s="2"/>
      <c r="H53" s="7"/>
      <c r="I53" s="2"/>
      <c r="J53" s="6">
        <f t="shared" si="37"/>
        <v>0</v>
      </c>
      <c r="K53" s="2"/>
      <c r="L53" s="7">
        <f t="shared" si="38"/>
        <v>0</v>
      </c>
      <c r="M53" s="2"/>
      <c r="N53" s="6">
        <f t="shared" si="39"/>
        <v>0</v>
      </c>
      <c r="O53" s="11"/>
      <c r="P53" s="7"/>
      <c r="Q53" s="2"/>
      <c r="R53" s="6">
        <f t="shared" si="40"/>
        <v>0</v>
      </c>
      <c r="S53" s="2"/>
      <c r="T53" s="7">
        <v>104.89</v>
      </c>
      <c r="U53" s="2"/>
      <c r="V53" s="6">
        <f t="shared" si="41"/>
        <v>5.2836332295143991E-3</v>
      </c>
      <c r="W53" s="2"/>
      <c r="X53" s="7">
        <f t="shared" si="42"/>
        <v>-104.89</v>
      </c>
      <c r="Y53" s="2"/>
      <c r="Z53" s="6">
        <f t="shared" si="43"/>
        <v>-1</v>
      </c>
    </row>
    <row r="54" spans="1:26" s="25" customFormat="1" outlineLevel="1" collapsed="1" x14ac:dyDescent="0.25">
      <c r="A54" s="26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SUM(OSRRefD22_12x_0)</f>
        <v>0</v>
      </c>
      <c r="E54" s="1"/>
      <c r="F54" s="5">
        <f t="shared" ref="F54:F55" si="44">IF(D$12=0,0,D54/D$12)</f>
        <v>0</v>
      </c>
      <c r="G54" s="1"/>
      <c r="H54" s="1">
        <f>SUM(OSRRefH22_12x_0)</f>
        <v>214</v>
      </c>
      <c r="I54" s="1"/>
      <c r="J54" s="5">
        <f t="shared" ref="J54:J55" si="45">IF(H$12=0,0,H54/H$12)</f>
        <v>0</v>
      </c>
      <c r="K54" s="1"/>
      <c r="L54" s="1">
        <f t="shared" ref="L54:L55" si="46">+D54-H54</f>
        <v>-214</v>
      </c>
      <c r="M54" s="1"/>
      <c r="N54" s="5">
        <f t="shared" ref="N54:N55" si="47">IF(H54=0,0,L54/H54)</f>
        <v>-1</v>
      </c>
      <c r="O54" s="13"/>
      <c r="P54" s="1">
        <f>SUM(OSRRefP22_12x_0)</f>
        <v>226.97</v>
      </c>
      <c r="Q54" s="1"/>
      <c r="R54" s="5">
        <f t="shared" ref="R54:R55" si="48">IF(P$12=0,0,P54/P$12)</f>
        <v>0</v>
      </c>
      <c r="S54" s="1"/>
      <c r="T54" s="1">
        <f>SUM(OSRRefT22_12x_0)</f>
        <v>1284.05</v>
      </c>
      <c r="U54" s="1"/>
      <c r="V54" s="5">
        <f t="shared" ref="V54:V55" si="49">IF(T$12=0,0,T54/T$12)</f>
        <v>6.4681564003794101E-2</v>
      </c>
      <c r="W54" s="1"/>
      <c r="X54" s="1">
        <f t="shared" ref="X54:X55" si="50">+P54-T54</f>
        <v>-1057.08</v>
      </c>
      <c r="Y54" s="1"/>
      <c r="Z54" s="5">
        <f t="shared" ref="Z54:Z55" si="51">IF(T54=0,0,X54/T54)</f>
        <v>-0.8232389704450761</v>
      </c>
    </row>
    <row r="55" spans="1:26" s="24" customFormat="1" hidden="1" outlineLevel="2" x14ac:dyDescent="0.25">
      <c r="A55" s="27"/>
      <c r="B55" s="11" t="str">
        <f>CONCATENATE("          ", "6309", " - ", "TELEPHONE")</f>
        <v xml:space="preserve">          6309 - TELEPHONE</v>
      </c>
      <c r="C55" s="11"/>
      <c r="D55" s="7"/>
      <c r="E55" s="2"/>
      <c r="F55" s="6">
        <f t="shared" si="44"/>
        <v>0</v>
      </c>
      <c r="G55" s="2"/>
      <c r="H55" s="7">
        <v>214</v>
      </c>
      <c r="I55" s="2"/>
      <c r="J55" s="6">
        <f t="shared" si="45"/>
        <v>0</v>
      </c>
      <c r="K55" s="2"/>
      <c r="L55" s="7">
        <f t="shared" si="46"/>
        <v>-214</v>
      </c>
      <c r="M55" s="2"/>
      <c r="N55" s="6">
        <f t="shared" si="47"/>
        <v>-1</v>
      </c>
      <c r="O55" s="11"/>
      <c r="P55" s="7">
        <v>226.97</v>
      </c>
      <c r="Q55" s="2"/>
      <c r="R55" s="6">
        <f t="shared" si="48"/>
        <v>0</v>
      </c>
      <c r="S55" s="2"/>
      <c r="T55" s="7">
        <v>1284.05</v>
      </c>
      <c r="U55" s="2"/>
      <c r="V55" s="6">
        <f t="shared" si="49"/>
        <v>6.4681564003794101E-2</v>
      </c>
      <c r="W55" s="2"/>
      <c r="X55" s="7">
        <f t="shared" si="50"/>
        <v>-1057.08</v>
      </c>
      <c r="Y55" s="2"/>
      <c r="Z55" s="6">
        <f t="shared" si="51"/>
        <v>-0.8232389704450761</v>
      </c>
    </row>
    <row r="56" spans="1:26" s="55" customFormat="1" x14ac:dyDescent="0.25">
      <c r="A56" s="37"/>
      <c r="B56" s="37"/>
      <c r="C56" s="37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collapsed="1" x14ac:dyDescent="0.25">
      <c r="A57" s="10"/>
      <c r="B57" s="29" t="s">
        <v>0</v>
      </c>
      <c r="C57" s="10"/>
      <c r="D57" s="4">
        <f>SUM(OSRRefD25x_0)</f>
        <v>0</v>
      </c>
      <c r="E57" s="4"/>
      <c r="F57" s="12">
        <f t="shared" ref="F57:F58" si="52">IF(D$12=0,0,D57/D$12)</f>
        <v>0</v>
      </c>
      <c r="G57" s="4"/>
      <c r="H57" s="4">
        <f>SUM(OSRRefH25x_0)</f>
        <v>0</v>
      </c>
      <c r="I57" s="4"/>
      <c r="J57" s="12">
        <f t="shared" ref="J57:J58" si="53">IF(H$12=0,0,H57/H$12)</f>
        <v>0</v>
      </c>
      <c r="K57" s="4"/>
      <c r="L57" s="4">
        <f t="shared" ref="L57:L58" si="54">+D57-H57</f>
        <v>0</v>
      </c>
      <c r="M57" s="4"/>
      <c r="N57" s="12">
        <f t="shared" ref="N57:N58" si="55">IF(H57=0,0,L57/H57)</f>
        <v>0</v>
      </c>
      <c r="O57" s="10"/>
      <c r="P57" s="4">
        <f>SUM(OSRRefP25x_0)</f>
        <v>0</v>
      </c>
      <c r="Q57" s="4"/>
      <c r="R57" s="12">
        <f t="shared" ref="R57:R58" si="56">IF(P$12=0,0,P57/P$12)</f>
        <v>0</v>
      </c>
      <c r="S57" s="4"/>
      <c r="T57" s="4">
        <f>SUM(OSRRefT25x_0)</f>
        <v>5494.64</v>
      </c>
      <c r="U57" s="4"/>
      <c r="V57" s="12">
        <f t="shared" ref="V57:V58" si="57">IF(T$12=0,0,T57/T$12)</f>
        <v>0.27678198577766228</v>
      </c>
      <c r="W57" s="4"/>
      <c r="X57" s="4">
        <f t="shared" ref="X57:X58" si="58">+P57-T57</f>
        <v>-5494.64</v>
      </c>
      <c r="Y57" s="4"/>
      <c r="Z57" s="12">
        <f t="shared" ref="Z57:Z58" si="59">IF(T57=0,0,X57/T57)</f>
        <v>-1</v>
      </c>
    </row>
    <row r="58" spans="1:26" s="24" customFormat="1" hidden="1" outlineLevel="1" x14ac:dyDescent="0.25">
      <c r="A58" s="44"/>
      <c r="B58" s="11" t="str">
        <f>CONCATENATE("          ", "9150", " - ", "MISC. INCOME")</f>
        <v xml:space="preserve">          9150 - MISC. INCOME</v>
      </c>
      <c r="C58" s="11"/>
      <c r="D58" s="2">
        <f>0</f>
        <v>0</v>
      </c>
      <c r="E58" s="2"/>
      <c r="F58" s="19">
        <f t="shared" si="52"/>
        <v>0</v>
      </c>
      <c r="G58" s="2"/>
      <c r="H58" s="2">
        <f>0</f>
        <v>0</v>
      </c>
      <c r="I58" s="2"/>
      <c r="J58" s="19">
        <f t="shared" si="53"/>
        <v>0</v>
      </c>
      <c r="K58" s="2"/>
      <c r="L58" s="2">
        <f t="shared" si="54"/>
        <v>0</v>
      </c>
      <c r="M58" s="2"/>
      <c r="N58" s="19">
        <f t="shared" si="55"/>
        <v>0</v>
      </c>
      <c r="O58" s="11"/>
      <c r="P58" s="2">
        <f>0</f>
        <v>0</v>
      </c>
      <c r="Q58" s="2"/>
      <c r="R58" s="19">
        <f t="shared" si="56"/>
        <v>0</v>
      </c>
      <c r="S58" s="2"/>
      <c r="T58" s="2">
        <f>--5494.64</f>
        <v>5494.64</v>
      </c>
      <c r="U58" s="2"/>
      <c r="V58" s="19">
        <f t="shared" si="57"/>
        <v>0.27678198577766228</v>
      </c>
      <c r="W58" s="2"/>
      <c r="X58" s="2">
        <f t="shared" si="58"/>
        <v>-5494.64</v>
      </c>
      <c r="Y58" s="2"/>
      <c r="Z58" s="19">
        <f t="shared" si="59"/>
        <v>-1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8" t="s">
        <v>3</v>
      </c>
      <c r="C60" s="28"/>
      <c r="D60" s="20">
        <f>+D19-D21+D57</f>
        <v>-483.29</v>
      </c>
      <c r="E60" s="14"/>
      <c r="F60" s="21">
        <f>IF(D$12=0,0,D60/D$12)</f>
        <v>0</v>
      </c>
      <c r="G60" s="14"/>
      <c r="H60" s="20">
        <f>+H19-H21+H57</f>
        <v>-5780.0599999999995</v>
      </c>
      <c r="I60" s="14"/>
      <c r="J60" s="21">
        <f>IF(H$12=0,0,H60/H$12)</f>
        <v>0</v>
      </c>
      <c r="K60" s="15"/>
      <c r="L60" s="20">
        <f>+D60-H60</f>
        <v>5296.7699999999995</v>
      </c>
      <c r="M60" s="15"/>
      <c r="N60" s="21">
        <f>IF(H60=0,0,L60/H60)</f>
        <v>-0.91638668110711652</v>
      </c>
      <c r="O60" s="29"/>
      <c r="P60" s="20">
        <f>+P19-P21+P57</f>
        <v>-3780.5899999999997</v>
      </c>
      <c r="Q60" s="14"/>
      <c r="R60" s="21">
        <f>IF(P$12=0,0,P60/P$12)</f>
        <v>0</v>
      </c>
      <c r="S60" s="14"/>
      <c r="T60" s="20">
        <f>+T19-T21+T57</f>
        <v>-4939.13</v>
      </c>
      <c r="U60" s="14"/>
      <c r="V60" s="21">
        <f>IF(T$12=0,0,T60/T$12)</f>
        <v>-0.24879923150816524</v>
      </c>
      <c r="W60" s="15"/>
      <c r="X60" s="20">
        <f>+P60-T60</f>
        <v>1158.5400000000004</v>
      </c>
      <c r="Y60" s="15"/>
      <c r="Z60" s="21">
        <f>IF(T60=0,0,X60/T60)</f>
        <v>-0.23456357698623045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1"/>
      <c r="B62" s="10" t="s">
        <v>13</v>
      </c>
      <c r="C62" s="10"/>
      <c r="D62" s="4"/>
      <c r="E62" s="4"/>
      <c r="F62" s="12">
        <f>IF(D$12=0,0,D62/D$12)</f>
        <v>0</v>
      </c>
      <c r="G62" s="4"/>
      <c r="H62" s="4">
        <v>41.97</v>
      </c>
      <c r="I62" s="4"/>
      <c r="J62" s="12">
        <f>IF(H$12=0,0,H62/H$12)</f>
        <v>0</v>
      </c>
      <c r="K62" s="4"/>
      <c r="L62" s="4">
        <f>+D62-H62</f>
        <v>-41.97</v>
      </c>
      <c r="M62" s="4"/>
      <c r="N62" s="12">
        <f>IF(H62=0,0,L62/H62)</f>
        <v>-1</v>
      </c>
      <c r="O62" s="10"/>
      <c r="P62" s="4"/>
      <c r="Q62" s="4"/>
      <c r="R62" s="12">
        <f>IF(P$12=0,0,P62/P$12)</f>
        <v>0</v>
      </c>
      <c r="S62" s="4"/>
      <c r="T62" s="4">
        <v>2144.15</v>
      </c>
      <c r="U62" s="4"/>
      <c r="V62" s="12">
        <f>IF(T$12=0,0,T62/T$12)</f>
        <v>0.10800745723198873</v>
      </c>
      <c r="W62" s="4"/>
      <c r="X62" s="4">
        <f>+P62-T62</f>
        <v>-2144.15</v>
      </c>
      <c r="Y62" s="4"/>
      <c r="Z62" s="12">
        <f>IF(T62=0,0,X62/T62)</f>
        <v>-1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8" t="s">
        <v>4</v>
      </c>
      <c r="C64" s="28"/>
      <c r="D64" s="33">
        <f>+D60-D62</f>
        <v>-483.29</v>
      </c>
      <c r="E64" s="14"/>
      <c r="F64" s="34">
        <f>IF(D$12=0,0,D64/D$12)</f>
        <v>0</v>
      </c>
      <c r="G64" s="14"/>
      <c r="H64" s="33">
        <f>+H60-H62</f>
        <v>-5822.03</v>
      </c>
      <c r="I64" s="14"/>
      <c r="J64" s="34">
        <f>IF(H$12=0,0,H64/H$12)</f>
        <v>0</v>
      </c>
      <c r="K64" s="15"/>
      <c r="L64" s="33">
        <f>D64-H64</f>
        <v>5338.74</v>
      </c>
      <c r="M64" s="15"/>
      <c r="N64" s="34">
        <f>IF(H64=0,0,L64/H64)</f>
        <v>-0.91698943495653573</v>
      </c>
      <c r="O64" s="29"/>
      <c r="P64" s="33">
        <f>+P60-P62</f>
        <v>-3780.5899999999997</v>
      </c>
      <c r="Q64" s="14"/>
      <c r="R64" s="34">
        <f>IF(P$12=0,0,P64/P$12)</f>
        <v>0</v>
      </c>
      <c r="S64" s="14"/>
      <c r="T64" s="33">
        <f>+T60-T62</f>
        <v>-7083.2800000000007</v>
      </c>
      <c r="U64" s="14"/>
      <c r="V64" s="34">
        <f>IF(T$12=0,0,T64/T$12)</f>
        <v>-0.35680668874015398</v>
      </c>
      <c r="W64" s="15"/>
      <c r="X64" s="33">
        <f>P64-T64</f>
        <v>3302.690000000001</v>
      </c>
      <c r="Y64" s="15"/>
      <c r="Z64" s="34">
        <f>IF(T64=0,0,X64/T64)</f>
        <v>-0.46626562835296653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5</v>
      </c>
      <c r="C67" s="28"/>
      <c r="D67" s="30">
        <f>SUM(D64:D66)</f>
        <v>-483.29</v>
      </c>
      <c r="E67" s="14"/>
      <c r="F67" s="32">
        <f>IF(D$12=0,0,D67/D$12)</f>
        <v>0</v>
      </c>
      <c r="G67" s="14"/>
      <c r="H67" s="30">
        <f>SUM(H64:H66)</f>
        <v>-5822.03</v>
      </c>
      <c r="I67" s="14"/>
      <c r="J67" s="32">
        <f>IF(H$12=0,0,H67/H$12)</f>
        <v>0</v>
      </c>
      <c r="K67" s="15"/>
      <c r="L67" s="30">
        <f>+D67-H67</f>
        <v>5338.74</v>
      </c>
      <c r="M67" s="15"/>
      <c r="N67" s="32">
        <f>IF(H67=0,0,L67/H67)</f>
        <v>-0.91698943495653573</v>
      </c>
      <c r="O67" s="29"/>
      <c r="P67" s="30">
        <f>SUM(P64:P66)</f>
        <v>-3780.5899999999997</v>
      </c>
      <c r="Q67" s="14"/>
      <c r="R67" s="32">
        <f>IF(P$12=0,0,P67/P$12)</f>
        <v>0</v>
      </c>
      <c r="S67" s="14"/>
      <c r="T67" s="30">
        <f>SUM(T64:T66)</f>
        <v>-7083.2800000000007</v>
      </c>
      <c r="U67" s="14"/>
      <c r="V67" s="32">
        <f>IF(T$12=0,0,T67/T$12)</f>
        <v>-0.35680668874015398</v>
      </c>
      <c r="W67" s="15"/>
      <c r="X67" s="30">
        <f>+P67-T67</f>
        <v>3302.690000000001</v>
      </c>
      <c r="Y67" s="15"/>
      <c r="Z67" s="32">
        <f>IF(T67=0,0,X67/T67)</f>
        <v>-0.46626562835296653</v>
      </c>
    </row>
    <row r="68" spans="1:26" ht="15.75" thickTop="1" x14ac:dyDescent="0.25">
      <c r="A68" s="9"/>
      <c r="C68" s="9"/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25">
      <c r="A69" s="9"/>
      <c r="B69" s="58">
        <v>44209.522157256943</v>
      </c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61" t="s">
        <v>313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57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","425", " - ", "Events Center")</f>
        <v>Department 425 - Events Center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36222.629999999997</v>
      </c>
      <c r="I12" s="4"/>
      <c r="J12" s="12"/>
      <c r="K12" s="4"/>
      <c r="L12" s="4">
        <f t="shared" ref="L12:L14" si="0">+D12-H12</f>
        <v>-36222.629999999997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202410.17</v>
      </c>
      <c r="U12" s="4"/>
      <c r="V12" s="12"/>
      <c r="W12" s="4"/>
      <c r="X12" s="4">
        <f t="shared" ref="X12:X14" si="2">+P12-T12</f>
        <v>-202410.17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>
        <f>--20306.05</f>
        <v>20306.05</v>
      </c>
      <c r="I13" s="2"/>
      <c r="J13" s="19"/>
      <c r="K13" s="2"/>
      <c r="L13" s="2">
        <f t="shared" si="0"/>
        <v>-20306.05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--135830.17</f>
        <v>135830.17000000001</v>
      </c>
      <c r="U13" s="2"/>
      <c r="V13" s="19"/>
      <c r="W13" s="2"/>
      <c r="X13" s="2">
        <f t="shared" si="2"/>
        <v>-135830.17000000001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 t="shared" si="4"/>
        <v>0</v>
      </c>
      <c r="E14" s="2"/>
      <c r="F14" s="19"/>
      <c r="G14" s="2"/>
      <c r="H14" s="2">
        <f>--15916.58</f>
        <v>15916.58</v>
      </c>
      <c r="I14" s="2"/>
      <c r="J14" s="19"/>
      <c r="K14" s="2"/>
      <c r="L14" s="2">
        <f t="shared" si="0"/>
        <v>-15916.58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--66580</f>
        <v>66580</v>
      </c>
      <c r="U14" s="2"/>
      <c r="V14" s="19"/>
      <c r="W14" s="2"/>
      <c r="X14" s="2">
        <f t="shared" si="2"/>
        <v>-66580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9242.85</v>
      </c>
      <c r="I16" s="4"/>
      <c r="J16" s="12">
        <f t="shared" ref="J16:J18" si="7">IF(H$12=0,0,H16/H$12)</f>
        <v>0.25516783292654344</v>
      </c>
      <c r="K16" s="4"/>
      <c r="L16" s="4">
        <f t="shared" ref="L16:L18" si="8">+D16-H16</f>
        <v>-9242.85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48236.17</v>
      </c>
      <c r="U16" s="4"/>
      <c r="V16" s="12">
        <f t="shared" ref="V16:V18" si="11">IF(T$12=0,0,T16/T$12)</f>
        <v>0.23830902370172405</v>
      </c>
      <c r="W16" s="4"/>
      <c r="X16" s="4">
        <f t="shared" ref="X16:X18" si="12">+P16-T16</f>
        <v>-48236.17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12905.85</v>
      </c>
      <c r="I17" s="2"/>
      <c r="J17" s="19">
        <f t="shared" si="7"/>
        <v>0.35629246137014353</v>
      </c>
      <c r="K17" s="2"/>
      <c r="L17" s="2">
        <f t="shared" si="8"/>
        <v>-12905.85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64448.17</v>
      </c>
      <c r="U17" s="2"/>
      <c r="V17" s="19">
        <f t="shared" si="11"/>
        <v>0.31840381340522561</v>
      </c>
      <c r="W17" s="2"/>
      <c r="X17" s="2">
        <f t="shared" si="12"/>
        <v>-64448.17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-3663</v>
      </c>
      <c r="I18" s="2"/>
      <c r="J18" s="19">
        <f t="shared" si="7"/>
        <v>-0.10112462844360004</v>
      </c>
      <c r="K18" s="2"/>
      <c r="L18" s="2">
        <f t="shared" si="8"/>
        <v>3663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-16212</v>
      </c>
      <c r="U18" s="2"/>
      <c r="V18" s="19">
        <f t="shared" si="11"/>
        <v>-8.0094789703501548E-2</v>
      </c>
      <c r="W18" s="2"/>
      <c r="X18" s="2">
        <f t="shared" si="12"/>
        <v>16212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0</v>
      </c>
      <c r="E20" s="14"/>
      <c r="F20" s="21">
        <f>IF(D$12=0,0,D20/D$12)</f>
        <v>0</v>
      </c>
      <c r="G20" s="14"/>
      <c r="H20" s="20">
        <f>H12-H16</f>
        <v>26979.78</v>
      </c>
      <c r="I20" s="14"/>
      <c r="J20" s="21">
        <f>IF(H$12=0,0,H20/H$12)</f>
        <v>0.74483216707345656</v>
      </c>
      <c r="K20" s="15"/>
      <c r="L20" s="20">
        <f>+D20-H20</f>
        <v>-26979.78</v>
      </c>
      <c r="M20" s="15"/>
      <c r="N20" s="21">
        <f>IF(H20=0,0,L20/H20)</f>
        <v>-1</v>
      </c>
      <c r="O20" s="29"/>
      <c r="P20" s="20">
        <f>P12-P16</f>
        <v>0</v>
      </c>
      <c r="Q20" s="14"/>
      <c r="R20" s="21">
        <f>IF(P$12=0,0,P20/P$12)</f>
        <v>0</v>
      </c>
      <c r="S20" s="14"/>
      <c r="T20" s="20">
        <f>T12-T16</f>
        <v>154174</v>
      </c>
      <c r="U20" s="14"/>
      <c r="V20" s="21">
        <f>IF(T$12=0,0,T20/T$12)</f>
        <v>0.76169097629827587</v>
      </c>
      <c r="W20" s="15"/>
      <c r="X20" s="20">
        <f>+P20-T20</f>
        <v>-154174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2">
        <f>SUM(OSRRefD22x_0)</f>
        <v>1000.91</v>
      </c>
      <c r="E22" s="22"/>
      <c r="F22" s="36">
        <f t="shared" ref="F22:F31" si="14">IF(D$12=0,0,D22/D$12)</f>
        <v>0</v>
      </c>
      <c r="G22" s="22"/>
      <c r="H22" s="22">
        <f>SUM(OSRRefH22x_0)</f>
        <v>26093.100000000002</v>
      </c>
      <c r="I22" s="22"/>
      <c r="J22" s="36">
        <f t="shared" ref="J22:J31" si="15">IF(H$12=0,0,H22/H$12)</f>
        <v>0.72035354694013121</v>
      </c>
      <c r="K22" s="4"/>
      <c r="L22" s="22">
        <f t="shared" ref="L22:L31" si="16">+D22-H22</f>
        <v>-25092.190000000002</v>
      </c>
      <c r="M22" s="4"/>
      <c r="N22" s="36">
        <f t="shared" ref="N22:N31" si="17">IF(H22=0,0,L22/H22)</f>
        <v>-0.96164081692094849</v>
      </c>
      <c r="O22" s="10"/>
      <c r="P22" s="22">
        <f>SUM(OSRRefP22x_0)</f>
        <v>9634.14</v>
      </c>
      <c r="Q22" s="22"/>
      <c r="R22" s="36">
        <f t="shared" ref="R22:R31" si="18">IF(P$12=0,0,P22/P$12)</f>
        <v>0</v>
      </c>
      <c r="S22" s="22"/>
      <c r="T22" s="22">
        <f>SUM(OSRRefT22x_0)</f>
        <v>172452.36000000002</v>
      </c>
      <c r="U22" s="22"/>
      <c r="V22" s="36">
        <f t="shared" ref="V22:V31" si="19">IF(T$12=0,0,T22/T$12)</f>
        <v>0.85199454157861731</v>
      </c>
      <c r="W22" s="4"/>
      <c r="X22" s="22">
        <f t="shared" ref="X22:X31" si="20">+P22-T22</f>
        <v>-162818.22000000003</v>
      </c>
      <c r="Y22" s="4"/>
      <c r="Z22" s="36">
        <f t="shared" ref="Z22:Z31" si="21">IF(T22=0,0,X22/T22)</f>
        <v>-0.94413448444544346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2803.34</v>
      </c>
      <c r="I23" s="1"/>
      <c r="J23" s="5">
        <f t="shared" si="15"/>
        <v>7.7391950832946158E-2</v>
      </c>
      <c r="K23" s="1"/>
      <c r="L23" s="1">
        <f t="shared" si="16"/>
        <v>-2803.34</v>
      </c>
      <c r="M23" s="1"/>
      <c r="N23" s="5">
        <f t="shared" si="17"/>
        <v>-1</v>
      </c>
      <c r="O23" s="13"/>
      <c r="P23" s="1">
        <f>SUM(OSRRefP22_0x_0)</f>
        <v>1420.5</v>
      </c>
      <c r="Q23" s="1"/>
      <c r="R23" s="5">
        <f t="shared" si="18"/>
        <v>0</v>
      </c>
      <c r="S23" s="1"/>
      <c r="T23" s="1">
        <f>SUM(OSRRefT22_0x_0)</f>
        <v>16586.54</v>
      </c>
      <c r="U23" s="1"/>
      <c r="V23" s="5">
        <f t="shared" si="19"/>
        <v>8.194519079747821E-2</v>
      </c>
      <c r="W23" s="1"/>
      <c r="X23" s="1">
        <f t="shared" si="20"/>
        <v>-15166.04</v>
      </c>
      <c r="Y23" s="1"/>
      <c r="Z23" s="5">
        <f t="shared" si="21"/>
        <v>-0.91435826881314608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521.66999999999996</v>
      </c>
      <c r="I24" s="2"/>
      <c r="J24" s="6">
        <f t="shared" si="15"/>
        <v>1.4401770384977568E-2</v>
      </c>
      <c r="K24" s="2"/>
      <c r="L24" s="7">
        <f t="shared" si="16"/>
        <v>-521.66999999999996</v>
      </c>
      <c r="M24" s="2"/>
      <c r="N24" s="6">
        <f t="shared" si="17"/>
        <v>-1</v>
      </c>
      <c r="O24" s="11"/>
      <c r="P24" s="7">
        <v>171.54</v>
      </c>
      <c r="Q24" s="2"/>
      <c r="R24" s="6">
        <f t="shared" si="18"/>
        <v>0</v>
      </c>
      <c r="S24" s="2"/>
      <c r="T24" s="7">
        <v>4155.18</v>
      </c>
      <c r="U24" s="2"/>
      <c r="V24" s="6">
        <f t="shared" si="19"/>
        <v>2.0528513957574365E-2</v>
      </c>
      <c r="W24" s="2"/>
      <c r="X24" s="7">
        <f t="shared" si="20"/>
        <v>-3983.6400000000003</v>
      </c>
      <c r="Y24" s="2"/>
      <c r="Z24" s="6">
        <f t="shared" si="21"/>
        <v>-0.95871658989502262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654.73</v>
      </c>
      <c r="I25" s="2"/>
      <c r="J25" s="6">
        <f t="shared" si="15"/>
        <v>1.8075164613944379E-2</v>
      </c>
      <c r="K25" s="2"/>
      <c r="L25" s="7">
        <f t="shared" si="16"/>
        <v>-654.73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2446.29</v>
      </c>
      <c r="U25" s="2"/>
      <c r="V25" s="6">
        <f t="shared" si="19"/>
        <v>1.2085805767565927E-2</v>
      </c>
      <c r="W25" s="2"/>
      <c r="X25" s="7">
        <f t="shared" si="20"/>
        <v>-2446.29</v>
      </c>
      <c r="Y25" s="2"/>
      <c r="Z25" s="6">
        <f t="shared" si="21"/>
        <v>-1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698.2</v>
      </c>
      <c r="I26" s="2"/>
      <c r="J26" s="6">
        <f t="shared" si="15"/>
        <v>1.9275243128397911E-2</v>
      </c>
      <c r="K26" s="2"/>
      <c r="L26" s="7">
        <f t="shared" si="16"/>
        <v>-698.2</v>
      </c>
      <c r="M26" s="2"/>
      <c r="N26" s="6">
        <f t="shared" si="17"/>
        <v>-1</v>
      </c>
      <c r="O26" s="11"/>
      <c r="P26" s="7">
        <v>699.3</v>
      </c>
      <c r="Q26" s="2"/>
      <c r="R26" s="6">
        <f t="shared" si="18"/>
        <v>0</v>
      </c>
      <c r="S26" s="2"/>
      <c r="T26" s="7">
        <v>4189.2</v>
      </c>
      <c r="U26" s="2"/>
      <c r="V26" s="6">
        <f t="shared" si="19"/>
        <v>2.0696588516278602E-2</v>
      </c>
      <c r="W26" s="2"/>
      <c r="X26" s="7">
        <f t="shared" si="20"/>
        <v>-3489.8999999999996</v>
      </c>
      <c r="Y26" s="2"/>
      <c r="Z26" s="6">
        <f t="shared" si="21"/>
        <v>-0.83307075336579772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43.87</v>
      </c>
      <c r="I27" s="2"/>
      <c r="J27" s="6">
        <f t="shared" si="15"/>
        <v>1.2111213349223953E-3</v>
      </c>
      <c r="K27" s="2"/>
      <c r="L27" s="7">
        <f t="shared" si="16"/>
        <v>-43.87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237.38</v>
      </c>
      <c r="U27" s="2"/>
      <c r="V27" s="6">
        <f t="shared" si="19"/>
        <v>1.1727671588833703E-3</v>
      </c>
      <c r="W27" s="2"/>
      <c r="X27" s="7">
        <f t="shared" si="20"/>
        <v>-237.38</v>
      </c>
      <c r="Y27" s="2"/>
      <c r="Z27" s="6">
        <f t="shared" si="21"/>
        <v>-1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320.99</v>
      </c>
      <c r="I28" s="2"/>
      <c r="J28" s="6">
        <f t="shared" si="15"/>
        <v>8.8615873557497081E-3</v>
      </c>
      <c r="K28" s="2"/>
      <c r="L28" s="7">
        <f t="shared" si="16"/>
        <v>-320.99</v>
      </c>
      <c r="M28" s="2"/>
      <c r="N28" s="6">
        <f t="shared" si="17"/>
        <v>-1</v>
      </c>
      <c r="O28" s="11"/>
      <c r="P28" s="7">
        <v>355.22</v>
      </c>
      <c r="Q28" s="2"/>
      <c r="R28" s="6">
        <f t="shared" si="18"/>
        <v>0</v>
      </c>
      <c r="S28" s="2"/>
      <c r="T28" s="7">
        <v>1925.94</v>
      </c>
      <c r="U28" s="2"/>
      <c r="V28" s="6">
        <f t="shared" si="19"/>
        <v>9.5150357316532066E-3</v>
      </c>
      <c r="W28" s="2"/>
      <c r="X28" s="7">
        <f t="shared" si="20"/>
        <v>-1570.72</v>
      </c>
      <c r="Y28" s="2"/>
      <c r="Z28" s="6">
        <f t="shared" si="21"/>
        <v>-0.81556019398319779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176.92</v>
      </c>
      <c r="I29" s="2"/>
      <c r="J29" s="6">
        <f t="shared" si="15"/>
        <v>4.8842394933774824E-3</v>
      </c>
      <c r="K29" s="2"/>
      <c r="L29" s="7">
        <f t="shared" si="16"/>
        <v>-176.92</v>
      </c>
      <c r="M29" s="2"/>
      <c r="N29" s="6">
        <f t="shared" si="17"/>
        <v>-1</v>
      </c>
      <c r="O29" s="11"/>
      <c r="P29" s="7">
        <v>88.46</v>
      </c>
      <c r="Q29" s="2"/>
      <c r="R29" s="6">
        <f t="shared" si="18"/>
        <v>0</v>
      </c>
      <c r="S29" s="2"/>
      <c r="T29" s="7">
        <v>1176.28</v>
      </c>
      <c r="U29" s="2"/>
      <c r="V29" s="6">
        <f t="shared" si="19"/>
        <v>5.8113680750329884E-3</v>
      </c>
      <c r="W29" s="2"/>
      <c r="X29" s="7">
        <f t="shared" si="20"/>
        <v>-1087.82</v>
      </c>
      <c r="Y29" s="2"/>
      <c r="Z29" s="6">
        <f t="shared" si="21"/>
        <v>-0.92479681708436767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211.96</v>
      </c>
      <c r="I30" s="2"/>
      <c r="J30" s="6">
        <f t="shared" si="15"/>
        <v>5.8515905664497589E-3</v>
      </c>
      <c r="K30" s="2"/>
      <c r="L30" s="7">
        <f t="shared" si="16"/>
        <v>-211.96</v>
      </c>
      <c r="M30" s="2"/>
      <c r="N30" s="6">
        <f t="shared" si="17"/>
        <v>-1</v>
      </c>
      <c r="O30" s="11"/>
      <c r="P30" s="7">
        <v>105.98</v>
      </c>
      <c r="Q30" s="2"/>
      <c r="R30" s="6">
        <f t="shared" si="18"/>
        <v>0</v>
      </c>
      <c r="S30" s="2"/>
      <c r="T30" s="7">
        <v>1471.58</v>
      </c>
      <c r="U30" s="2"/>
      <c r="V30" s="6">
        <f t="shared" si="19"/>
        <v>7.270286863550383E-3</v>
      </c>
      <c r="W30" s="2"/>
      <c r="X30" s="7">
        <f t="shared" si="20"/>
        <v>-1365.6</v>
      </c>
      <c r="Y30" s="2"/>
      <c r="Z30" s="6">
        <f t="shared" si="21"/>
        <v>-0.92798216882534412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175</v>
      </c>
      <c r="I31" s="2"/>
      <c r="J31" s="6">
        <f t="shared" si="15"/>
        <v>4.831233955126947E-3</v>
      </c>
      <c r="K31" s="2"/>
      <c r="L31" s="7">
        <f t="shared" si="16"/>
        <v>-175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984.69</v>
      </c>
      <c r="U31" s="2"/>
      <c r="V31" s="6">
        <f t="shared" si="19"/>
        <v>4.8648247269393631E-3</v>
      </c>
      <c r="W31" s="2"/>
      <c r="X31" s="7">
        <f t="shared" si="20"/>
        <v>-984.69</v>
      </c>
      <c r="Y31" s="2"/>
      <c r="Z31" s="6">
        <f t="shared" si="21"/>
        <v>-1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10391.1</v>
      </c>
      <c r="I32" s="1"/>
      <c r="J32" s="5">
        <f t="shared" ref="J32:J37" si="23">IF(H$12=0,0,H32/H$12)</f>
        <v>0.2868676294349693</v>
      </c>
      <c r="K32" s="1"/>
      <c r="L32" s="1">
        <f t="shared" ref="L32:L37" si="24">+D32-H32</f>
        <v>-10391.1</v>
      </c>
      <c r="M32" s="1"/>
      <c r="N32" s="5">
        <f t="shared" ref="N32:N37" si="25">IF(H32=0,0,L32/H32)</f>
        <v>-1</v>
      </c>
      <c r="O32" s="13"/>
      <c r="P32" s="1">
        <f>SUM(OSRRefP22_1x_0)</f>
        <v>1378.61</v>
      </c>
      <c r="Q32" s="1"/>
      <c r="R32" s="5">
        <f t="shared" ref="R32:R37" si="26">IF(P$12=0,0,P32/P$12)</f>
        <v>0</v>
      </c>
      <c r="S32" s="1"/>
      <c r="T32" s="1">
        <f>SUM(OSRRefT22_1x_0)</f>
        <v>68647.41</v>
      </c>
      <c r="U32" s="1"/>
      <c r="V32" s="5">
        <f t="shared" ref="V32:V37" si="27">IF(T$12=0,0,T32/T$12)</f>
        <v>0.33915000417222119</v>
      </c>
      <c r="W32" s="1"/>
      <c r="X32" s="1">
        <f t="shared" ref="X32:X37" si="28">+P32-T32</f>
        <v>-67268.800000000003</v>
      </c>
      <c r="Y32" s="1"/>
      <c r="Z32" s="5">
        <f t="shared" ref="Z32:Z37" si="29">IF(T32=0,0,X32/T32)</f>
        <v>-0.97991752347248062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4595.38</v>
      </c>
      <c r="I33" s="2"/>
      <c r="J33" s="6">
        <f t="shared" si="23"/>
        <v>0.12686489081549299</v>
      </c>
      <c r="K33" s="2"/>
      <c r="L33" s="7">
        <f t="shared" si="24"/>
        <v>-4595.38</v>
      </c>
      <c r="M33" s="2"/>
      <c r="N33" s="6">
        <f t="shared" si="25"/>
        <v>-1</v>
      </c>
      <c r="O33" s="11"/>
      <c r="P33" s="7">
        <v>1378.61</v>
      </c>
      <c r="Q33" s="2"/>
      <c r="R33" s="6">
        <f t="shared" si="26"/>
        <v>0</v>
      </c>
      <c r="S33" s="2"/>
      <c r="T33" s="7">
        <v>29180.66</v>
      </c>
      <c r="U33" s="2"/>
      <c r="V33" s="6">
        <f t="shared" si="27"/>
        <v>0.14416597743087711</v>
      </c>
      <c r="W33" s="2"/>
      <c r="X33" s="7">
        <f t="shared" si="28"/>
        <v>-27802.05</v>
      </c>
      <c r="Y33" s="2"/>
      <c r="Z33" s="6">
        <f t="shared" si="29"/>
        <v>-0.95275603773184014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2261.16</v>
      </c>
      <c r="I34" s="2"/>
      <c r="J34" s="6">
        <f t="shared" si="23"/>
        <v>6.2423959828427696E-2</v>
      </c>
      <c r="K34" s="2"/>
      <c r="L34" s="7">
        <f t="shared" si="24"/>
        <v>-2261.16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15460.87</v>
      </c>
      <c r="U34" s="2"/>
      <c r="V34" s="6">
        <f t="shared" si="27"/>
        <v>7.6383859565949674E-2</v>
      </c>
      <c r="W34" s="2"/>
      <c r="X34" s="7">
        <f t="shared" si="28"/>
        <v>-15460.87</v>
      </c>
      <c r="Y34" s="2"/>
      <c r="Z34" s="6">
        <f t="shared" si="29"/>
        <v>-1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2"/>
        <v>0</v>
      </c>
      <c r="G35" s="2"/>
      <c r="H35" s="7"/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303.38</v>
      </c>
      <c r="U35" s="2"/>
      <c r="V35" s="6">
        <f t="shared" si="27"/>
        <v>1.4988377313254564E-3</v>
      </c>
      <c r="W35" s="2"/>
      <c r="X35" s="7">
        <f t="shared" si="28"/>
        <v>-303.38</v>
      </c>
      <c r="Y35" s="2"/>
      <c r="Z35" s="6">
        <f t="shared" si="29"/>
        <v>-1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2"/>
        <v>0</v>
      </c>
      <c r="G36" s="2"/>
      <c r="H36" s="7">
        <v>2904.56</v>
      </c>
      <c r="I36" s="2"/>
      <c r="J36" s="6">
        <f t="shared" si="23"/>
        <v>8.0186336552591581E-2</v>
      </c>
      <c r="K36" s="2"/>
      <c r="L36" s="7">
        <f t="shared" si="24"/>
        <v>-2904.56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20507.5</v>
      </c>
      <c r="U36" s="2"/>
      <c r="V36" s="6">
        <f t="shared" si="27"/>
        <v>0.10131654945994066</v>
      </c>
      <c r="W36" s="2"/>
      <c r="X36" s="7">
        <f t="shared" si="28"/>
        <v>-20507.5</v>
      </c>
      <c r="Y36" s="2"/>
      <c r="Z36" s="6">
        <f t="shared" si="29"/>
        <v>-1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2"/>
        <v>0</v>
      </c>
      <c r="G37" s="2"/>
      <c r="H37" s="7">
        <v>630</v>
      </c>
      <c r="I37" s="2"/>
      <c r="J37" s="6">
        <f t="shared" si="23"/>
        <v>1.7392442238457009E-2</v>
      </c>
      <c r="K37" s="2"/>
      <c r="L37" s="7">
        <f t="shared" si="24"/>
        <v>-630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3195</v>
      </c>
      <c r="U37" s="2"/>
      <c r="V37" s="6">
        <f t="shared" si="27"/>
        <v>1.5784779984128267E-2</v>
      </c>
      <c r="W37" s="2"/>
      <c r="X37" s="7">
        <f t="shared" si="28"/>
        <v>-3195</v>
      </c>
      <c r="Y37" s="2"/>
      <c r="Z37" s="6">
        <f t="shared" si="29"/>
        <v>-1</v>
      </c>
    </row>
    <row r="38" spans="1:26" s="25" customFormat="1" outlineLevel="1" collapsed="1" x14ac:dyDescent="0.25">
      <c r="A38" s="26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5" si="30">IF(D$12=0,0,D38/D$12)</f>
        <v>0</v>
      </c>
      <c r="G38" s="1"/>
      <c r="H38" s="1">
        <f>SUM(OSRRefH22_2x_0)</f>
        <v>3.24</v>
      </c>
      <c r="I38" s="1"/>
      <c r="J38" s="5">
        <f t="shared" ref="J38:J55" si="31">IF(H$12=0,0,H38/H$12)</f>
        <v>8.9446845797778912E-5</v>
      </c>
      <c r="K38" s="1"/>
      <c r="L38" s="1">
        <f t="shared" ref="L38:L55" si="32">+D38-H38</f>
        <v>-3.24</v>
      </c>
      <c r="M38" s="1"/>
      <c r="N38" s="5">
        <f t="shared" ref="N38:N55" si="33">IF(H38=0,0,L38/H38)</f>
        <v>-1</v>
      </c>
      <c r="O38" s="13"/>
      <c r="P38" s="1">
        <f>SUM(OSRRefP22_2x_0)</f>
        <v>0</v>
      </c>
      <c r="Q38" s="1"/>
      <c r="R38" s="5">
        <f t="shared" ref="R38:R55" si="34">IF(P$12=0,0,P38/P$12)</f>
        <v>0</v>
      </c>
      <c r="S38" s="1"/>
      <c r="T38" s="1">
        <f>SUM(OSRRefT22_2x_0)</f>
        <v>1776.48</v>
      </c>
      <c r="U38" s="1"/>
      <c r="V38" s="5">
        <f t="shared" ref="V38:V55" si="35">IF(T$12=0,0,T38/T$12)</f>
        <v>8.7766340989684465E-3</v>
      </c>
      <c r="W38" s="1"/>
      <c r="X38" s="1">
        <f t="shared" ref="X38:X55" si="36">+P38-T38</f>
        <v>-1776.48</v>
      </c>
      <c r="Y38" s="1"/>
      <c r="Z38" s="5">
        <f t="shared" ref="Z38:Z55" si="37">IF(T38=0,0,X38/T38)</f>
        <v>-1</v>
      </c>
    </row>
    <row r="39" spans="1:26" s="24" customFormat="1" hidden="1" outlineLevel="2" x14ac:dyDescent="0.25">
      <c r="A39" s="27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30"/>
        <v>0</v>
      </c>
      <c r="G39" s="2"/>
      <c r="H39" s="7">
        <v>3.24</v>
      </c>
      <c r="I39" s="2"/>
      <c r="J39" s="6">
        <f t="shared" si="31"/>
        <v>8.9446845797778912E-5</v>
      </c>
      <c r="K39" s="2"/>
      <c r="L39" s="7">
        <f t="shared" si="32"/>
        <v>-3.24</v>
      </c>
      <c r="M39" s="2"/>
      <c r="N39" s="6">
        <f t="shared" si="33"/>
        <v>-1</v>
      </c>
      <c r="O39" s="11"/>
      <c r="P39" s="7"/>
      <c r="Q39" s="2"/>
      <c r="R39" s="6">
        <f t="shared" si="34"/>
        <v>0</v>
      </c>
      <c r="S39" s="2"/>
      <c r="T39" s="7">
        <v>1776.48</v>
      </c>
      <c r="U39" s="2"/>
      <c r="V39" s="6">
        <f t="shared" si="35"/>
        <v>8.7766340989684465E-3</v>
      </c>
      <c r="W39" s="2"/>
      <c r="X39" s="7">
        <f t="shared" si="36"/>
        <v>-1776.48</v>
      </c>
      <c r="Y39" s="2"/>
      <c r="Z39" s="6">
        <f t="shared" si="37"/>
        <v>-1</v>
      </c>
    </row>
    <row r="40" spans="1:26" s="25" customFormat="1" outlineLevel="1" collapsed="1" x14ac:dyDescent="0.25">
      <c r="A40" s="26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-2.13</v>
      </c>
      <c r="I40" s="1"/>
      <c r="J40" s="5">
        <f t="shared" si="31"/>
        <v>-5.8803018996687984E-5</v>
      </c>
      <c r="K40" s="1"/>
      <c r="L40" s="1">
        <f t="shared" si="32"/>
        <v>2.13</v>
      </c>
      <c r="M40" s="1"/>
      <c r="N40" s="5">
        <f t="shared" si="33"/>
        <v>-1</v>
      </c>
      <c r="O40" s="13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-7.0000000000000007E-2</v>
      </c>
      <c r="U40" s="1"/>
      <c r="V40" s="5">
        <f t="shared" si="35"/>
        <v>-3.4583242531736427E-7</v>
      </c>
      <c r="W40" s="1"/>
      <c r="X40" s="1">
        <f t="shared" si="36"/>
        <v>7.0000000000000007E-2</v>
      </c>
      <c r="Y40" s="1"/>
      <c r="Z40" s="5">
        <f t="shared" si="37"/>
        <v>-1</v>
      </c>
    </row>
    <row r="41" spans="1:26" s="24" customFormat="1" hidden="1" outlineLevel="2" x14ac:dyDescent="0.25">
      <c r="A41" s="27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30"/>
        <v>0</v>
      </c>
      <c r="G41" s="2"/>
      <c r="H41" s="7">
        <v>-2.13</v>
      </c>
      <c r="I41" s="2"/>
      <c r="J41" s="6">
        <f t="shared" si="31"/>
        <v>-5.8803018996687984E-5</v>
      </c>
      <c r="K41" s="2"/>
      <c r="L41" s="7">
        <f t="shared" si="32"/>
        <v>2.13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-7.0000000000000007E-2</v>
      </c>
      <c r="U41" s="2"/>
      <c r="V41" s="6">
        <f t="shared" si="35"/>
        <v>-3.4583242531736427E-7</v>
      </c>
      <c r="W41" s="2"/>
      <c r="X41" s="7">
        <f t="shared" si="36"/>
        <v>7.0000000000000007E-2</v>
      </c>
      <c r="Y41" s="2"/>
      <c r="Z41" s="6">
        <f t="shared" si="37"/>
        <v>-1</v>
      </c>
    </row>
    <row r="42" spans="1:26" s="25" customFormat="1" outlineLevel="1" collapsed="1" x14ac:dyDescent="0.25">
      <c r="A42" s="26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778.67</v>
      </c>
      <c r="I42" s="1"/>
      <c r="J42" s="5">
        <f t="shared" si="31"/>
        <v>2.1496782536221143E-2</v>
      </c>
      <c r="K42" s="1"/>
      <c r="L42" s="1">
        <f t="shared" si="32"/>
        <v>-778.67</v>
      </c>
      <c r="M42" s="1"/>
      <c r="N42" s="5">
        <f t="shared" si="33"/>
        <v>-1</v>
      </c>
      <c r="O42" s="13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4790.83</v>
      </c>
      <c r="U42" s="1"/>
      <c r="V42" s="5">
        <f t="shared" si="35"/>
        <v>2.3668919402616971E-2</v>
      </c>
      <c r="W42" s="1"/>
      <c r="X42" s="1">
        <f t="shared" si="36"/>
        <v>-4790.83</v>
      </c>
      <c r="Y42" s="1"/>
      <c r="Z42" s="5">
        <f t="shared" si="37"/>
        <v>-1</v>
      </c>
    </row>
    <row r="43" spans="1:26" s="24" customFormat="1" hidden="1" outlineLevel="2" x14ac:dyDescent="0.25">
      <c r="A43" s="27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30"/>
        <v>0</v>
      </c>
      <c r="G43" s="2"/>
      <c r="H43" s="7">
        <v>778.67</v>
      </c>
      <c r="I43" s="2"/>
      <c r="J43" s="6">
        <f t="shared" si="31"/>
        <v>2.1496782536221143E-2</v>
      </c>
      <c r="K43" s="2"/>
      <c r="L43" s="7">
        <f t="shared" si="32"/>
        <v>-778.67</v>
      </c>
      <c r="M43" s="2"/>
      <c r="N43" s="6">
        <f t="shared" si="33"/>
        <v>-1</v>
      </c>
      <c r="O43" s="11"/>
      <c r="P43" s="7"/>
      <c r="Q43" s="2"/>
      <c r="R43" s="6">
        <f t="shared" si="34"/>
        <v>0</v>
      </c>
      <c r="S43" s="2"/>
      <c r="T43" s="7">
        <v>4790.83</v>
      </c>
      <c r="U43" s="2"/>
      <c r="V43" s="6">
        <f t="shared" si="35"/>
        <v>2.3668919402616971E-2</v>
      </c>
      <c r="W43" s="2"/>
      <c r="X43" s="7">
        <f t="shared" si="36"/>
        <v>-4790.83</v>
      </c>
      <c r="Y43" s="2"/>
      <c r="Z43" s="6">
        <f t="shared" si="37"/>
        <v>-1</v>
      </c>
    </row>
    <row r="44" spans="1:26" s="25" customFormat="1" outlineLevel="1" collapsed="1" x14ac:dyDescent="0.25">
      <c r="A44" s="26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1000.91</v>
      </c>
      <c r="E44" s="1"/>
      <c r="F44" s="5">
        <f t="shared" si="30"/>
        <v>0</v>
      </c>
      <c r="G44" s="1"/>
      <c r="H44" s="1">
        <f>SUM(OSRRefH22_5x_0)</f>
        <v>255.35</v>
      </c>
      <c r="I44" s="1"/>
      <c r="J44" s="5">
        <f t="shared" si="31"/>
        <v>7.0494605168095201E-3</v>
      </c>
      <c r="K44" s="1"/>
      <c r="L44" s="1">
        <f t="shared" si="32"/>
        <v>745.56</v>
      </c>
      <c r="M44" s="1"/>
      <c r="N44" s="5">
        <f t="shared" si="33"/>
        <v>2.9197571960054827</v>
      </c>
      <c r="O44" s="13"/>
      <c r="P44" s="1">
        <f>SUM(OSRRefP22_5x_0)</f>
        <v>6005.46</v>
      </c>
      <c r="Q44" s="1"/>
      <c r="R44" s="5">
        <f t="shared" si="34"/>
        <v>0</v>
      </c>
      <c r="S44" s="1"/>
      <c r="T44" s="1">
        <f>SUM(OSRRefT22_5x_0)</f>
        <v>1532.1</v>
      </c>
      <c r="U44" s="1"/>
      <c r="V44" s="5">
        <f t="shared" si="35"/>
        <v>7.5692836975533384E-3</v>
      </c>
      <c r="W44" s="1"/>
      <c r="X44" s="1">
        <f t="shared" si="36"/>
        <v>4473.3600000000006</v>
      </c>
      <c r="Y44" s="1"/>
      <c r="Z44" s="5">
        <f t="shared" si="37"/>
        <v>2.9197571960054831</v>
      </c>
    </row>
    <row r="45" spans="1:26" s="24" customFormat="1" hidden="1" outlineLevel="2" x14ac:dyDescent="0.25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1000.91</v>
      </c>
      <c r="E45" s="2"/>
      <c r="F45" s="6">
        <f t="shared" si="30"/>
        <v>0</v>
      </c>
      <c r="G45" s="2"/>
      <c r="H45" s="7">
        <v>255.35</v>
      </c>
      <c r="I45" s="2"/>
      <c r="J45" s="6">
        <f t="shared" si="31"/>
        <v>7.0494605168095201E-3</v>
      </c>
      <c r="K45" s="2"/>
      <c r="L45" s="7">
        <f t="shared" si="32"/>
        <v>745.56</v>
      </c>
      <c r="M45" s="2"/>
      <c r="N45" s="6">
        <f t="shared" si="33"/>
        <v>2.9197571960054827</v>
      </c>
      <c r="O45" s="11"/>
      <c r="P45" s="7">
        <v>6005.46</v>
      </c>
      <c r="Q45" s="2"/>
      <c r="R45" s="6">
        <f t="shared" si="34"/>
        <v>0</v>
      </c>
      <c r="S45" s="2"/>
      <c r="T45" s="7">
        <v>1532.1</v>
      </c>
      <c r="U45" s="2"/>
      <c r="V45" s="6">
        <f t="shared" si="35"/>
        <v>7.5692836975533384E-3</v>
      </c>
      <c r="W45" s="2"/>
      <c r="X45" s="7">
        <f t="shared" si="36"/>
        <v>4473.3600000000006</v>
      </c>
      <c r="Y45" s="2"/>
      <c r="Z45" s="6">
        <f t="shared" si="37"/>
        <v>2.9197571960054831</v>
      </c>
    </row>
    <row r="46" spans="1:26" s="25" customFormat="1" outlineLevel="1" collapsed="1" x14ac:dyDescent="0.25">
      <c r="A46" s="26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30</v>
      </c>
      <c r="I46" s="1"/>
      <c r="J46" s="5">
        <f t="shared" si="31"/>
        <v>8.2821153516461957E-4</v>
      </c>
      <c r="K46" s="1"/>
      <c r="L46" s="1">
        <f t="shared" si="32"/>
        <v>-30</v>
      </c>
      <c r="M46" s="1"/>
      <c r="N46" s="5">
        <f t="shared" si="33"/>
        <v>-1</v>
      </c>
      <c r="O46" s="13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118.6</v>
      </c>
      <c r="U46" s="1"/>
      <c r="V46" s="5">
        <f t="shared" si="35"/>
        <v>5.8593893775199133E-4</v>
      </c>
      <c r="W46" s="1"/>
      <c r="X46" s="1">
        <f t="shared" si="36"/>
        <v>-118.6</v>
      </c>
      <c r="Y46" s="1"/>
      <c r="Z46" s="5">
        <f t="shared" si="37"/>
        <v>-1</v>
      </c>
    </row>
    <row r="47" spans="1:26" s="24" customFormat="1" hidden="1" outlineLevel="2" x14ac:dyDescent="0.25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30"/>
        <v>0</v>
      </c>
      <c r="G47" s="2"/>
      <c r="H47" s="7">
        <v>30</v>
      </c>
      <c r="I47" s="2"/>
      <c r="J47" s="6">
        <f t="shared" si="31"/>
        <v>8.2821153516461957E-4</v>
      </c>
      <c r="K47" s="2"/>
      <c r="L47" s="7">
        <f t="shared" si="32"/>
        <v>-30</v>
      </c>
      <c r="M47" s="2"/>
      <c r="N47" s="6">
        <f t="shared" si="33"/>
        <v>-1</v>
      </c>
      <c r="O47" s="11"/>
      <c r="P47" s="7"/>
      <c r="Q47" s="2"/>
      <c r="R47" s="6">
        <f t="shared" si="34"/>
        <v>0</v>
      </c>
      <c r="S47" s="2"/>
      <c r="T47" s="7">
        <v>118.6</v>
      </c>
      <c r="U47" s="2"/>
      <c r="V47" s="6">
        <f t="shared" si="35"/>
        <v>5.8593893775199133E-4</v>
      </c>
      <c r="W47" s="2"/>
      <c r="X47" s="7">
        <f t="shared" si="36"/>
        <v>-118.6</v>
      </c>
      <c r="Y47" s="2"/>
      <c r="Z47" s="6">
        <f t="shared" si="37"/>
        <v>-1</v>
      </c>
    </row>
    <row r="48" spans="1:26" s="25" customFormat="1" outlineLevel="1" collapsed="1" x14ac:dyDescent="0.25">
      <c r="A48" s="26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3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350</v>
      </c>
      <c r="U48" s="1"/>
      <c r="V48" s="5">
        <f t="shared" si="35"/>
        <v>1.7291621265868211E-3</v>
      </c>
      <c r="W48" s="1"/>
      <c r="X48" s="1">
        <f t="shared" si="36"/>
        <v>-350</v>
      </c>
      <c r="Y48" s="1"/>
      <c r="Z48" s="5">
        <f t="shared" si="37"/>
        <v>-1</v>
      </c>
    </row>
    <row r="49" spans="1:26" s="24" customFormat="1" hidden="1" outlineLevel="2" x14ac:dyDescent="0.25">
      <c r="A49" s="27"/>
      <c r="B49" s="11" t="str">
        <f>CONCATENATE("          ", "6351", " - ", "EQUIPMENT RENTAL")</f>
        <v xml:space="preserve">          6351 - EQUIPMENT RENTAL</v>
      </c>
      <c r="C49" s="11"/>
      <c r="D49" s="7"/>
      <c r="E49" s="2"/>
      <c r="F49" s="6">
        <f t="shared" si="30"/>
        <v>0</v>
      </c>
      <c r="G49" s="2"/>
      <c r="H49" s="7"/>
      <c r="I49" s="2"/>
      <c r="J49" s="6">
        <f t="shared" si="31"/>
        <v>0</v>
      </c>
      <c r="K49" s="2"/>
      <c r="L49" s="7">
        <f t="shared" si="32"/>
        <v>0</v>
      </c>
      <c r="M49" s="2"/>
      <c r="N49" s="6">
        <f t="shared" si="33"/>
        <v>0</v>
      </c>
      <c r="O49" s="11"/>
      <c r="P49" s="7"/>
      <c r="Q49" s="2"/>
      <c r="R49" s="6">
        <f t="shared" si="34"/>
        <v>0</v>
      </c>
      <c r="S49" s="2"/>
      <c r="T49" s="7">
        <v>350</v>
      </c>
      <c r="U49" s="2"/>
      <c r="V49" s="6">
        <f t="shared" si="35"/>
        <v>1.7291621265868211E-3</v>
      </c>
      <c r="W49" s="2"/>
      <c r="X49" s="7">
        <f t="shared" si="36"/>
        <v>-350</v>
      </c>
      <c r="Y49" s="2"/>
      <c r="Z49" s="6">
        <f t="shared" si="37"/>
        <v>-1</v>
      </c>
    </row>
    <row r="50" spans="1:26" s="25" customFormat="1" outlineLevel="1" collapsed="1" x14ac:dyDescent="0.25">
      <c r="A50" s="26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972.59</v>
      </c>
      <c r="I50" s="1"/>
      <c r="J50" s="5">
        <f t="shared" si="31"/>
        <v>2.6850341899525246E-2</v>
      </c>
      <c r="K50" s="1"/>
      <c r="L50" s="1">
        <f t="shared" si="32"/>
        <v>-972.59</v>
      </c>
      <c r="M50" s="1"/>
      <c r="N50" s="5">
        <f t="shared" si="33"/>
        <v>-1</v>
      </c>
      <c r="O50" s="13"/>
      <c r="P50" s="1">
        <f>SUM(OSRRefP22_8x_0)</f>
        <v>455</v>
      </c>
      <c r="Q50" s="1"/>
      <c r="R50" s="5">
        <f t="shared" si="34"/>
        <v>0</v>
      </c>
      <c r="S50" s="1"/>
      <c r="T50" s="1">
        <f>SUM(OSRRefT22_8x_0)</f>
        <v>12513.44</v>
      </c>
      <c r="U50" s="1"/>
      <c r="V50" s="5">
        <f t="shared" si="35"/>
        <v>6.1822190060904544E-2</v>
      </c>
      <c r="W50" s="1"/>
      <c r="X50" s="1">
        <f t="shared" si="36"/>
        <v>-12058.44</v>
      </c>
      <c r="Y50" s="1"/>
      <c r="Z50" s="5">
        <f t="shared" si="37"/>
        <v>-0.96363909524479285</v>
      </c>
    </row>
    <row r="51" spans="1:26" s="24" customFormat="1" hidden="1" outlineLevel="2" x14ac:dyDescent="0.25">
      <c r="A51" s="27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30"/>
        <v>0</v>
      </c>
      <c r="G51" s="2"/>
      <c r="H51" s="7">
        <v>972.59</v>
      </c>
      <c r="I51" s="2"/>
      <c r="J51" s="6">
        <f t="shared" si="31"/>
        <v>2.6850341899525246E-2</v>
      </c>
      <c r="K51" s="2"/>
      <c r="L51" s="7">
        <f t="shared" si="32"/>
        <v>-972.59</v>
      </c>
      <c r="M51" s="2"/>
      <c r="N51" s="6">
        <f t="shared" si="33"/>
        <v>-1</v>
      </c>
      <c r="O51" s="11"/>
      <c r="P51" s="7">
        <v>455</v>
      </c>
      <c r="Q51" s="2"/>
      <c r="R51" s="6">
        <f t="shared" si="34"/>
        <v>0</v>
      </c>
      <c r="S51" s="2"/>
      <c r="T51" s="7">
        <v>12513.44</v>
      </c>
      <c r="U51" s="2"/>
      <c r="V51" s="6">
        <f t="shared" si="35"/>
        <v>6.1822190060904544E-2</v>
      </c>
      <c r="W51" s="2"/>
      <c r="X51" s="7">
        <f t="shared" si="36"/>
        <v>-12058.44</v>
      </c>
      <c r="Y51" s="2"/>
      <c r="Z51" s="6">
        <f t="shared" si="37"/>
        <v>-0.96363909524479285</v>
      </c>
    </row>
    <row r="52" spans="1:26" s="25" customFormat="1" outlineLevel="1" collapsed="1" x14ac:dyDescent="0.25">
      <c r="A52" s="26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0</v>
      </c>
      <c r="E52" s="1"/>
      <c r="F52" s="5">
        <f t="shared" si="30"/>
        <v>0</v>
      </c>
      <c r="G52" s="1"/>
      <c r="H52" s="1">
        <f>SUM(OSRRefH22_9x_0)</f>
        <v>573</v>
      </c>
      <c r="I52" s="1"/>
      <c r="J52" s="5">
        <f t="shared" si="31"/>
        <v>1.5818840321644233E-2</v>
      </c>
      <c r="K52" s="1"/>
      <c r="L52" s="1">
        <f t="shared" si="32"/>
        <v>-573</v>
      </c>
      <c r="M52" s="1"/>
      <c r="N52" s="5">
        <f t="shared" si="33"/>
        <v>-1</v>
      </c>
      <c r="O52" s="13"/>
      <c r="P52" s="1">
        <f>SUM(OSRRefP22_9x_0)</f>
        <v>242.03</v>
      </c>
      <c r="Q52" s="1"/>
      <c r="R52" s="5">
        <f t="shared" si="34"/>
        <v>0</v>
      </c>
      <c r="S52" s="1"/>
      <c r="T52" s="1">
        <f>SUM(OSRRefT22_9x_0)</f>
        <v>5381.05</v>
      </c>
      <c r="U52" s="1"/>
      <c r="V52" s="5">
        <f t="shared" si="35"/>
        <v>2.6584879603628611E-2</v>
      </c>
      <c r="W52" s="1"/>
      <c r="X52" s="1">
        <f t="shared" si="36"/>
        <v>-5139.0200000000004</v>
      </c>
      <c r="Y52" s="1"/>
      <c r="Z52" s="5">
        <f t="shared" si="37"/>
        <v>-0.95502178942771399</v>
      </c>
    </row>
    <row r="53" spans="1:26" s="24" customFormat="1" hidden="1" outlineLevel="2" x14ac:dyDescent="0.25">
      <c r="A53" s="27"/>
      <c r="B53" s="11" t="str">
        <f>CONCATENATE("          ", "6371", " - ", "COMPUTER SOFTWARE MAINTENANCE")</f>
        <v xml:space="preserve">          6371 - COMPUTER SOFTWARE MAINTENANCE</v>
      </c>
      <c r="C53" s="11"/>
      <c r="D53" s="7"/>
      <c r="E53" s="2"/>
      <c r="F53" s="6">
        <f t="shared" si="30"/>
        <v>0</v>
      </c>
      <c r="G53" s="2"/>
      <c r="H53" s="7"/>
      <c r="I53" s="2"/>
      <c r="J53" s="6">
        <f t="shared" si="31"/>
        <v>0</v>
      </c>
      <c r="K53" s="2"/>
      <c r="L53" s="7">
        <f t="shared" si="32"/>
        <v>0</v>
      </c>
      <c r="M53" s="2"/>
      <c r="N53" s="6">
        <f t="shared" si="33"/>
        <v>0</v>
      </c>
      <c r="O53" s="11"/>
      <c r="P53" s="7"/>
      <c r="Q53" s="2"/>
      <c r="R53" s="6">
        <f t="shared" si="34"/>
        <v>0</v>
      </c>
      <c r="S53" s="2"/>
      <c r="T53" s="7">
        <v>2623.84</v>
      </c>
      <c r="U53" s="2"/>
      <c r="V53" s="6">
        <f t="shared" si="35"/>
        <v>1.2962985012067328E-2</v>
      </c>
      <c r="W53" s="2"/>
      <c r="X53" s="7">
        <f t="shared" si="36"/>
        <v>-2623.84</v>
      </c>
      <c r="Y53" s="2"/>
      <c r="Z53" s="6">
        <f t="shared" si="37"/>
        <v>-1</v>
      </c>
    </row>
    <row r="54" spans="1:26" s="24" customFormat="1" hidden="1" outlineLevel="2" x14ac:dyDescent="0.25">
      <c r="A54" s="27"/>
      <c r="B54" s="11" t="str">
        <f>CONCATENATE("          ", "6373", " - ", "MAINTENANCE CONTRACTS")</f>
        <v xml:space="preserve">          6373 - MAINTENANCE CONTRACTS</v>
      </c>
      <c r="C54" s="11"/>
      <c r="D54" s="7"/>
      <c r="E54" s="2"/>
      <c r="F54" s="6">
        <f t="shared" si="30"/>
        <v>0</v>
      </c>
      <c r="G54" s="2"/>
      <c r="H54" s="7">
        <v>573</v>
      </c>
      <c r="I54" s="2"/>
      <c r="J54" s="6">
        <f t="shared" si="31"/>
        <v>1.5818840321644233E-2</v>
      </c>
      <c r="K54" s="2"/>
      <c r="L54" s="7">
        <f t="shared" si="32"/>
        <v>-573</v>
      </c>
      <c r="M54" s="2"/>
      <c r="N54" s="6">
        <f t="shared" si="33"/>
        <v>-1</v>
      </c>
      <c r="O54" s="11"/>
      <c r="P54" s="7">
        <v>235.8</v>
      </c>
      <c r="Q54" s="2"/>
      <c r="R54" s="6">
        <f t="shared" si="34"/>
        <v>0</v>
      </c>
      <c r="S54" s="2"/>
      <c r="T54" s="7">
        <v>573</v>
      </c>
      <c r="U54" s="2"/>
      <c r="V54" s="6">
        <f t="shared" si="35"/>
        <v>2.8308854243835669E-3</v>
      </c>
      <c r="W54" s="2"/>
      <c r="X54" s="7">
        <f t="shared" si="36"/>
        <v>-337.2</v>
      </c>
      <c r="Y54" s="2"/>
      <c r="Z54" s="6">
        <f t="shared" si="37"/>
        <v>-0.58848167539267016</v>
      </c>
    </row>
    <row r="55" spans="1:26" s="24" customFormat="1" hidden="1" outlineLevel="2" x14ac:dyDescent="0.25">
      <c r="A55" s="27"/>
      <c r="B55" s="11" t="str">
        <f>CONCATENATE("          ", "6375", " - ", "OUTSIDE REPAIRS &amp; MAINTENANCE")</f>
        <v xml:space="preserve">          6375 - OUTSIDE REPAIRS &amp; MAINTENANCE</v>
      </c>
      <c r="C55" s="11"/>
      <c r="D55" s="7"/>
      <c r="E55" s="2"/>
      <c r="F55" s="6">
        <f t="shared" si="30"/>
        <v>0</v>
      </c>
      <c r="G55" s="2"/>
      <c r="H55" s="7"/>
      <c r="I55" s="2"/>
      <c r="J55" s="6">
        <f t="shared" si="31"/>
        <v>0</v>
      </c>
      <c r="K55" s="2"/>
      <c r="L55" s="7">
        <f t="shared" si="32"/>
        <v>0</v>
      </c>
      <c r="M55" s="2"/>
      <c r="N55" s="6">
        <f t="shared" si="33"/>
        <v>0</v>
      </c>
      <c r="O55" s="11"/>
      <c r="P55" s="7">
        <v>6.23</v>
      </c>
      <c r="Q55" s="2"/>
      <c r="R55" s="6">
        <f t="shared" si="34"/>
        <v>0</v>
      </c>
      <c r="S55" s="2"/>
      <c r="T55" s="7">
        <v>2184.21</v>
      </c>
      <c r="U55" s="2"/>
      <c r="V55" s="6">
        <f t="shared" si="35"/>
        <v>1.0791009167177715E-2</v>
      </c>
      <c r="W55" s="2"/>
      <c r="X55" s="7">
        <f t="shared" si="36"/>
        <v>-2177.98</v>
      </c>
      <c r="Y55" s="2"/>
      <c r="Z55" s="6">
        <f t="shared" si="37"/>
        <v>-0.99714771015607473</v>
      </c>
    </row>
    <row r="56" spans="1:26" s="25" customFormat="1" outlineLevel="1" collapsed="1" x14ac:dyDescent="0.25">
      <c r="A56" s="26"/>
      <c r="B56" s="13" t="str">
        <f>CONCATENATE("     ","Royalty &amp; Commissions                             ")</f>
        <v xml:space="preserve">     Royalty &amp; Commissions                             </v>
      </c>
      <c r="C56" s="13"/>
      <c r="D56" s="1">
        <f>SUM(OSRRefD22_10x_0)</f>
        <v>0</v>
      </c>
      <c r="E56" s="1"/>
      <c r="F56" s="5">
        <f t="shared" ref="F56:F60" si="38">IF(D$12=0,0,D56/D$12)</f>
        <v>0</v>
      </c>
      <c r="G56" s="1"/>
      <c r="H56" s="1">
        <f>SUM(OSRRefH22_10x_0)</f>
        <v>8040.34</v>
      </c>
      <c r="I56" s="1"/>
      <c r="J56" s="5">
        <f t="shared" ref="J56:J60" si="39">IF(H$12=0,0,H56/H$12)</f>
        <v>0.22197007782151656</v>
      </c>
      <c r="K56" s="1"/>
      <c r="L56" s="1">
        <f t="shared" ref="L56:L60" si="40">+D56-H56</f>
        <v>-8040.34</v>
      </c>
      <c r="M56" s="1"/>
      <c r="N56" s="5">
        <f t="shared" ref="N56:N60" si="41">IF(H56=0,0,L56/H56)</f>
        <v>-1</v>
      </c>
      <c r="O56" s="13"/>
      <c r="P56" s="1">
        <f>SUM(OSRRefP22_10x_0)</f>
        <v>0</v>
      </c>
      <c r="Q56" s="1"/>
      <c r="R56" s="5">
        <f t="shared" ref="R56:R60" si="42">IF(P$12=0,0,P56/P$12)</f>
        <v>0</v>
      </c>
      <c r="S56" s="1"/>
      <c r="T56" s="1">
        <f>SUM(OSRRefT22_10x_0)</f>
        <v>44037.87</v>
      </c>
      <c r="U56" s="1"/>
      <c r="V56" s="5">
        <f t="shared" ref="V56:V60" si="43">IF(T$12=0,0,T56/T$12)</f>
        <v>0.21756747697015422</v>
      </c>
      <c r="W56" s="1"/>
      <c r="X56" s="1">
        <f t="shared" ref="X56:X60" si="44">+P56-T56</f>
        <v>-44037.87</v>
      </c>
      <c r="Y56" s="1"/>
      <c r="Z56" s="5">
        <f t="shared" ref="Z56:Z60" si="45">IF(T56=0,0,X56/T56)</f>
        <v>-1</v>
      </c>
    </row>
    <row r="57" spans="1:26" s="24" customFormat="1" hidden="1" outlineLevel="2" x14ac:dyDescent="0.25">
      <c r="A57" s="27"/>
      <c r="B57" s="11" t="str">
        <f>CONCATENATE("          ", "6254", " - ", "ROYALTY &amp; COMMISSIONS")</f>
        <v xml:space="preserve">          6254 - ROYALTY &amp; COMMISSIONS</v>
      </c>
      <c r="C57" s="11"/>
      <c r="D57" s="7"/>
      <c r="E57" s="2"/>
      <c r="F57" s="6">
        <f t="shared" si="38"/>
        <v>0</v>
      </c>
      <c r="G57" s="2"/>
      <c r="H57" s="7">
        <v>8040.34</v>
      </c>
      <c r="I57" s="2"/>
      <c r="J57" s="6">
        <f t="shared" si="39"/>
        <v>0.22197007782151656</v>
      </c>
      <c r="K57" s="2"/>
      <c r="L57" s="7">
        <f t="shared" si="40"/>
        <v>-8040.34</v>
      </c>
      <c r="M57" s="2"/>
      <c r="N57" s="6">
        <f t="shared" si="41"/>
        <v>-1</v>
      </c>
      <c r="O57" s="11"/>
      <c r="P57" s="7"/>
      <c r="Q57" s="2"/>
      <c r="R57" s="6">
        <f t="shared" si="42"/>
        <v>0</v>
      </c>
      <c r="S57" s="2"/>
      <c r="T57" s="7">
        <v>44037.87</v>
      </c>
      <c r="U57" s="2"/>
      <c r="V57" s="6">
        <f t="shared" si="43"/>
        <v>0.21756747697015422</v>
      </c>
      <c r="W57" s="2"/>
      <c r="X57" s="7">
        <f t="shared" si="44"/>
        <v>-44037.87</v>
      </c>
      <c r="Y57" s="2"/>
      <c r="Z57" s="6">
        <f t="shared" si="45"/>
        <v>-1</v>
      </c>
    </row>
    <row r="58" spans="1:26" s="25" customFormat="1" outlineLevel="1" collapsed="1" x14ac:dyDescent="0.25">
      <c r="A58" s="26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SUM(OSRRefD22_11x_0)</f>
        <v>0</v>
      </c>
      <c r="E58" s="1"/>
      <c r="F58" s="5">
        <f t="shared" si="38"/>
        <v>0</v>
      </c>
      <c r="G58" s="1"/>
      <c r="H58" s="1">
        <f>SUM(OSRRefH22_11x_0)</f>
        <v>500.37</v>
      </c>
      <c r="I58" s="1"/>
      <c r="J58" s="5">
        <f t="shared" si="39"/>
        <v>1.381374019501069E-2</v>
      </c>
      <c r="K58" s="1"/>
      <c r="L58" s="1">
        <f t="shared" si="40"/>
        <v>-500.37</v>
      </c>
      <c r="M58" s="1"/>
      <c r="N58" s="5">
        <f t="shared" si="41"/>
        <v>-1</v>
      </c>
      <c r="O58" s="13"/>
      <c r="P58" s="1">
        <f>SUM(OSRRefP22_11x_0)</f>
        <v>0</v>
      </c>
      <c r="Q58" s="1"/>
      <c r="R58" s="5">
        <f t="shared" si="42"/>
        <v>0</v>
      </c>
      <c r="S58" s="1"/>
      <c r="T58" s="1">
        <f>SUM(OSRRefT22_11x_0)</f>
        <v>1881.2800000000002</v>
      </c>
      <c r="U58" s="1"/>
      <c r="V58" s="5">
        <f t="shared" si="43"/>
        <v>9.2943946443007283E-3</v>
      </c>
      <c r="W58" s="1"/>
      <c r="X58" s="1">
        <f t="shared" si="44"/>
        <v>-1881.2800000000002</v>
      </c>
      <c r="Y58" s="1"/>
      <c r="Z58" s="5">
        <f t="shared" si="45"/>
        <v>-1</v>
      </c>
    </row>
    <row r="59" spans="1:26" s="24" customFormat="1" hidden="1" outlineLevel="2" x14ac:dyDescent="0.25">
      <c r="A59" s="27"/>
      <c r="B59" s="11" t="str">
        <f>CONCATENATE("          ", "6282", " - ", "JANITORIAL/EXTERMINATOR EXPENS")</f>
        <v xml:space="preserve">          6282 - JANITORIAL/EXTERMINATOR EXPENS</v>
      </c>
      <c r="C59" s="11"/>
      <c r="D59" s="7"/>
      <c r="E59" s="2"/>
      <c r="F59" s="6">
        <f t="shared" si="38"/>
        <v>0</v>
      </c>
      <c r="G59" s="2"/>
      <c r="H59" s="7">
        <v>451.62</v>
      </c>
      <c r="I59" s="2"/>
      <c r="J59" s="6">
        <f t="shared" si="39"/>
        <v>1.2467896450368183E-2</v>
      </c>
      <c r="K59" s="2"/>
      <c r="L59" s="7">
        <f t="shared" si="40"/>
        <v>-451.62</v>
      </c>
      <c r="M59" s="2"/>
      <c r="N59" s="6">
        <f t="shared" si="41"/>
        <v>-1</v>
      </c>
      <c r="O59" s="11"/>
      <c r="P59" s="7"/>
      <c r="Q59" s="2"/>
      <c r="R59" s="6">
        <f t="shared" si="42"/>
        <v>0</v>
      </c>
      <c r="S59" s="2"/>
      <c r="T59" s="7">
        <v>1580.67</v>
      </c>
      <c r="U59" s="2"/>
      <c r="V59" s="6">
        <f t="shared" si="43"/>
        <v>7.8092419960914018E-3</v>
      </c>
      <c r="W59" s="2"/>
      <c r="X59" s="7">
        <f t="shared" si="44"/>
        <v>-1580.67</v>
      </c>
      <c r="Y59" s="2"/>
      <c r="Z59" s="6">
        <f t="shared" si="45"/>
        <v>-1</v>
      </c>
    </row>
    <row r="60" spans="1:26" s="24" customFormat="1" hidden="1" outlineLevel="2" x14ac:dyDescent="0.25">
      <c r="A60" s="27"/>
      <c r="B60" s="11" t="str">
        <f>CONCATENATE("          ", "6286", " - ", "LAUNDRY EXPENSE")</f>
        <v xml:space="preserve">          6286 - LAUNDRY EXPENSE</v>
      </c>
      <c r="C60" s="11"/>
      <c r="D60" s="7"/>
      <c r="E60" s="2"/>
      <c r="F60" s="6">
        <f t="shared" si="38"/>
        <v>0</v>
      </c>
      <c r="G60" s="2"/>
      <c r="H60" s="7">
        <v>48.75</v>
      </c>
      <c r="I60" s="2"/>
      <c r="J60" s="6">
        <f t="shared" si="39"/>
        <v>1.3458437446425067E-3</v>
      </c>
      <c r="K60" s="2"/>
      <c r="L60" s="7">
        <f t="shared" si="40"/>
        <v>-48.75</v>
      </c>
      <c r="M60" s="2"/>
      <c r="N60" s="6">
        <f t="shared" si="41"/>
        <v>-1</v>
      </c>
      <c r="O60" s="11"/>
      <c r="P60" s="7"/>
      <c r="Q60" s="2"/>
      <c r="R60" s="6">
        <f t="shared" si="42"/>
        <v>0</v>
      </c>
      <c r="S60" s="2"/>
      <c r="T60" s="7">
        <v>300.61</v>
      </c>
      <c r="U60" s="2"/>
      <c r="V60" s="6">
        <f t="shared" si="43"/>
        <v>1.4851526482093267E-3</v>
      </c>
      <c r="W60" s="2"/>
      <c r="X60" s="7">
        <f t="shared" si="44"/>
        <v>-300.61</v>
      </c>
      <c r="Y60" s="2"/>
      <c r="Z60" s="6">
        <f t="shared" si="45"/>
        <v>-1</v>
      </c>
    </row>
    <row r="61" spans="1:26" s="25" customFormat="1" outlineLevel="1" collapsed="1" x14ac:dyDescent="0.25">
      <c r="A61" s="26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SUM(OSRRefD22_12x_0)</f>
        <v>0</v>
      </c>
      <c r="E61" s="1"/>
      <c r="F61" s="5">
        <f t="shared" ref="F61:F68" si="46">IF(D$12=0,0,D61/D$12)</f>
        <v>0</v>
      </c>
      <c r="G61" s="1"/>
      <c r="H61" s="1">
        <f>SUM(OSRRefH22_12x_0)</f>
        <v>1433.92</v>
      </c>
      <c r="I61" s="1"/>
      <c r="J61" s="5">
        <f t="shared" ref="J61:J68" si="47">IF(H$12=0,0,H61/H$12)</f>
        <v>3.958630281677504E-2</v>
      </c>
      <c r="K61" s="1"/>
      <c r="L61" s="1">
        <f t="shared" ref="L61:L68" si="48">+D61-H61</f>
        <v>-1433.92</v>
      </c>
      <c r="M61" s="1"/>
      <c r="N61" s="5">
        <f t="shared" ref="N61:N68" si="49">IF(H61=0,0,L61/H61)</f>
        <v>-1</v>
      </c>
      <c r="O61" s="13"/>
      <c r="P61" s="1">
        <f>SUM(OSRRefP22_12x_0)</f>
        <v>0</v>
      </c>
      <c r="Q61" s="1"/>
      <c r="R61" s="5">
        <f t="shared" ref="R61:R68" si="50">IF(P$12=0,0,P61/P$12)</f>
        <v>0</v>
      </c>
      <c r="S61" s="1"/>
      <c r="T61" s="1">
        <f>SUM(OSRRefT22_12x_0)</f>
        <v>12736.15</v>
      </c>
      <c r="U61" s="1"/>
      <c r="V61" s="5">
        <f t="shared" ref="V61:V68" si="51">IF(T$12=0,0,T61/T$12)</f>
        <v>6.2922480624367824E-2</v>
      </c>
      <c r="W61" s="1"/>
      <c r="X61" s="1">
        <f t="shared" ref="X61:X68" si="52">+P61-T61</f>
        <v>-12736.15</v>
      </c>
      <c r="Y61" s="1"/>
      <c r="Z61" s="5">
        <f t="shared" ref="Z61:Z68" si="53">IF(T61=0,0,X61/T61)</f>
        <v>-1</v>
      </c>
    </row>
    <row r="62" spans="1:26" s="24" customFormat="1" hidden="1" outlineLevel="2" x14ac:dyDescent="0.25">
      <c r="A62" s="27"/>
      <c r="B62" s="11" t="str">
        <f>CONCATENATE("          ", "6234", " - ", "EXPENDABLE SUPPLIES &amp; EQUIPMEN")</f>
        <v xml:space="preserve">          6234 - EXPENDABLE SUPPLIES &amp; EQUIPMEN</v>
      </c>
      <c r="C62" s="11"/>
      <c r="D62" s="7"/>
      <c r="E62" s="2"/>
      <c r="F62" s="6">
        <f t="shared" si="46"/>
        <v>0</v>
      </c>
      <c r="G62" s="2"/>
      <c r="H62" s="7"/>
      <c r="I62" s="2"/>
      <c r="J62" s="6">
        <f t="shared" si="47"/>
        <v>0</v>
      </c>
      <c r="K62" s="2"/>
      <c r="L62" s="7">
        <f t="shared" si="48"/>
        <v>0</v>
      </c>
      <c r="M62" s="2"/>
      <c r="N62" s="6">
        <f t="shared" si="49"/>
        <v>0</v>
      </c>
      <c r="O62" s="11"/>
      <c r="P62" s="7"/>
      <c r="Q62" s="2"/>
      <c r="R62" s="6">
        <f t="shared" si="50"/>
        <v>0</v>
      </c>
      <c r="S62" s="2"/>
      <c r="T62" s="7">
        <v>3756.46</v>
      </c>
      <c r="U62" s="2"/>
      <c r="V62" s="6">
        <f t="shared" si="51"/>
        <v>1.8558652462966656E-2</v>
      </c>
      <c r="W62" s="2"/>
      <c r="X62" s="7">
        <f t="shared" si="52"/>
        <v>-3756.46</v>
      </c>
      <c r="Y62" s="2"/>
      <c r="Z62" s="6">
        <f t="shared" si="53"/>
        <v>-1</v>
      </c>
    </row>
    <row r="63" spans="1:26" s="24" customFormat="1" hidden="1" outlineLevel="2" x14ac:dyDescent="0.25">
      <c r="A63" s="27"/>
      <c r="B63" s="11" t="str">
        <f>CONCATENATE("          ", "6237", " - ", "JANITORIAL SUPPLIES")</f>
        <v xml:space="preserve">          6237 - JANITORIAL SUPPLIES</v>
      </c>
      <c r="C63" s="11"/>
      <c r="D63" s="7"/>
      <c r="E63" s="2"/>
      <c r="F63" s="6">
        <f t="shared" si="46"/>
        <v>0</v>
      </c>
      <c r="G63" s="2"/>
      <c r="H63" s="7">
        <v>390.24</v>
      </c>
      <c r="I63" s="2"/>
      <c r="J63" s="6">
        <f t="shared" si="47"/>
        <v>1.0773375649421371E-2</v>
      </c>
      <c r="K63" s="2"/>
      <c r="L63" s="7">
        <f t="shared" si="48"/>
        <v>-390.24</v>
      </c>
      <c r="M63" s="2"/>
      <c r="N63" s="6">
        <f t="shared" si="49"/>
        <v>-1</v>
      </c>
      <c r="O63" s="11"/>
      <c r="P63" s="7"/>
      <c r="Q63" s="2"/>
      <c r="R63" s="6">
        <f t="shared" si="50"/>
        <v>0</v>
      </c>
      <c r="S63" s="2"/>
      <c r="T63" s="7">
        <v>732.18</v>
      </c>
      <c r="U63" s="2"/>
      <c r="V63" s="6">
        <f t="shared" si="51"/>
        <v>3.6173083595552533E-3</v>
      </c>
      <c r="W63" s="2"/>
      <c r="X63" s="7">
        <f t="shared" si="52"/>
        <v>-732.18</v>
      </c>
      <c r="Y63" s="2"/>
      <c r="Z63" s="6">
        <f t="shared" si="53"/>
        <v>-1</v>
      </c>
    </row>
    <row r="64" spans="1:26" s="24" customFormat="1" hidden="1" outlineLevel="2" x14ac:dyDescent="0.25">
      <c r="A64" s="27"/>
      <c r="B64" s="11" t="str">
        <f>CONCATENATE("          ", "6239", " - ", "KITCHEN SUPPLIES")</f>
        <v xml:space="preserve">          6239 - KITCHEN SUPPLIES</v>
      </c>
      <c r="C64" s="11"/>
      <c r="D64" s="7"/>
      <c r="E64" s="2"/>
      <c r="F64" s="6">
        <f t="shared" si="46"/>
        <v>0</v>
      </c>
      <c r="G64" s="2"/>
      <c r="H64" s="7">
        <v>928.91</v>
      </c>
      <c r="I64" s="2"/>
      <c r="J64" s="6">
        <f t="shared" si="47"/>
        <v>2.5644465904325557E-2</v>
      </c>
      <c r="K64" s="2"/>
      <c r="L64" s="7">
        <f t="shared" si="48"/>
        <v>-928.91</v>
      </c>
      <c r="M64" s="2"/>
      <c r="N64" s="6">
        <f t="shared" si="49"/>
        <v>-1</v>
      </c>
      <c r="O64" s="11"/>
      <c r="P64" s="7"/>
      <c r="Q64" s="2"/>
      <c r="R64" s="6">
        <f t="shared" si="50"/>
        <v>0</v>
      </c>
      <c r="S64" s="2"/>
      <c r="T64" s="7">
        <v>5462.19</v>
      </c>
      <c r="U64" s="2"/>
      <c r="V64" s="6">
        <f t="shared" si="51"/>
        <v>2.6985748789203623E-2</v>
      </c>
      <c r="W64" s="2"/>
      <c r="X64" s="7">
        <f t="shared" si="52"/>
        <v>-5462.19</v>
      </c>
      <c r="Y64" s="2"/>
      <c r="Z64" s="6">
        <f t="shared" si="53"/>
        <v>-1</v>
      </c>
    </row>
    <row r="65" spans="1:26" s="24" customFormat="1" hidden="1" outlineLevel="2" x14ac:dyDescent="0.25">
      <c r="A65" s="27"/>
      <c r="B65" s="11" t="str">
        <f>CONCATENATE("          ", "6241", " - ", "OFFICE EXPENSE")</f>
        <v xml:space="preserve">          6241 - OFFICE EXPENSE</v>
      </c>
      <c r="C65" s="11"/>
      <c r="D65" s="7"/>
      <c r="E65" s="2"/>
      <c r="F65" s="6">
        <f t="shared" si="46"/>
        <v>0</v>
      </c>
      <c r="G65" s="2"/>
      <c r="H65" s="7"/>
      <c r="I65" s="2"/>
      <c r="J65" s="6">
        <f t="shared" si="47"/>
        <v>0</v>
      </c>
      <c r="K65" s="2"/>
      <c r="L65" s="7">
        <f t="shared" si="48"/>
        <v>0</v>
      </c>
      <c r="M65" s="2"/>
      <c r="N65" s="6">
        <f t="shared" si="49"/>
        <v>0</v>
      </c>
      <c r="O65" s="11"/>
      <c r="P65" s="7"/>
      <c r="Q65" s="2"/>
      <c r="R65" s="6">
        <f t="shared" si="50"/>
        <v>0</v>
      </c>
      <c r="S65" s="2"/>
      <c r="T65" s="7">
        <v>599.88</v>
      </c>
      <c r="U65" s="2"/>
      <c r="V65" s="6">
        <f t="shared" si="51"/>
        <v>2.9636850757054347E-3</v>
      </c>
      <c r="W65" s="2"/>
      <c r="X65" s="7">
        <f t="shared" si="52"/>
        <v>-599.88</v>
      </c>
      <c r="Y65" s="2"/>
      <c r="Z65" s="6">
        <f t="shared" si="53"/>
        <v>-1</v>
      </c>
    </row>
    <row r="66" spans="1:26" s="24" customFormat="1" hidden="1" outlineLevel="2" x14ac:dyDescent="0.25">
      <c r="A66" s="27"/>
      <c r="B66" s="11" t="str">
        <f>CONCATENATE("          ", "6243", " - ", "PAPER SUPPLIES")</f>
        <v xml:space="preserve">          6243 - PAPER SUPPLIES</v>
      </c>
      <c r="C66" s="11"/>
      <c r="D66" s="7"/>
      <c r="E66" s="2"/>
      <c r="F66" s="6">
        <f t="shared" si="46"/>
        <v>0</v>
      </c>
      <c r="G66" s="2"/>
      <c r="H66" s="7">
        <v>114.77</v>
      </c>
      <c r="I66" s="2"/>
      <c r="J66" s="6">
        <f t="shared" si="47"/>
        <v>3.1684612630281128E-3</v>
      </c>
      <c r="K66" s="2"/>
      <c r="L66" s="7">
        <f t="shared" si="48"/>
        <v>-114.77</v>
      </c>
      <c r="M66" s="2"/>
      <c r="N66" s="6">
        <f t="shared" si="49"/>
        <v>-1</v>
      </c>
      <c r="O66" s="11"/>
      <c r="P66" s="7"/>
      <c r="Q66" s="2"/>
      <c r="R66" s="6">
        <f t="shared" si="50"/>
        <v>0</v>
      </c>
      <c r="S66" s="2"/>
      <c r="T66" s="7">
        <v>1685.8</v>
      </c>
      <c r="U66" s="2"/>
      <c r="V66" s="6">
        <f t="shared" si="51"/>
        <v>8.3286328942858943E-3</v>
      </c>
      <c r="W66" s="2"/>
      <c r="X66" s="7">
        <f t="shared" si="52"/>
        <v>-1685.8</v>
      </c>
      <c r="Y66" s="2"/>
      <c r="Z66" s="6">
        <f t="shared" si="53"/>
        <v>-1</v>
      </c>
    </row>
    <row r="67" spans="1:26" s="24" customFormat="1" hidden="1" outlineLevel="2" x14ac:dyDescent="0.25">
      <c r="A67" s="27"/>
      <c r="B67" s="11" t="str">
        <f>CONCATENATE("          ", "6247", " - ", "STORE SUPPLIES")</f>
        <v xml:space="preserve">          6247 - STORE SUPPLIES</v>
      </c>
      <c r="C67" s="11"/>
      <c r="D67" s="7"/>
      <c r="E67" s="2"/>
      <c r="F67" s="6">
        <f t="shared" si="46"/>
        <v>0</v>
      </c>
      <c r="G67" s="2"/>
      <c r="H67" s="7"/>
      <c r="I67" s="2"/>
      <c r="J67" s="6">
        <f t="shared" si="47"/>
        <v>0</v>
      </c>
      <c r="K67" s="2"/>
      <c r="L67" s="7">
        <f t="shared" si="48"/>
        <v>0</v>
      </c>
      <c r="M67" s="2"/>
      <c r="N67" s="6">
        <f t="shared" si="49"/>
        <v>0</v>
      </c>
      <c r="O67" s="11"/>
      <c r="P67" s="7"/>
      <c r="Q67" s="2"/>
      <c r="R67" s="6">
        <f t="shared" si="50"/>
        <v>0</v>
      </c>
      <c r="S67" s="2"/>
      <c r="T67" s="7">
        <v>45.2</v>
      </c>
      <c r="U67" s="2"/>
      <c r="V67" s="6">
        <f t="shared" si="51"/>
        <v>2.2330893749064091E-4</v>
      </c>
      <c r="W67" s="2"/>
      <c r="X67" s="7">
        <f t="shared" si="52"/>
        <v>-45.2</v>
      </c>
      <c r="Y67" s="2"/>
      <c r="Z67" s="6">
        <f t="shared" si="53"/>
        <v>-1</v>
      </c>
    </row>
    <row r="68" spans="1:26" s="24" customFormat="1" hidden="1" outlineLevel="2" x14ac:dyDescent="0.25">
      <c r="A68" s="27"/>
      <c r="B68" s="11" t="str">
        <f>CONCATENATE("          ", "6248", " - ", "UNIFORMS")</f>
        <v xml:space="preserve">          6248 - UNIFORMS</v>
      </c>
      <c r="C68" s="11"/>
      <c r="D68" s="7"/>
      <c r="E68" s="2"/>
      <c r="F68" s="6">
        <f t="shared" si="46"/>
        <v>0</v>
      </c>
      <c r="G68" s="2"/>
      <c r="H68" s="7"/>
      <c r="I68" s="2"/>
      <c r="J68" s="6">
        <f t="shared" si="47"/>
        <v>0</v>
      </c>
      <c r="K68" s="2"/>
      <c r="L68" s="7">
        <f t="shared" si="48"/>
        <v>0</v>
      </c>
      <c r="M68" s="2"/>
      <c r="N68" s="6">
        <f t="shared" si="49"/>
        <v>0</v>
      </c>
      <c r="O68" s="11"/>
      <c r="P68" s="7"/>
      <c r="Q68" s="2"/>
      <c r="R68" s="6">
        <f t="shared" si="50"/>
        <v>0</v>
      </c>
      <c r="S68" s="2"/>
      <c r="T68" s="7">
        <v>454.44</v>
      </c>
      <c r="U68" s="2"/>
      <c r="V68" s="6">
        <f t="shared" si="51"/>
        <v>2.2451441051603285E-3</v>
      </c>
      <c r="W68" s="2"/>
      <c r="X68" s="7">
        <f t="shared" si="52"/>
        <v>-454.44</v>
      </c>
      <c r="Y68" s="2"/>
      <c r="Z68" s="6">
        <f t="shared" si="53"/>
        <v>-1</v>
      </c>
    </row>
    <row r="69" spans="1:26" s="25" customFormat="1" outlineLevel="1" collapsed="1" x14ac:dyDescent="0.25">
      <c r="A69" s="26"/>
      <c r="B69" s="13" t="str">
        <f>CONCATENATE("     ","Telephone/Data Lines                              ")</f>
        <v xml:space="preserve">     Telephone/Data Lines                              </v>
      </c>
      <c r="C69" s="13"/>
      <c r="D69" s="1">
        <f>SUM(OSRRefD22_13x_0)</f>
        <v>0</v>
      </c>
      <c r="E69" s="1"/>
      <c r="F69" s="5">
        <f t="shared" ref="F69:F72" si="54">IF(D$12=0,0,D69/D$12)</f>
        <v>0</v>
      </c>
      <c r="G69" s="1"/>
      <c r="H69" s="1">
        <f>SUM(OSRRefH22_13x_0)</f>
        <v>313.31</v>
      </c>
      <c r="I69" s="1"/>
      <c r="J69" s="5">
        <f t="shared" ref="J69:J72" si="55">IF(H$12=0,0,H69/H$12)</f>
        <v>8.6495652027475649E-3</v>
      </c>
      <c r="K69" s="1"/>
      <c r="L69" s="1">
        <f t="shared" ref="L69:L72" si="56">+D69-H69</f>
        <v>-313.31</v>
      </c>
      <c r="M69" s="1"/>
      <c r="N69" s="5">
        <f t="shared" ref="N69:N72" si="57">IF(H69=0,0,L69/H69)</f>
        <v>-1</v>
      </c>
      <c r="O69" s="13"/>
      <c r="P69" s="1">
        <f>SUM(OSRRefP22_13x_0)</f>
        <v>132.54</v>
      </c>
      <c r="Q69" s="1"/>
      <c r="R69" s="5">
        <f t="shared" ref="R69:R72" si="58">IF(P$12=0,0,P69/P$12)</f>
        <v>0</v>
      </c>
      <c r="S69" s="1"/>
      <c r="T69" s="1">
        <f>SUM(OSRRefT22_13x_0)</f>
        <v>1862.73</v>
      </c>
      <c r="U69" s="1"/>
      <c r="V69" s="5">
        <f t="shared" ref="V69:V72" si="59">IF(T$12=0,0,T69/T$12)</f>
        <v>9.2027490515916265E-3</v>
      </c>
      <c r="W69" s="1"/>
      <c r="X69" s="1">
        <f t="shared" ref="X69:X72" si="60">+P69-T69</f>
        <v>-1730.19</v>
      </c>
      <c r="Y69" s="1"/>
      <c r="Z69" s="5">
        <f t="shared" ref="Z69:Z72" si="61">IF(T69=0,0,X69/T69)</f>
        <v>-0.92884637064953057</v>
      </c>
    </row>
    <row r="70" spans="1:26" s="24" customFormat="1" hidden="1" outlineLevel="2" x14ac:dyDescent="0.25">
      <c r="A70" s="27"/>
      <c r="B70" s="11" t="str">
        <f>CONCATENATE("          ", "6309", " - ", "TELEPHONE")</f>
        <v xml:space="preserve">          6309 - TELEPHONE</v>
      </c>
      <c r="C70" s="11"/>
      <c r="D70" s="7"/>
      <c r="E70" s="2"/>
      <c r="F70" s="6">
        <f t="shared" si="54"/>
        <v>0</v>
      </c>
      <c r="G70" s="2"/>
      <c r="H70" s="7">
        <v>313.31</v>
      </c>
      <c r="I70" s="2"/>
      <c r="J70" s="6">
        <f t="shared" si="55"/>
        <v>8.6495652027475649E-3</v>
      </c>
      <c r="K70" s="2"/>
      <c r="L70" s="7">
        <f t="shared" si="56"/>
        <v>-313.31</v>
      </c>
      <c r="M70" s="2"/>
      <c r="N70" s="6">
        <f t="shared" si="57"/>
        <v>-1</v>
      </c>
      <c r="O70" s="11"/>
      <c r="P70" s="7">
        <v>132.54</v>
      </c>
      <c r="Q70" s="2"/>
      <c r="R70" s="6">
        <f t="shared" si="58"/>
        <v>0</v>
      </c>
      <c r="S70" s="2"/>
      <c r="T70" s="7">
        <v>1862.73</v>
      </c>
      <c r="U70" s="2"/>
      <c r="V70" s="6">
        <f t="shared" si="59"/>
        <v>9.2027490515916265E-3</v>
      </c>
      <c r="W70" s="2"/>
      <c r="X70" s="7">
        <f t="shared" si="60"/>
        <v>-1730.19</v>
      </c>
      <c r="Y70" s="2"/>
      <c r="Z70" s="6">
        <f t="shared" si="61"/>
        <v>-0.92884637064953057</v>
      </c>
    </row>
    <row r="71" spans="1:26" s="25" customFormat="1" outlineLevel="1" collapsed="1" x14ac:dyDescent="0.25">
      <c r="A71" s="26"/>
      <c r="B71" s="13" t="str">
        <f>CONCATENATE("     ","Training                                          ")</f>
        <v xml:space="preserve">     Training                                          </v>
      </c>
      <c r="C71" s="13"/>
      <c r="D71" s="1">
        <f>SUM(OSRRefD22_14x_0)</f>
        <v>0</v>
      </c>
      <c r="E71" s="1"/>
      <c r="F71" s="5">
        <f t="shared" si="54"/>
        <v>0</v>
      </c>
      <c r="G71" s="1"/>
      <c r="H71" s="1">
        <f>SUM(OSRRefH22_14x_0)</f>
        <v>0</v>
      </c>
      <c r="I71" s="1"/>
      <c r="J71" s="5">
        <f t="shared" si="55"/>
        <v>0</v>
      </c>
      <c r="K71" s="1"/>
      <c r="L71" s="1">
        <f t="shared" si="56"/>
        <v>0</v>
      </c>
      <c r="M71" s="1"/>
      <c r="N71" s="5">
        <f t="shared" si="57"/>
        <v>0</v>
      </c>
      <c r="O71" s="13"/>
      <c r="P71" s="1">
        <f>SUM(OSRRefP22_14x_0)</f>
        <v>0</v>
      </c>
      <c r="Q71" s="1"/>
      <c r="R71" s="5">
        <f t="shared" si="58"/>
        <v>0</v>
      </c>
      <c r="S71" s="1"/>
      <c r="T71" s="1">
        <f>SUM(OSRRefT22_14x_0)</f>
        <v>237.95</v>
      </c>
      <c r="U71" s="1"/>
      <c r="V71" s="5">
        <f t="shared" si="59"/>
        <v>1.1755832229180974E-3</v>
      </c>
      <c r="W71" s="1"/>
      <c r="X71" s="1">
        <f t="shared" si="60"/>
        <v>-237.95</v>
      </c>
      <c r="Y71" s="1"/>
      <c r="Z71" s="5">
        <f t="shared" si="61"/>
        <v>-1</v>
      </c>
    </row>
    <row r="72" spans="1:26" s="24" customFormat="1" hidden="1" outlineLevel="2" x14ac:dyDescent="0.25">
      <c r="A72" s="27"/>
      <c r="B72" s="11" t="str">
        <f>CONCATENATE("          ", "6376", " - ", "TRAINING")</f>
        <v xml:space="preserve">          6376 - TRAINING</v>
      </c>
      <c r="C72" s="11"/>
      <c r="D72" s="7"/>
      <c r="E72" s="2"/>
      <c r="F72" s="6">
        <f t="shared" si="54"/>
        <v>0</v>
      </c>
      <c r="G72" s="2"/>
      <c r="H72" s="7"/>
      <c r="I72" s="2"/>
      <c r="J72" s="6">
        <f t="shared" si="55"/>
        <v>0</v>
      </c>
      <c r="K72" s="2"/>
      <c r="L72" s="7">
        <f t="shared" si="56"/>
        <v>0</v>
      </c>
      <c r="M72" s="2"/>
      <c r="N72" s="6">
        <f t="shared" si="57"/>
        <v>0</v>
      </c>
      <c r="O72" s="11"/>
      <c r="P72" s="7"/>
      <c r="Q72" s="2"/>
      <c r="R72" s="6">
        <f t="shared" si="58"/>
        <v>0</v>
      </c>
      <c r="S72" s="2"/>
      <c r="T72" s="7">
        <v>237.95</v>
      </c>
      <c r="U72" s="2"/>
      <c r="V72" s="6">
        <f t="shared" si="59"/>
        <v>1.1755832229180974E-3</v>
      </c>
      <c r="W72" s="2"/>
      <c r="X72" s="7">
        <f t="shared" si="60"/>
        <v>-237.95</v>
      </c>
      <c r="Y72" s="2"/>
      <c r="Z72" s="6">
        <f t="shared" si="61"/>
        <v>-1</v>
      </c>
    </row>
    <row r="73" spans="1:26" s="55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25">
      <c r="A74" s="10"/>
      <c r="B74" s="29" t="s">
        <v>0</v>
      </c>
      <c r="C74" s="10"/>
      <c r="D74" s="4">
        <f>SUM(OSRRefD25x_0)</f>
        <v>0</v>
      </c>
      <c r="E74" s="4"/>
      <c r="F74" s="12">
        <f t="shared" ref="F74:F75" si="62">IF(D$12=0,0,D74/D$12)</f>
        <v>0</v>
      </c>
      <c r="G74" s="4"/>
      <c r="H74" s="4">
        <f>SUM(OSRRefH25x_0)</f>
        <v>0</v>
      </c>
      <c r="I74" s="4"/>
      <c r="J74" s="12">
        <f t="shared" ref="J74:J75" si="63">IF(H$12=0,0,H74/H$12)</f>
        <v>0</v>
      </c>
      <c r="K74" s="4"/>
      <c r="L74" s="4">
        <f t="shared" ref="L74:L75" si="64">+D74-H74</f>
        <v>0</v>
      </c>
      <c r="M74" s="4"/>
      <c r="N74" s="12">
        <f t="shared" ref="N74:N75" si="65">IF(H74=0,0,L74/H74)</f>
        <v>0</v>
      </c>
      <c r="O74" s="10"/>
      <c r="P74" s="4">
        <f>SUM(OSRRefP25x_0)</f>
        <v>0</v>
      </c>
      <c r="Q74" s="4"/>
      <c r="R74" s="12">
        <f t="shared" ref="R74:R75" si="66">IF(P$12=0,0,P74/P$12)</f>
        <v>0</v>
      </c>
      <c r="S74" s="4"/>
      <c r="T74" s="4">
        <f>SUM(OSRRefT25x_0)</f>
        <v>32460.44</v>
      </c>
      <c r="U74" s="4"/>
      <c r="V74" s="12">
        <f t="shared" ref="V74:V75" si="67">IF(T$12=0,0,T74/T$12)</f>
        <v>0.16036960988669688</v>
      </c>
      <c r="W74" s="4"/>
      <c r="X74" s="4">
        <f t="shared" ref="X74:X75" si="68">+P74-T74</f>
        <v>-32460.44</v>
      </c>
      <c r="Y74" s="4"/>
      <c r="Z74" s="12">
        <f t="shared" ref="Z74:Z75" si="69">IF(T74=0,0,X74/T74)</f>
        <v>-1</v>
      </c>
    </row>
    <row r="75" spans="1:26" s="24" customFormat="1" hidden="1" outlineLevel="1" x14ac:dyDescent="0.25">
      <c r="A75" s="44"/>
      <c r="B75" s="11" t="str">
        <f>CONCATENATE("          ", "9150", " - ", "MISC. INCOME")</f>
        <v xml:space="preserve">          9150 - MISC. INCOME</v>
      </c>
      <c r="C75" s="11"/>
      <c r="D75" s="2">
        <f>0</f>
        <v>0</v>
      </c>
      <c r="E75" s="2"/>
      <c r="F75" s="19">
        <f t="shared" si="62"/>
        <v>0</v>
      </c>
      <c r="G75" s="2"/>
      <c r="H75" s="2">
        <f>0</f>
        <v>0</v>
      </c>
      <c r="I75" s="2"/>
      <c r="J75" s="19">
        <f t="shared" si="63"/>
        <v>0</v>
      </c>
      <c r="K75" s="2"/>
      <c r="L75" s="2">
        <f t="shared" si="64"/>
        <v>0</v>
      </c>
      <c r="M75" s="2"/>
      <c r="N75" s="19">
        <f t="shared" si="65"/>
        <v>0</v>
      </c>
      <c r="O75" s="11"/>
      <c r="P75" s="2">
        <f>0</f>
        <v>0</v>
      </c>
      <c r="Q75" s="2"/>
      <c r="R75" s="19">
        <f t="shared" si="66"/>
        <v>0</v>
      </c>
      <c r="S75" s="2"/>
      <c r="T75" s="2">
        <f>--32460.44</f>
        <v>32460.44</v>
      </c>
      <c r="U75" s="2"/>
      <c r="V75" s="19">
        <f t="shared" si="67"/>
        <v>0.16036960988669688</v>
      </c>
      <c r="W75" s="2"/>
      <c r="X75" s="2">
        <f t="shared" si="68"/>
        <v>-32460.44</v>
      </c>
      <c r="Y75" s="2"/>
      <c r="Z75" s="19">
        <f t="shared" si="69"/>
        <v>-1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3</v>
      </c>
      <c r="C77" s="28"/>
      <c r="D77" s="20">
        <f>+D20-D22+D74</f>
        <v>-1000.91</v>
      </c>
      <c r="E77" s="14"/>
      <c r="F77" s="21">
        <f>IF(D$12=0,0,D77/D$12)</f>
        <v>0</v>
      </c>
      <c r="G77" s="14"/>
      <c r="H77" s="20">
        <f>+H20-H22+H74</f>
        <v>886.67999999999665</v>
      </c>
      <c r="I77" s="14"/>
      <c r="J77" s="21">
        <f>IF(H$12=0,0,H77/H$12)</f>
        <v>2.4478620133325402E-2</v>
      </c>
      <c r="K77" s="15"/>
      <c r="L77" s="20">
        <f>+D77-H77</f>
        <v>-1887.5899999999965</v>
      </c>
      <c r="M77" s="15"/>
      <c r="N77" s="21">
        <f>IF(H77=0,0,L77/H77)</f>
        <v>-2.1288288897911349</v>
      </c>
      <c r="O77" s="29"/>
      <c r="P77" s="20">
        <f>+P20-P22+P74</f>
        <v>-9634.14</v>
      </c>
      <c r="Q77" s="14"/>
      <c r="R77" s="21">
        <f>IF(P$12=0,0,P77/P$12)</f>
        <v>0</v>
      </c>
      <c r="S77" s="14"/>
      <c r="T77" s="20">
        <f>+T20-T22+T74</f>
        <v>14182.079999999984</v>
      </c>
      <c r="U77" s="14"/>
      <c r="V77" s="21">
        <f>IF(T$12=0,0,T77/T$12)</f>
        <v>7.0066044606355418E-2</v>
      </c>
      <c r="W77" s="15"/>
      <c r="X77" s="20">
        <f>+P77-T77</f>
        <v>-23816.219999999983</v>
      </c>
      <c r="Y77" s="15"/>
      <c r="Z77" s="21">
        <f>IF(T77=0,0,X77/T77)</f>
        <v>-1.6793178433628926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/>
      <c r="E79" s="4"/>
      <c r="F79" s="12">
        <f>IF(D$12=0,0,D79/D$12)</f>
        <v>0</v>
      </c>
      <c r="G79" s="4"/>
      <c r="H79" s="4">
        <v>4263.72</v>
      </c>
      <c r="I79" s="4"/>
      <c r="J79" s="12">
        <f>IF(H$12=0,0,H79/H$12)</f>
        <v>0.1177087362237364</v>
      </c>
      <c r="K79" s="4"/>
      <c r="L79" s="4">
        <f>+D79-H79</f>
        <v>-4263.72</v>
      </c>
      <c r="M79" s="4"/>
      <c r="N79" s="12">
        <f>IF(H79=0,0,L79/H79)</f>
        <v>-1</v>
      </c>
      <c r="O79" s="10"/>
      <c r="P79" s="4"/>
      <c r="Q79" s="4"/>
      <c r="R79" s="12">
        <f>IF(P$12=0,0,P79/P$12)</f>
        <v>0</v>
      </c>
      <c r="S79" s="4"/>
      <c r="T79" s="4">
        <v>21861.86</v>
      </c>
      <c r="U79" s="4"/>
      <c r="V79" s="12">
        <f>IF(T$12=0,0,T79/T$12)</f>
        <v>0.10800771522498104</v>
      </c>
      <c r="W79" s="4"/>
      <c r="X79" s="4">
        <f>+P79-T79</f>
        <v>-21861.86</v>
      </c>
      <c r="Y79" s="4"/>
      <c r="Z79" s="12">
        <f>IF(T79=0,0,X79/T79)</f>
        <v>-1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4</v>
      </c>
      <c r="C81" s="28"/>
      <c r="D81" s="33">
        <f>+D77-D79</f>
        <v>-1000.91</v>
      </c>
      <c r="E81" s="14"/>
      <c r="F81" s="34">
        <f>IF(D$12=0,0,D81/D$12)</f>
        <v>0</v>
      </c>
      <c r="G81" s="14"/>
      <c r="H81" s="33">
        <f>+H77-H79</f>
        <v>-3377.0400000000036</v>
      </c>
      <c r="I81" s="14"/>
      <c r="J81" s="34">
        <f>IF(H$12=0,0,H81/H$12)</f>
        <v>-9.3230116090410986E-2</v>
      </c>
      <c r="K81" s="15"/>
      <c r="L81" s="33">
        <f>D81-H81</f>
        <v>2376.1300000000037</v>
      </c>
      <c r="M81" s="15"/>
      <c r="N81" s="34">
        <f>IF(H81=0,0,L81/H81)</f>
        <v>-0.70361322341458832</v>
      </c>
      <c r="O81" s="29"/>
      <c r="P81" s="33">
        <f>+P77-P79</f>
        <v>-9634.14</v>
      </c>
      <c r="Q81" s="14"/>
      <c r="R81" s="34">
        <f>IF(P$12=0,0,P81/P$12)</f>
        <v>0</v>
      </c>
      <c r="S81" s="14"/>
      <c r="T81" s="33">
        <f>+T77-T79</f>
        <v>-7679.780000000017</v>
      </c>
      <c r="U81" s="14"/>
      <c r="V81" s="34">
        <f>IF(T$12=0,0,T81/T$12)</f>
        <v>-3.794167061862562E-2</v>
      </c>
      <c r="W81" s="15"/>
      <c r="X81" s="33">
        <f>P81-T81</f>
        <v>-1954.3599999999824</v>
      </c>
      <c r="Y81" s="15"/>
      <c r="Z81" s="34">
        <f>IF(T81=0,0,X81/T81)</f>
        <v>0.25448124816075174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5</v>
      </c>
      <c r="C84" s="28"/>
      <c r="D84" s="30">
        <f>SUM(D81:D83)</f>
        <v>-1000.91</v>
      </c>
      <c r="E84" s="14"/>
      <c r="F84" s="32">
        <f>IF(D$12=0,0,D84/D$12)</f>
        <v>0</v>
      </c>
      <c r="G84" s="14"/>
      <c r="H84" s="30">
        <f>SUM(H81:H83)</f>
        <v>-3377.0400000000036</v>
      </c>
      <c r="I84" s="14"/>
      <c r="J84" s="32">
        <f>IF(H$12=0,0,H84/H$12)</f>
        <v>-9.3230116090410986E-2</v>
      </c>
      <c r="K84" s="15"/>
      <c r="L84" s="30">
        <f>+D84-H84</f>
        <v>2376.1300000000037</v>
      </c>
      <c r="M84" s="15"/>
      <c r="N84" s="32">
        <f>IF(H84=0,0,L84/H84)</f>
        <v>-0.70361322341458832</v>
      </c>
      <c r="O84" s="29"/>
      <c r="P84" s="30">
        <f>SUM(P81:P83)</f>
        <v>-9634.14</v>
      </c>
      <c r="Q84" s="14"/>
      <c r="R84" s="32">
        <f>IF(P$12=0,0,P84/P$12)</f>
        <v>0</v>
      </c>
      <c r="S84" s="14"/>
      <c r="T84" s="30">
        <f>SUM(T81:T83)</f>
        <v>-7679.780000000017</v>
      </c>
      <c r="U84" s="14"/>
      <c r="V84" s="32">
        <f>IF(T$12=0,0,T84/T$12)</f>
        <v>-3.794167061862562E-2</v>
      </c>
      <c r="W84" s="15"/>
      <c r="X84" s="30">
        <f>+P84-T84</f>
        <v>-1954.3599999999824</v>
      </c>
      <c r="Y84" s="15"/>
      <c r="Z84" s="32">
        <f>IF(T84=0,0,X84/T84)</f>
        <v>0.25448124816075174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58">
        <v>44209.522169942131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61" t="s">
        <v>313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7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298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","455", " - ", "Vending")</f>
        <v>Department 455 - Vending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0</v>
      </c>
      <c r="E18" s="22"/>
      <c r="F18" s="36">
        <f t="shared" ref="F18:F26" si="0">IF(D$12=0,0,D18/D$12)</f>
        <v>0</v>
      </c>
      <c r="G18" s="22"/>
      <c r="H18" s="22">
        <f>SUM(OSRRefH22x_0)</f>
        <v>7209.369999999999</v>
      </c>
      <c r="I18" s="22"/>
      <c r="J18" s="36">
        <f t="shared" ref="J18:J26" si="1">IF(H$12=0,0,H18/H$12)</f>
        <v>0</v>
      </c>
      <c r="K18" s="4"/>
      <c r="L18" s="22">
        <f t="shared" ref="L18:L26" si="2">+D18-H18</f>
        <v>-7209.369999999999</v>
      </c>
      <c r="M18" s="4"/>
      <c r="N18" s="36">
        <f t="shared" ref="N18:N26" si="3">IF(H18=0,0,L18/H18)</f>
        <v>-1</v>
      </c>
      <c r="O18" s="10"/>
      <c r="P18" s="22">
        <f>SUM(OSRRefP22x_0)</f>
        <v>0</v>
      </c>
      <c r="Q18" s="22"/>
      <c r="R18" s="36">
        <f t="shared" ref="R18:R26" si="4">IF(P$12=0,0,P18/P$12)</f>
        <v>0</v>
      </c>
      <c r="S18" s="22"/>
      <c r="T18" s="22">
        <f>SUM(OSRRefT22x_0)</f>
        <v>52341.259999999995</v>
      </c>
      <c r="U18" s="22"/>
      <c r="V18" s="36">
        <f t="shared" ref="V18:V26" si="5">IF(T$12=0,0,T18/T$12)</f>
        <v>0</v>
      </c>
      <c r="W18" s="4"/>
      <c r="X18" s="22">
        <f t="shared" ref="X18:X26" si="6">+P18-T18</f>
        <v>-52341.259999999995</v>
      </c>
      <c r="Y18" s="4"/>
      <c r="Z18" s="36">
        <f t="shared" ref="Z18:Z26" si="7">IF(T18=0,0,X18/T18)</f>
        <v>-1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2429.4699999999998</v>
      </c>
      <c r="I19" s="1"/>
      <c r="J19" s="5">
        <f t="shared" si="1"/>
        <v>0</v>
      </c>
      <c r="K19" s="1"/>
      <c r="L19" s="1">
        <f t="shared" si="2"/>
        <v>-2429.4699999999998</v>
      </c>
      <c r="M19" s="1"/>
      <c r="N19" s="5">
        <f t="shared" si="3"/>
        <v>-1</v>
      </c>
      <c r="O19" s="13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24462.3</v>
      </c>
      <c r="U19" s="1"/>
      <c r="V19" s="5">
        <f t="shared" si="5"/>
        <v>0</v>
      </c>
      <c r="W19" s="1"/>
      <c r="X19" s="1">
        <f t="shared" si="6"/>
        <v>-24462.3</v>
      </c>
      <c r="Y19" s="1"/>
      <c r="Z19" s="5">
        <f t="shared" si="7"/>
        <v>-1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241.11</v>
      </c>
      <c r="I20" s="2"/>
      <c r="J20" s="6">
        <f t="shared" si="1"/>
        <v>0</v>
      </c>
      <c r="K20" s="2"/>
      <c r="L20" s="7">
        <f t="shared" si="2"/>
        <v>-241.11</v>
      </c>
      <c r="M20" s="2"/>
      <c r="N20" s="6">
        <f t="shared" si="3"/>
        <v>-1</v>
      </c>
      <c r="O20" s="11"/>
      <c r="P20" s="7"/>
      <c r="Q20" s="2"/>
      <c r="R20" s="6">
        <f t="shared" si="4"/>
        <v>0</v>
      </c>
      <c r="S20" s="2"/>
      <c r="T20" s="7">
        <v>2138.64</v>
      </c>
      <c r="U20" s="2"/>
      <c r="V20" s="6">
        <f t="shared" si="5"/>
        <v>0</v>
      </c>
      <c r="W20" s="2"/>
      <c r="X20" s="7">
        <f t="shared" si="6"/>
        <v>-2138.64</v>
      </c>
      <c r="Y20" s="2"/>
      <c r="Z20" s="6">
        <f t="shared" si="7"/>
        <v>-1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25.66</v>
      </c>
      <c r="I21" s="2"/>
      <c r="J21" s="6">
        <f t="shared" si="1"/>
        <v>0</v>
      </c>
      <c r="K21" s="2"/>
      <c r="L21" s="7">
        <f t="shared" si="2"/>
        <v>-25.66</v>
      </c>
      <c r="M21" s="2"/>
      <c r="N21" s="6">
        <f t="shared" si="3"/>
        <v>-1</v>
      </c>
      <c r="O21" s="11"/>
      <c r="P21" s="7"/>
      <c r="Q21" s="2"/>
      <c r="R21" s="6">
        <f t="shared" si="4"/>
        <v>0</v>
      </c>
      <c r="S21" s="2"/>
      <c r="T21" s="7">
        <v>125.1</v>
      </c>
      <c r="U21" s="2"/>
      <c r="V21" s="6">
        <f t="shared" si="5"/>
        <v>0</v>
      </c>
      <c r="W21" s="2"/>
      <c r="X21" s="7">
        <f t="shared" si="6"/>
        <v>-125.1</v>
      </c>
      <c r="Y21" s="2"/>
      <c r="Z21" s="6">
        <f t="shared" si="7"/>
        <v>-1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931.95</v>
      </c>
      <c r="I22" s="2"/>
      <c r="J22" s="6">
        <f t="shared" si="1"/>
        <v>0</v>
      </c>
      <c r="K22" s="2"/>
      <c r="L22" s="7">
        <f t="shared" si="2"/>
        <v>-931.95</v>
      </c>
      <c r="M22" s="2"/>
      <c r="N22" s="6">
        <f t="shared" si="3"/>
        <v>-1</v>
      </c>
      <c r="O22" s="11"/>
      <c r="P22" s="7"/>
      <c r="Q22" s="2"/>
      <c r="R22" s="6">
        <f t="shared" si="4"/>
        <v>0</v>
      </c>
      <c r="S22" s="2"/>
      <c r="T22" s="7">
        <v>5591.7</v>
      </c>
      <c r="U22" s="2"/>
      <c r="V22" s="6">
        <f t="shared" si="5"/>
        <v>0</v>
      </c>
      <c r="W22" s="2"/>
      <c r="X22" s="7">
        <f t="shared" si="6"/>
        <v>-5591.7</v>
      </c>
      <c r="Y22" s="2"/>
      <c r="Z22" s="6">
        <f t="shared" si="7"/>
        <v>-1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19.62</v>
      </c>
      <c r="I23" s="2"/>
      <c r="J23" s="6">
        <f t="shared" si="1"/>
        <v>0</v>
      </c>
      <c r="K23" s="2"/>
      <c r="L23" s="7">
        <f t="shared" si="2"/>
        <v>-19.62</v>
      </c>
      <c r="M23" s="2"/>
      <c r="N23" s="6">
        <f t="shared" si="3"/>
        <v>-1</v>
      </c>
      <c r="O23" s="11"/>
      <c r="P23" s="7"/>
      <c r="Q23" s="2"/>
      <c r="R23" s="6">
        <f t="shared" si="4"/>
        <v>0</v>
      </c>
      <c r="S23" s="2"/>
      <c r="T23" s="7">
        <v>108.15</v>
      </c>
      <c r="U23" s="2"/>
      <c r="V23" s="6">
        <f t="shared" si="5"/>
        <v>0</v>
      </c>
      <c r="W23" s="2"/>
      <c r="X23" s="7">
        <f t="shared" si="6"/>
        <v>-108.15</v>
      </c>
      <c r="Y23" s="2"/>
      <c r="Z23" s="6">
        <f t="shared" si="7"/>
        <v>-1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514.27</v>
      </c>
      <c r="I24" s="2"/>
      <c r="J24" s="6">
        <f t="shared" si="1"/>
        <v>0</v>
      </c>
      <c r="K24" s="2"/>
      <c r="L24" s="7">
        <f t="shared" si="2"/>
        <v>-514.27</v>
      </c>
      <c r="M24" s="2"/>
      <c r="N24" s="6">
        <f t="shared" si="3"/>
        <v>-1</v>
      </c>
      <c r="O24" s="11"/>
      <c r="P24" s="7"/>
      <c r="Q24" s="2"/>
      <c r="R24" s="6">
        <f t="shared" si="4"/>
        <v>0</v>
      </c>
      <c r="S24" s="2"/>
      <c r="T24" s="7">
        <v>3994.94</v>
      </c>
      <c r="U24" s="2"/>
      <c r="V24" s="6">
        <f t="shared" si="5"/>
        <v>0</v>
      </c>
      <c r="W24" s="2"/>
      <c r="X24" s="7">
        <f t="shared" si="6"/>
        <v>-3994.94</v>
      </c>
      <c r="Y24" s="2"/>
      <c r="Z24" s="6">
        <f t="shared" si="7"/>
        <v>-1</v>
      </c>
    </row>
    <row r="25" spans="1:26" s="24" customFormat="1" hidden="1" outlineLevel="2" x14ac:dyDescent="0.25">
      <c r="A25" s="27"/>
      <c r="B25" s="11" t="str">
        <f>CONCATENATE("          ", "6118", " - ", "VACATION")</f>
        <v xml:space="preserve">          6118 - VACATION</v>
      </c>
      <c r="C25" s="11"/>
      <c r="D25" s="7"/>
      <c r="E25" s="2"/>
      <c r="F25" s="6">
        <f t="shared" si="0"/>
        <v>0</v>
      </c>
      <c r="G25" s="2"/>
      <c r="H25" s="7">
        <v>464.78</v>
      </c>
      <c r="I25" s="2"/>
      <c r="J25" s="6">
        <f t="shared" si="1"/>
        <v>0</v>
      </c>
      <c r="K25" s="2"/>
      <c r="L25" s="7">
        <f t="shared" si="2"/>
        <v>-464.78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4383.82</v>
      </c>
      <c r="U25" s="2"/>
      <c r="V25" s="6">
        <f t="shared" si="5"/>
        <v>0</v>
      </c>
      <c r="W25" s="2"/>
      <c r="X25" s="7">
        <f t="shared" si="6"/>
        <v>-4383.82</v>
      </c>
      <c r="Y25" s="2"/>
      <c r="Z25" s="6">
        <f t="shared" si="7"/>
        <v>-1</v>
      </c>
    </row>
    <row r="26" spans="1:26" s="24" customFormat="1" hidden="1" outlineLevel="2" x14ac:dyDescent="0.25">
      <c r="A26" s="27"/>
      <c r="B26" s="11" t="str">
        <f>CONCATENATE("          ", "6119", " - ", "SICK LEAVE")</f>
        <v xml:space="preserve">          6119 - SICK LEAVE</v>
      </c>
      <c r="C26" s="11"/>
      <c r="D26" s="7"/>
      <c r="E26" s="2"/>
      <c r="F26" s="6">
        <f t="shared" si="0"/>
        <v>0</v>
      </c>
      <c r="G26" s="2"/>
      <c r="H26" s="7">
        <v>232.08</v>
      </c>
      <c r="I26" s="2"/>
      <c r="J26" s="6">
        <f t="shared" si="1"/>
        <v>0</v>
      </c>
      <c r="K26" s="2"/>
      <c r="L26" s="7">
        <f t="shared" si="2"/>
        <v>-232.08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8119.95</v>
      </c>
      <c r="U26" s="2"/>
      <c r="V26" s="6">
        <f t="shared" si="5"/>
        <v>0</v>
      </c>
      <c r="W26" s="2"/>
      <c r="X26" s="7">
        <f t="shared" si="6"/>
        <v>-8119.95</v>
      </c>
      <c r="Y26" s="2"/>
      <c r="Z26" s="6">
        <f t="shared" si="7"/>
        <v>-1</v>
      </c>
    </row>
    <row r="27" spans="1:26" s="25" customFormat="1" outlineLevel="1" collapsed="1" x14ac:dyDescent="0.25">
      <c r="A27" s="26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0</v>
      </c>
      <c r="E27" s="1"/>
      <c r="F27" s="5">
        <f t="shared" ref="F27:F29" si="8">IF(D$12=0,0,D27/D$12)</f>
        <v>0</v>
      </c>
      <c r="G27" s="1"/>
      <c r="H27" s="1">
        <f>SUM(OSRRefH22_1x_0)</f>
        <v>4779.8999999999996</v>
      </c>
      <c r="I27" s="1"/>
      <c r="J27" s="5">
        <f t="shared" ref="J27:J29" si="9">IF(H$12=0,0,H27/H$12)</f>
        <v>0</v>
      </c>
      <c r="K27" s="1"/>
      <c r="L27" s="1">
        <f t="shared" ref="L27:L29" si="10">+D27-H27</f>
        <v>-4779.8999999999996</v>
      </c>
      <c r="M27" s="1"/>
      <c r="N27" s="5">
        <f t="shared" ref="N27:N29" si="11">IF(H27=0,0,L27/H27)</f>
        <v>-1</v>
      </c>
      <c r="O27" s="13"/>
      <c r="P27" s="1">
        <f>SUM(OSRRefP22_1x_0)</f>
        <v>0</v>
      </c>
      <c r="Q27" s="1"/>
      <c r="R27" s="5">
        <f t="shared" ref="R27:R29" si="12">IF(P$12=0,0,P27/P$12)</f>
        <v>0</v>
      </c>
      <c r="S27" s="1"/>
      <c r="T27" s="1">
        <f>SUM(OSRRefT22_1x_0)</f>
        <v>27878.959999999999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-27878.959999999999</v>
      </c>
      <c r="Y27" s="1"/>
      <c r="Z27" s="5">
        <f t="shared" ref="Z27:Z29" si="15">IF(T27=0,0,X27/T27)</f>
        <v>-1</v>
      </c>
    </row>
    <row r="28" spans="1:26" s="24" customFormat="1" hidden="1" outlineLevel="2" x14ac:dyDescent="0.25">
      <c r="A28" s="27"/>
      <c r="B28" s="11" t="str">
        <f>CONCATENATE("          ", "6001", " - ", "ADMINISTRATIVE SALARIES")</f>
        <v xml:space="preserve">          6001 - ADMINISTRATIVE SALARIES</v>
      </c>
      <c r="C28" s="11"/>
      <c r="D28" s="7"/>
      <c r="E28" s="2"/>
      <c r="F28" s="6">
        <f t="shared" si="8"/>
        <v>0</v>
      </c>
      <c r="G28" s="2"/>
      <c r="H28" s="7">
        <v>4779.8999999999996</v>
      </c>
      <c r="I28" s="2"/>
      <c r="J28" s="6">
        <f t="shared" si="9"/>
        <v>0</v>
      </c>
      <c r="K28" s="2"/>
      <c r="L28" s="7">
        <f t="shared" si="10"/>
        <v>-4779.8999999999996</v>
      </c>
      <c r="M28" s="2"/>
      <c r="N28" s="6">
        <f t="shared" si="11"/>
        <v>-1</v>
      </c>
      <c r="O28" s="11"/>
      <c r="P28" s="7"/>
      <c r="Q28" s="2"/>
      <c r="R28" s="6">
        <f t="shared" si="12"/>
        <v>0</v>
      </c>
      <c r="S28" s="2"/>
      <c r="T28" s="7">
        <v>27878.959999999999</v>
      </c>
      <c r="U28" s="2"/>
      <c r="V28" s="6">
        <f t="shared" si="13"/>
        <v>0</v>
      </c>
      <c r="W28" s="2"/>
      <c r="X28" s="7">
        <f t="shared" si="14"/>
        <v>-27878.959999999999</v>
      </c>
      <c r="Y28" s="2"/>
      <c r="Z28" s="6">
        <f t="shared" si="15"/>
        <v>-1</v>
      </c>
    </row>
    <row r="29" spans="1:26" s="24" customFormat="1" hidden="1" outlineLevel="2" x14ac:dyDescent="0.25">
      <c r="A29" s="27"/>
      <c r="B29" s="11" t="str">
        <f>CONCATENATE("          ", "6002", " - ", "STAFF SALARIES")</f>
        <v xml:space="preserve">          6002 - STAFF SALARIES</v>
      </c>
      <c r="C29" s="11"/>
      <c r="D29" s="7"/>
      <c r="E29" s="2"/>
      <c r="F29" s="6">
        <f t="shared" si="8"/>
        <v>0</v>
      </c>
      <c r="G29" s="2"/>
      <c r="H29" s="7"/>
      <c r="I29" s="2"/>
      <c r="J29" s="6">
        <f t="shared" si="9"/>
        <v>0</v>
      </c>
      <c r="K29" s="2"/>
      <c r="L29" s="7">
        <f t="shared" si="10"/>
        <v>0</v>
      </c>
      <c r="M29" s="2"/>
      <c r="N29" s="6">
        <f t="shared" si="11"/>
        <v>0</v>
      </c>
      <c r="O29" s="11"/>
      <c r="P29" s="7"/>
      <c r="Q29" s="2"/>
      <c r="R29" s="6">
        <f t="shared" si="12"/>
        <v>0</v>
      </c>
      <c r="S29" s="2"/>
      <c r="T29" s="7">
        <v>0</v>
      </c>
      <c r="U29" s="2"/>
      <c r="V29" s="6">
        <f t="shared" si="13"/>
        <v>0</v>
      </c>
      <c r="W29" s="2"/>
      <c r="X29" s="7">
        <f t="shared" si="14"/>
        <v>0</v>
      </c>
      <c r="Y29" s="2"/>
      <c r="Z29" s="6">
        <f t="shared" si="15"/>
        <v>0</v>
      </c>
    </row>
    <row r="30" spans="1:26" s="55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collapsed="1" x14ac:dyDescent="0.25">
      <c r="A31" s="10"/>
      <c r="B31" s="29" t="s">
        <v>0</v>
      </c>
      <c r="C31" s="10"/>
      <c r="D31" s="4">
        <f>SUM(OSRRefD25x_0)</f>
        <v>10316.52</v>
      </c>
      <c r="E31" s="4"/>
      <c r="F31" s="12">
        <f t="shared" ref="F31:F33" si="16">IF(D$12=0,0,D31/D$12)</f>
        <v>0</v>
      </c>
      <c r="G31" s="4"/>
      <c r="H31" s="4">
        <f>SUM(OSRRefH25x_0)</f>
        <v>4041.94</v>
      </c>
      <c r="I31" s="4"/>
      <c r="J31" s="12">
        <f t="shared" ref="J31:J33" si="17">IF(H$12=0,0,H31/H$12)</f>
        <v>0</v>
      </c>
      <c r="K31" s="4"/>
      <c r="L31" s="4">
        <f t="shared" ref="L31:L33" si="18">+D31-H31</f>
        <v>6274.58</v>
      </c>
      <c r="M31" s="4"/>
      <c r="N31" s="12">
        <f t="shared" ref="N31:N33" si="19">IF(H31=0,0,L31/H31)</f>
        <v>1.5523684171462218</v>
      </c>
      <c r="O31" s="10"/>
      <c r="P31" s="4">
        <f>SUM(OSRRefP25x_0)</f>
        <v>13016.99</v>
      </c>
      <c r="Q31" s="4"/>
      <c r="R31" s="12">
        <f t="shared" ref="R31:R33" si="20">IF(P$12=0,0,P31/P$12)</f>
        <v>0</v>
      </c>
      <c r="S31" s="4"/>
      <c r="T31" s="4">
        <f>SUM(OSRRefT25x_0)</f>
        <v>330455.33</v>
      </c>
      <c r="U31" s="4"/>
      <c r="V31" s="12">
        <f t="shared" ref="V31:V33" si="21">IF(T$12=0,0,T31/T$12)</f>
        <v>0</v>
      </c>
      <c r="W31" s="4"/>
      <c r="X31" s="4">
        <f t="shared" ref="X31:X33" si="22">+P31-T31</f>
        <v>-317438.34000000003</v>
      </c>
      <c r="Y31" s="4"/>
      <c r="Z31" s="12">
        <f t="shared" ref="Z31:Z33" si="23">IF(T31=0,0,X31/T31)</f>
        <v>-0.96060892708251977</v>
      </c>
    </row>
    <row r="32" spans="1:26" s="24" customFormat="1" hidden="1" outlineLevel="1" x14ac:dyDescent="0.25">
      <c r="A32" s="44"/>
      <c r="B32" s="11" t="str">
        <f>CONCATENATE("          ", "9160", " - ", "MISC. INCOME")</f>
        <v xml:space="preserve">          9160 - MISC. INCOME</v>
      </c>
      <c r="C32" s="11"/>
      <c r="D32" s="2">
        <f>--10000</f>
        <v>10000</v>
      </c>
      <c r="E32" s="2"/>
      <c r="F32" s="19">
        <f t="shared" si="16"/>
        <v>0</v>
      </c>
      <c r="G32" s="2"/>
      <c r="H32" s="2">
        <f>0</f>
        <v>0</v>
      </c>
      <c r="I32" s="2"/>
      <c r="J32" s="19">
        <f t="shared" si="17"/>
        <v>0</v>
      </c>
      <c r="K32" s="2"/>
      <c r="L32" s="2">
        <f t="shared" si="18"/>
        <v>10000</v>
      </c>
      <c r="M32" s="2"/>
      <c r="N32" s="19">
        <f t="shared" si="19"/>
        <v>0</v>
      </c>
      <c r="O32" s="11"/>
      <c r="P32" s="2">
        <f>--11701.82</f>
        <v>11701.82</v>
      </c>
      <c r="Q32" s="2"/>
      <c r="R32" s="19">
        <f t="shared" si="20"/>
        <v>0</v>
      </c>
      <c r="S32" s="2"/>
      <c r="T32" s="2">
        <f>--103039.27</f>
        <v>103039.27</v>
      </c>
      <c r="U32" s="2"/>
      <c r="V32" s="19">
        <f t="shared" si="21"/>
        <v>0</v>
      </c>
      <c r="W32" s="2"/>
      <c r="X32" s="2">
        <f t="shared" si="22"/>
        <v>-91337.450000000012</v>
      </c>
      <c r="Y32" s="2"/>
      <c r="Z32" s="19">
        <f t="shared" si="23"/>
        <v>-0.88643339573349078</v>
      </c>
    </row>
    <row r="33" spans="1:26" s="24" customFormat="1" hidden="1" outlineLevel="1" x14ac:dyDescent="0.25">
      <c r="A33" s="44"/>
      <c r="B33" s="11" t="str">
        <f>CONCATENATE("          ", "9165", " - ", "OTHER INCOME")</f>
        <v xml:space="preserve">          9165 - OTHER INCOME</v>
      </c>
      <c r="C33" s="11"/>
      <c r="D33" s="2">
        <f>--316.52</f>
        <v>316.52</v>
      </c>
      <c r="E33" s="2"/>
      <c r="F33" s="19">
        <f t="shared" si="16"/>
        <v>0</v>
      </c>
      <c r="G33" s="2"/>
      <c r="H33" s="2">
        <f>--4041.94</f>
        <v>4041.94</v>
      </c>
      <c r="I33" s="2"/>
      <c r="J33" s="19">
        <f t="shared" si="17"/>
        <v>0</v>
      </c>
      <c r="K33" s="2"/>
      <c r="L33" s="2">
        <f t="shared" si="18"/>
        <v>-3725.42</v>
      </c>
      <c r="M33" s="2"/>
      <c r="N33" s="19">
        <f t="shared" si="19"/>
        <v>-0.92169106914006638</v>
      </c>
      <c r="O33" s="11"/>
      <c r="P33" s="2">
        <f>--1315.17</f>
        <v>1315.17</v>
      </c>
      <c r="Q33" s="2"/>
      <c r="R33" s="19">
        <f t="shared" si="20"/>
        <v>0</v>
      </c>
      <c r="S33" s="2"/>
      <c r="T33" s="2">
        <f>--227416.06</f>
        <v>227416.06</v>
      </c>
      <c r="U33" s="2"/>
      <c r="V33" s="19">
        <f t="shared" si="21"/>
        <v>0</v>
      </c>
      <c r="W33" s="2"/>
      <c r="X33" s="2">
        <f t="shared" si="22"/>
        <v>-226100.88999999998</v>
      </c>
      <c r="Y33" s="2"/>
      <c r="Z33" s="19">
        <f t="shared" si="23"/>
        <v>-0.99421689919348699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8" t="s">
        <v>3</v>
      </c>
      <c r="C35" s="28"/>
      <c r="D35" s="20">
        <f>+D16-D18+D31</f>
        <v>10316.52</v>
      </c>
      <c r="E35" s="14"/>
      <c r="F35" s="21">
        <f>IF(D$12=0,0,D35/D$12)</f>
        <v>0</v>
      </c>
      <c r="G35" s="14"/>
      <c r="H35" s="20">
        <f>+H16-H18+H31</f>
        <v>-3167.4299999999989</v>
      </c>
      <c r="I35" s="14"/>
      <c r="J35" s="21">
        <f>IF(H$12=0,0,H35/H$12)</f>
        <v>0</v>
      </c>
      <c r="K35" s="15"/>
      <c r="L35" s="20">
        <f>+D35-H35</f>
        <v>13483.949999999999</v>
      </c>
      <c r="M35" s="15"/>
      <c r="N35" s="21">
        <f>IF(H35=0,0,L35/H35)</f>
        <v>-4.2570632973735814</v>
      </c>
      <c r="O35" s="29"/>
      <c r="P35" s="20">
        <f>+P16-P18+P31</f>
        <v>13016.99</v>
      </c>
      <c r="Q35" s="14"/>
      <c r="R35" s="21">
        <f>IF(P$12=0,0,P35/P$12)</f>
        <v>0</v>
      </c>
      <c r="S35" s="14"/>
      <c r="T35" s="20">
        <f>+T16-T18+T31</f>
        <v>278114.07</v>
      </c>
      <c r="U35" s="14"/>
      <c r="V35" s="21">
        <f>IF(T$12=0,0,T35/T$12)</f>
        <v>0</v>
      </c>
      <c r="W35" s="15"/>
      <c r="X35" s="20">
        <f>+P35-T35</f>
        <v>-265097.08</v>
      </c>
      <c r="Y35" s="15"/>
      <c r="Z35" s="21">
        <f>IF(T35=0,0,X35/T35)</f>
        <v>-0.95319549996158059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51"/>
      <c r="B37" s="10" t="s">
        <v>13</v>
      </c>
      <c r="C37" s="10"/>
      <c r="D37" s="4"/>
      <c r="E37" s="4"/>
      <c r="F37" s="12">
        <f>IF(D$12=0,0,D37/D$12)</f>
        <v>0</v>
      </c>
      <c r="G37" s="4"/>
      <c r="H37" s="4"/>
      <c r="I37" s="4"/>
      <c r="J37" s="12">
        <f>IF(H$12=0,0,H37/H$12)</f>
        <v>0</v>
      </c>
      <c r="K37" s="4"/>
      <c r="L37" s="4">
        <f>+D37-H37</f>
        <v>0</v>
      </c>
      <c r="M37" s="4"/>
      <c r="N37" s="12">
        <f>IF(H37=0,0,L37/H37)</f>
        <v>0</v>
      </c>
      <c r="O37" s="10"/>
      <c r="P37" s="4"/>
      <c r="Q37" s="4"/>
      <c r="R37" s="12">
        <f>IF(P$12=0,0,P37/P$12)</f>
        <v>0</v>
      </c>
      <c r="S37" s="4"/>
      <c r="T37" s="4"/>
      <c r="U37" s="4"/>
      <c r="V37" s="12">
        <f>IF(T$12=0,0,T37/T$12)</f>
        <v>0</v>
      </c>
      <c r="W37" s="4"/>
      <c r="X37" s="4">
        <f>+P37-T37</f>
        <v>0</v>
      </c>
      <c r="Y37" s="4"/>
      <c r="Z37" s="12">
        <f>IF(T37=0,0,X37/T37)</f>
        <v>0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8" t="s">
        <v>4</v>
      </c>
      <c r="C39" s="28"/>
      <c r="D39" s="33">
        <f>+D35-D37</f>
        <v>10316.52</v>
      </c>
      <c r="E39" s="14"/>
      <c r="F39" s="34">
        <f>IF(D$12=0,0,D39/D$12)</f>
        <v>0</v>
      </c>
      <c r="G39" s="14"/>
      <c r="H39" s="33">
        <f>+H35-H37</f>
        <v>-3167.4299999999989</v>
      </c>
      <c r="I39" s="14"/>
      <c r="J39" s="34">
        <f>IF(H$12=0,0,H39/H$12)</f>
        <v>0</v>
      </c>
      <c r="K39" s="15"/>
      <c r="L39" s="33">
        <f>D39-H39</f>
        <v>13483.949999999999</v>
      </c>
      <c r="M39" s="15"/>
      <c r="N39" s="34">
        <f>IF(H39=0,0,L39/H39)</f>
        <v>-4.2570632973735814</v>
      </c>
      <c r="O39" s="29"/>
      <c r="P39" s="33">
        <f>+P35-P37</f>
        <v>13016.99</v>
      </c>
      <c r="Q39" s="14"/>
      <c r="R39" s="34">
        <f>IF(P$12=0,0,P39/P$12)</f>
        <v>0</v>
      </c>
      <c r="S39" s="14"/>
      <c r="T39" s="33">
        <f>+T35-T37</f>
        <v>278114.07</v>
      </c>
      <c r="U39" s="14"/>
      <c r="V39" s="34">
        <f>IF(T$12=0,0,T39/T$12)</f>
        <v>0</v>
      </c>
      <c r="W39" s="15"/>
      <c r="X39" s="33">
        <f>P39-T39</f>
        <v>-265097.08</v>
      </c>
      <c r="Y39" s="15"/>
      <c r="Z39" s="34">
        <f>IF(T39=0,0,X39/T39)</f>
        <v>-0.95319549996158059</v>
      </c>
    </row>
    <row r="40" spans="1:26" ht="15.75" thickTop="1" x14ac:dyDescent="0.25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.75" thickBot="1" x14ac:dyDescent="0.3">
      <c r="A42" s="10"/>
      <c r="B42" s="28" t="s">
        <v>5</v>
      </c>
      <c r="C42" s="28"/>
      <c r="D42" s="30">
        <f>SUM(D39:D41)</f>
        <v>10316.52</v>
      </c>
      <c r="E42" s="14"/>
      <c r="F42" s="32">
        <f>IF(D$12=0,0,D42/D$12)</f>
        <v>0</v>
      </c>
      <c r="G42" s="14"/>
      <c r="H42" s="30">
        <f>SUM(H39:H41)</f>
        <v>-3167.4299999999989</v>
      </c>
      <c r="I42" s="14"/>
      <c r="J42" s="32">
        <f>IF(H$12=0,0,H42/H$12)</f>
        <v>0</v>
      </c>
      <c r="K42" s="15"/>
      <c r="L42" s="30">
        <f>+D42-H42</f>
        <v>13483.949999999999</v>
      </c>
      <c r="M42" s="15"/>
      <c r="N42" s="32">
        <f>IF(H42=0,0,L42/H42)</f>
        <v>-4.2570632973735814</v>
      </c>
      <c r="O42" s="29"/>
      <c r="P42" s="30">
        <f>SUM(P39:P41)</f>
        <v>13016.99</v>
      </c>
      <c r="Q42" s="14"/>
      <c r="R42" s="32">
        <f>IF(P$12=0,0,P42/P$12)</f>
        <v>0</v>
      </c>
      <c r="S42" s="14"/>
      <c r="T42" s="30">
        <f>SUM(T39:T41)</f>
        <v>278114.07</v>
      </c>
      <c r="U42" s="14"/>
      <c r="V42" s="32">
        <f>IF(T$12=0,0,T42/T$12)</f>
        <v>0</v>
      </c>
      <c r="W42" s="15"/>
      <c r="X42" s="30">
        <f>+P42-T42</f>
        <v>-265097.08</v>
      </c>
      <c r="Y42" s="15"/>
      <c r="Z42" s="32">
        <f>IF(T42=0,0,X42/T42)</f>
        <v>-0.95319549996158059</v>
      </c>
    </row>
    <row r="43" spans="1:26" ht="15.75" thickTop="1" x14ac:dyDescent="0.25">
      <c r="A43" s="9"/>
      <c r="C43" s="9"/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25">
      <c r="A44" s="9"/>
      <c r="B44" s="58">
        <v>44209.522265046297</v>
      </c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  <row r="45" spans="1:26" x14ac:dyDescent="0.25">
      <c r="A45" s="9"/>
      <c r="B45" s="61" t="s">
        <v>313</v>
      </c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  <row r="46" spans="1:26" x14ac:dyDescent="0.25">
      <c r="A46" s="9"/>
      <c r="B46" s="57"/>
      <c r="D46" s="17"/>
      <c r="E46" s="17"/>
      <c r="G46" s="17"/>
      <c r="H46" s="17"/>
      <c r="I46" s="17"/>
      <c r="J46" s="43"/>
      <c r="K46" s="17"/>
      <c r="L46" s="17"/>
      <c r="M46" s="17"/>
      <c r="P46" s="17"/>
      <c r="Q46" s="17"/>
      <c r="R46" s="43"/>
      <c r="S46" s="17"/>
      <c r="T46" s="17"/>
      <c r="U46" s="17"/>
      <c r="V46" s="43"/>
      <c r="W46" s="17"/>
      <c r="X46" s="17"/>
    </row>
    <row r="47" spans="1:26" x14ac:dyDescent="0.25">
      <c r="D47" s="17"/>
      <c r="E47" s="17"/>
      <c r="G47" s="17"/>
      <c r="H47" s="17"/>
      <c r="I47" s="17"/>
      <c r="J47" s="43"/>
      <c r="K47" s="17"/>
      <c r="L47" s="17"/>
      <c r="M47" s="17"/>
      <c r="P47" s="17"/>
      <c r="Q47" s="17"/>
      <c r="R47" s="43"/>
      <c r="S47" s="17"/>
      <c r="T47" s="17"/>
      <c r="U47" s="17"/>
      <c r="V47" s="43"/>
      <c r="W47" s="17"/>
      <c r="X47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300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85078.92</v>
      </c>
      <c r="E12" s="4"/>
      <c r="F12" s="12"/>
      <c r="G12" s="4"/>
      <c r="H12" s="4">
        <f>SUM(OSRRefH13x_0)</f>
        <v>798614.27</v>
      </c>
      <c r="I12" s="4"/>
      <c r="J12" s="12"/>
      <c r="K12" s="4"/>
      <c r="L12" s="4">
        <f t="shared" ref="L12:L17" si="0">+D12-H12</f>
        <v>-713535.35</v>
      </c>
      <c r="M12" s="4"/>
      <c r="N12" s="12">
        <f t="shared" ref="N12:N17" si="1">IF(H12=0,0,L12/H12)</f>
        <v>-0.89346681721577548</v>
      </c>
      <c r="O12" s="10"/>
      <c r="P12" s="4">
        <f>SUM(OSRRefP13x_0)</f>
        <v>636499.86</v>
      </c>
      <c r="Q12" s="4"/>
      <c r="R12" s="12"/>
      <c r="S12" s="4"/>
      <c r="T12" s="4">
        <f>SUM(OSRRefT13x_0)</f>
        <v>6088314.1300000008</v>
      </c>
      <c r="U12" s="4"/>
      <c r="V12" s="12"/>
      <c r="W12" s="4"/>
      <c r="X12" s="4">
        <f t="shared" ref="X12:X17" si="2">+P12-T12</f>
        <v>-5451814.2700000005</v>
      </c>
      <c r="Y12" s="4"/>
      <c r="Z12" s="12">
        <f t="shared" ref="Z12:Z17" si="3">IF(T12=0,0,X12/T12)</f>
        <v>-0.89545548301069666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--38.05</f>
        <v>38.049999999999997</v>
      </c>
      <c r="E13" s="2"/>
      <c r="F13" s="19"/>
      <c r="G13" s="2"/>
      <c r="H13" s="2">
        <f>--683.32</f>
        <v>683.32</v>
      </c>
      <c r="I13" s="2"/>
      <c r="J13" s="19"/>
      <c r="K13" s="2"/>
      <c r="L13" s="2">
        <f t="shared" si="0"/>
        <v>-645.2700000000001</v>
      </c>
      <c r="M13" s="2"/>
      <c r="N13" s="19">
        <f t="shared" si="1"/>
        <v>-0.94431598665339822</v>
      </c>
      <c r="O13" s="11"/>
      <c r="P13" s="2">
        <f>--533.08</f>
        <v>533.08000000000004</v>
      </c>
      <c r="Q13" s="2"/>
      <c r="R13" s="19"/>
      <c r="S13" s="2"/>
      <c r="T13" s="2">
        <f>--20338.96</f>
        <v>20338.96</v>
      </c>
      <c r="U13" s="2"/>
      <c r="V13" s="19"/>
      <c r="W13" s="2"/>
      <c r="X13" s="2">
        <f t="shared" si="2"/>
        <v>-19805.879999999997</v>
      </c>
      <c r="Y13" s="2"/>
      <c r="Z13" s="19">
        <f t="shared" si="3"/>
        <v>-0.97379020362889734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0</f>
        <v>0</v>
      </c>
      <c r="E14" s="2"/>
      <c r="F14" s="19"/>
      <c r="G14" s="2"/>
      <c r="H14" s="2">
        <f>--169.57</f>
        <v>169.57</v>
      </c>
      <c r="I14" s="2"/>
      <c r="J14" s="19"/>
      <c r="K14" s="2"/>
      <c r="L14" s="2">
        <f t="shared" si="0"/>
        <v>-169.57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--973.49</f>
        <v>973.49</v>
      </c>
      <c r="U14" s="2"/>
      <c r="V14" s="19"/>
      <c r="W14" s="2"/>
      <c r="X14" s="2">
        <f t="shared" si="2"/>
        <v>-973.49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--81403.33</f>
        <v>81403.33</v>
      </c>
      <c r="E15" s="2"/>
      <c r="F15" s="19"/>
      <c r="G15" s="2"/>
      <c r="H15" s="2">
        <f>--786298.91</f>
        <v>786298.91</v>
      </c>
      <c r="I15" s="2"/>
      <c r="J15" s="19"/>
      <c r="K15" s="2"/>
      <c r="L15" s="2">
        <f t="shared" si="0"/>
        <v>-704895.58000000007</v>
      </c>
      <c r="M15" s="2"/>
      <c r="N15" s="19">
        <f t="shared" si="1"/>
        <v>-0.89647279302472904</v>
      </c>
      <c r="O15" s="11"/>
      <c r="P15" s="2">
        <f>--606205.38</f>
        <v>606205.38</v>
      </c>
      <c r="Q15" s="2"/>
      <c r="R15" s="19"/>
      <c r="S15" s="2"/>
      <c r="T15" s="2">
        <f>--5840511.24</f>
        <v>5840511.2400000002</v>
      </c>
      <c r="U15" s="2"/>
      <c r="V15" s="19"/>
      <c r="W15" s="2"/>
      <c r="X15" s="2">
        <f t="shared" si="2"/>
        <v>-5234305.8600000003</v>
      </c>
      <c r="Y15" s="2"/>
      <c r="Z15" s="19">
        <f t="shared" si="3"/>
        <v>-0.89620679507501477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--3637.54</f>
        <v>3637.54</v>
      </c>
      <c r="E16" s="2"/>
      <c r="F16" s="19"/>
      <c r="G16" s="2"/>
      <c r="H16" s="2">
        <f>--10760.38</f>
        <v>10760.38</v>
      </c>
      <c r="I16" s="2"/>
      <c r="J16" s="19"/>
      <c r="K16" s="2"/>
      <c r="L16" s="2">
        <f t="shared" si="0"/>
        <v>-7122.8399999999992</v>
      </c>
      <c r="M16" s="2"/>
      <c r="N16" s="19">
        <f t="shared" si="1"/>
        <v>-0.66195060025761165</v>
      </c>
      <c r="O16" s="11"/>
      <c r="P16" s="2">
        <f>--29761.4</f>
        <v>29761.4</v>
      </c>
      <c r="Q16" s="2"/>
      <c r="R16" s="19"/>
      <c r="S16" s="2"/>
      <c r="T16" s="2">
        <f>--222756.54</f>
        <v>222756.54</v>
      </c>
      <c r="U16" s="2"/>
      <c r="V16" s="19"/>
      <c r="W16" s="2"/>
      <c r="X16" s="2">
        <f t="shared" si="2"/>
        <v>-192995.14</v>
      </c>
      <c r="Y16" s="2"/>
      <c r="Z16" s="19">
        <f t="shared" si="3"/>
        <v>-0.86639494400478656</v>
      </c>
    </row>
    <row r="17" spans="1:26" s="24" customFormat="1" hidden="1" outlineLevel="1" x14ac:dyDescent="0.2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>0</f>
        <v>0</v>
      </c>
      <c r="E17" s="2"/>
      <c r="F17" s="19"/>
      <c r="G17" s="2"/>
      <c r="H17" s="2">
        <f>--702.09</f>
        <v>702.09</v>
      </c>
      <c r="I17" s="2"/>
      <c r="J17" s="19"/>
      <c r="K17" s="2"/>
      <c r="L17" s="2">
        <f t="shared" si="0"/>
        <v>-702.09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--3733.9</f>
        <v>3733.9</v>
      </c>
      <c r="U17" s="2"/>
      <c r="V17" s="19"/>
      <c r="W17" s="2"/>
      <c r="X17" s="2">
        <f t="shared" si="2"/>
        <v>-3733.9</v>
      </c>
      <c r="Y17" s="2"/>
      <c r="Z17" s="19">
        <f t="shared" si="3"/>
        <v>-1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9" t="s">
        <v>8</v>
      </c>
      <c r="C19" s="10"/>
      <c r="D19" s="4">
        <f>SUM(OSRRefD16x_0)</f>
        <v>34611.79</v>
      </c>
      <c r="E19" s="4"/>
      <c r="F19" s="12">
        <f t="shared" ref="F19:F21" si="4">IF(D$12=0,0,D19/D$12)</f>
        <v>0.40681980918422567</v>
      </c>
      <c r="G19" s="4"/>
      <c r="H19" s="4">
        <f>SUM(OSRRefH16x_0)</f>
        <v>192568.73</v>
      </c>
      <c r="I19" s="4"/>
      <c r="J19" s="12">
        <f t="shared" ref="J19:J21" si="5">IF(H$12=0,0,H19/H$12)</f>
        <v>0.24112858639503149</v>
      </c>
      <c r="K19" s="4"/>
      <c r="L19" s="4">
        <f t="shared" ref="L19:L21" si="6">+D19-H19</f>
        <v>-157956.94</v>
      </c>
      <c r="M19" s="4"/>
      <c r="N19" s="12">
        <f t="shared" ref="N19:N21" si="7">IF(H19=0,0,L19/H19)</f>
        <v>-0.82026266673722148</v>
      </c>
      <c r="O19" s="10"/>
      <c r="P19" s="4">
        <f>SUM(OSRRefP16x_0)</f>
        <v>250864.81000000003</v>
      </c>
      <c r="Q19" s="4"/>
      <c r="R19" s="12">
        <f t="shared" ref="R19:R21" si="8">IF(P$12=0,0,P19/P$12)</f>
        <v>0.39413175990329369</v>
      </c>
      <c r="S19" s="4"/>
      <c r="T19" s="4">
        <f>SUM(OSRRefT16x_0)</f>
        <v>1463991.78</v>
      </c>
      <c r="U19" s="4"/>
      <c r="V19" s="12">
        <f t="shared" ref="V19:V21" si="9">IF(T$12=0,0,T19/T$12)</f>
        <v>0.2404593042902009</v>
      </c>
      <c r="W19" s="4"/>
      <c r="X19" s="4">
        <f t="shared" ref="X19:X21" si="10">+P19-T19</f>
        <v>-1213126.97</v>
      </c>
      <c r="Y19" s="4"/>
      <c r="Z19" s="12">
        <f t="shared" ref="Z19:Z21" si="11">IF(T19=0,0,X19/T19)</f>
        <v>-0.82864329333870979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32717.79</v>
      </c>
      <c r="E20" s="2"/>
      <c r="F20" s="19">
        <f t="shared" si="4"/>
        <v>0.38455812556153746</v>
      </c>
      <c r="G20" s="2"/>
      <c r="H20" s="2">
        <v>182624.73</v>
      </c>
      <c r="I20" s="2"/>
      <c r="J20" s="19">
        <f t="shared" si="5"/>
        <v>0.22867701825563425</v>
      </c>
      <c r="K20" s="2"/>
      <c r="L20" s="2">
        <f t="shared" si="6"/>
        <v>-149906.94</v>
      </c>
      <c r="M20" s="2"/>
      <c r="N20" s="19">
        <f t="shared" si="7"/>
        <v>-0.82084688092351998</v>
      </c>
      <c r="O20" s="11"/>
      <c r="P20" s="2">
        <v>256328.49000000002</v>
      </c>
      <c r="Q20" s="2"/>
      <c r="R20" s="19">
        <f t="shared" si="8"/>
        <v>0.4027157052320483</v>
      </c>
      <c r="S20" s="2"/>
      <c r="T20" s="2">
        <v>1457811.04</v>
      </c>
      <c r="U20" s="2"/>
      <c r="V20" s="19">
        <f t="shared" si="9"/>
        <v>0.2394441234260033</v>
      </c>
      <c r="W20" s="2"/>
      <c r="X20" s="2">
        <f t="shared" si="10"/>
        <v>-1201482.55</v>
      </c>
      <c r="Y20" s="2"/>
      <c r="Z20" s="19">
        <f t="shared" si="11"/>
        <v>-0.8241689197250146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1894</v>
      </c>
      <c r="E21" s="2"/>
      <c r="F21" s="19">
        <f t="shared" si="4"/>
        <v>2.2261683622688207E-2</v>
      </c>
      <c r="G21" s="2"/>
      <c r="H21" s="2">
        <v>9944</v>
      </c>
      <c r="I21" s="2"/>
      <c r="J21" s="19">
        <f t="shared" si="5"/>
        <v>1.2451568139397259E-2</v>
      </c>
      <c r="K21" s="2"/>
      <c r="L21" s="2">
        <f t="shared" si="6"/>
        <v>-8050</v>
      </c>
      <c r="M21" s="2"/>
      <c r="N21" s="19">
        <f t="shared" si="7"/>
        <v>-0.80953338696701527</v>
      </c>
      <c r="O21" s="11"/>
      <c r="P21" s="2">
        <v>-5463.68</v>
      </c>
      <c r="Q21" s="2"/>
      <c r="R21" s="19">
        <f t="shared" si="8"/>
        <v>-8.5839453287546684E-3</v>
      </c>
      <c r="S21" s="2"/>
      <c r="T21" s="2">
        <v>6180.74</v>
      </c>
      <c r="U21" s="2"/>
      <c r="V21" s="19">
        <f t="shared" si="9"/>
        <v>1.015180864197623E-3</v>
      </c>
      <c r="W21" s="2"/>
      <c r="X21" s="2">
        <f t="shared" si="10"/>
        <v>-11644.42</v>
      </c>
      <c r="Y21" s="2"/>
      <c r="Z21" s="19">
        <f t="shared" si="11"/>
        <v>-1.8839847655782318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D12-D19</f>
        <v>50467.13</v>
      </c>
      <c r="E23" s="14"/>
      <c r="F23" s="21">
        <f>IF(D$12=0,0,D23/D$12)</f>
        <v>0.59318019081577433</v>
      </c>
      <c r="G23" s="14"/>
      <c r="H23" s="20">
        <f>H12-H19</f>
        <v>606045.54</v>
      </c>
      <c r="I23" s="14"/>
      <c r="J23" s="21">
        <f>IF(H$12=0,0,H23/H$12)</f>
        <v>0.75887141360496857</v>
      </c>
      <c r="K23" s="15"/>
      <c r="L23" s="20">
        <f>+D23-H23</f>
        <v>-555578.41</v>
      </c>
      <c r="M23" s="15"/>
      <c r="N23" s="21">
        <f>IF(H23=0,0,L23/H23)</f>
        <v>-0.91672716542060517</v>
      </c>
      <c r="O23" s="29"/>
      <c r="P23" s="20">
        <f>P12-P19</f>
        <v>385635.04999999993</v>
      </c>
      <c r="Q23" s="14"/>
      <c r="R23" s="21">
        <f>IF(P$12=0,0,P23/P$12)</f>
        <v>0.60586824009670626</v>
      </c>
      <c r="S23" s="14"/>
      <c r="T23" s="20">
        <f>T12-T19</f>
        <v>4624322.3500000006</v>
      </c>
      <c r="U23" s="14"/>
      <c r="V23" s="21">
        <f>IF(T$12=0,0,T23/T$12)</f>
        <v>0.7595406957097991</v>
      </c>
      <c r="W23" s="15"/>
      <c r="X23" s="20">
        <f>+P23-T23</f>
        <v>-4238687.3000000007</v>
      </c>
      <c r="Y23" s="15"/>
      <c r="Z23" s="21">
        <f>IF(T23=0,0,X23/T23)</f>
        <v>-0.9166072300301471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2">
        <f>SUM(OSRRefD22x_0)</f>
        <v>248474.40999999997</v>
      </c>
      <c r="E25" s="22"/>
      <c r="F25" s="36">
        <f t="shared" ref="F25:F35" si="12">IF(D$12=0,0,D25/D$12)</f>
        <v>2.9205167390465228</v>
      </c>
      <c r="G25" s="22"/>
      <c r="H25" s="22">
        <f>SUM(OSRRefH22x_0)</f>
        <v>419899.1399999999</v>
      </c>
      <c r="I25" s="22"/>
      <c r="J25" s="36">
        <f t="shared" ref="J25:J35" si="13">IF(H$12=0,0,H25/H$12)</f>
        <v>0.52578466948756108</v>
      </c>
      <c r="K25" s="4"/>
      <c r="L25" s="22">
        <f t="shared" ref="L25:L35" si="14">+D25-H25</f>
        <v>-171424.72999999992</v>
      </c>
      <c r="M25" s="4"/>
      <c r="N25" s="36">
        <f t="shared" ref="N25:N35" si="15">IF(H25=0,0,L25/H25)</f>
        <v>-0.40825215788724872</v>
      </c>
      <c r="O25" s="10"/>
      <c r="P25" s="22">
        <f>SUM(OSRRefP22x_0)</f>
        <v>1403467.4999999995</v>
      </c>
      <c r="Q25" s="22"/>
      <c r="R25" s="36">
        <f t="shared" ref="R25:R35" si="16">IF(P$12=0,0,P25/P$12)</f>
        <v>2.2049769186123616</v>
      </c>
      <c r="S25" s="22"/>
      <c r="T25" s="22">
        <f>SUM(OSRRefT22x_0)</f>
        <v>2944569.6299999994</v>
      </c>
      <c r="U25" s="22"/>
      <c r="V25" s="36">
        <f t="shared" ref="V25:V35" si="17">IF(T$12=0,0,T25/T$12)</f>
        <v>0.48364285533341872</v>
      </c>
      <c r="W25" s="4"/>
      <c r="X25" s="22">
        <f t="shared" ref="X25:X35" si="18">+P25-T25</f>
        <v>-1541102.13</v>
      </c>
      <c r="Y25" s="4"/>
      <c r="Z25" s="36">
        <f t="shared" ref="Z25:Z35" si="19">IF(T25=0,0,X25/T25)</f>
        <v>-0.52337092466718138</v>
      </c>
    </row>
    <row r="26" spans="1:26" s="25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78432.709999999992</v>
      </c>
      <c r="E26" s="1"/>
      <c r="F26" s="5">
        <f t="shared" si="12"/>
        <v>0.92188182454596268</v>
      </c>
      <c r="G26" s="1"/>
      <c r="H26" s="1">
        <f>SUM(OSRRefH22_0x_0)</f>
        <v>99500.830000000016</v>
      </c>
      <c r="I26" s="1"/>
      <c r="J26" s="5">
        <f t="shared" si="13"/>
        <v>0.12459185083181648</v>
      </c>
      <c r="K26" s="1"/>
      <c r="L26" s="1">
        <f t="shared" si="14"/>
        <v>-21068.120000000024</v>
      </c>
      <c r="M26" s="1"/>
      <c r="N26" s="5">
        <f t="shared" si="15"/>
        <v>-0.21173813323969279</v>
      </c>
      <c r="O26" s="13"/>
      <c r="P26" s="1">
        <f>SUM(OSRRefP22_0x_0)</f>
        <v>466708.24999999994</v>
      </c>
      <c r="Q26" s="1"/>
      <c r="R26" s="5">
        <f t="shared" si="16"/>
        <v>0.73324171665960769</v>
      </c>
      <c r="S26" s="1"/>
      <c r="T26" s="1">
        <f>SUM(OSRRefT22_0x_0)</f>
        <v>569418.77</v>
      </c>
      <c r="U26" s="1"/>
      <c r="V26" s="5">
        <f t="shared" si="17"/>
        <v>9.3526509611947362E-2</v>
      </c>
      <c r="W26" s="1"/>
      <c r="X26" s="1">
        <f t="shared" si="18"/>
        <v>-102710.52000000008</v>
      </c>
      <c r="Y26" s="1"/>
      <c r="Z26" s="5">
        <f t="shared" si="19"/>
        <v>-0.18037782632279592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7">
        <v>7180.2</v>
      </c>
      <c r="E27" s="2"/>
      <c r="F27" s="6">
        <f t="shared" si="12"/>
        <v>8.4394583288081235E-2</v>
      </c>
      <c r="G27" s="2"/>
      <c r="H27" s="7">
        <v>12150.98</v>
      </c>
      <c r="I27" s="2"/>
      <c r="J27" s="6">
        <f t="shared" si="13"/>
        <v>1.52150799909949E-2</v>
      </c>
      <c r="K27" s="2"/>
      <c r="L27" s="7">
        <f t="shared" si="14"/>
        <v>-4970.78</v>
      </c>
      <c r="M27" s="2"/>
      <c r="N27" s="6">
        <f t="shared" si="15"/>
        <v>-0.40908469934112307</v>
      </c>
      <c r="O27" s="11"/>
      <c r="P27" s="7">
        <v>49106.04</v>
      </c>
      <c r="Q27" s="2"/>
      <c r="R27" s="6">
        <f t="shared" si="16"/>
        <v>7.7150119090363983E-2</v>
      </c>
      <c r="S27" s="2"/>
      <c r="T27" s="7">
        <v>86097.69</v>
      </c>
      <c r="U27" s="2"/>
      <c r="V27" s="6">
        <f t="shared" si="17"/>
        <v>1.4141466448939616E-2</v>
      </c>
      <c r="W27" s="2"/>
      <c r="X27" s="7">
        <f t="shared" si="18"/>
        <v>-36991.65</v>
      </c>
      <c r="Y27" s="2"/>
      <c r="Z27" s="6">
        <f t="shared" si="19"/>
        <v>-0.42964741562752728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8283.3700000000008</v>
      </c>
      <c r="E28" s="2"/>
      <c r="F28" s="6">
        <f t="shared" si="12"/>
        <v>9.7361014925906458E-2</v>
      </c>
      <c r="G28" s="2"/>
      <c r="H28" s="7">
        <v>13524.22</v>
      </c>
      <c r="I28" s="2"/>
      <c r="J28" s="6">
        <f t="shared" si="13"/>
        <v>1.6934608493785114E-2</v>
      </c>
      <c r="K28" s="2"/>
      <c r="L28" s="7">
        <f t="shared" si="14"/>
        <v>-5240.8499999999985</v>
      </c>
      <c r="M28" s="2"/>
      <c r="N28" s="6">
        <f t="shared" si="15"/>
        <v>-0.38751587891944961</v>
      </c>
      <c r="O28" s="11"/>
      <c r="P28" s="7">
        <v>34107.369999999995</v>
      </c>
      <c r="Q28" s="2"/>
      <c r="R28" s="6">
        <f t="shared" si="16"/>
        <v>5.3585824826418653E-2</v>
      </c>
      <c r="S28" s="2"/>
      <c r="T28" s="7">
        <v>48256.460000000006</v>
      </c>
      <c r="U28" s="2"/>
      <c r="V28" s="6">
        <f t="shared" si="17"/>
        <v>7.9260792018298835E-3</v>
      </c>
      <c r="W28" s="2"/>
      <c r="X28" s="7">
        <f t="shared" si="18"/>
        <v>-14149.090000000011</v>
      </c>
      <c r="Y28" s="2"/>
      <c r="Z28" s="6">
        <f t="shared" si="19"/>
        <v>-0.2932061324017553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7">
        <v>45706.3</v>
      </c>
      <c r="E29" s="2"/>
      <c r="F29" s="6">
        <f t="shared" si="12"/>
        <v>0.5372223812902186</v>
      </c>
      <c r="G29" s="2"/>
      <c r="H29" s="7">
        <v>49539.45</v>
      </c>
      <c r="I29" s="2"/>
      <c r="J29" s="6">
        <f t="shared" si="13"/>
        <v>6.2031761591237279E-2</v>
      </c>
      <c r="K29" s="2"/>
      <c r="L29" s="7">
        <f t="shared" si="14"/>
        <v>-3833.1499999999942</v>
      </c>
      <c r="M29" s="2"/>
      <c r="N29" s="6">
        <f t="shared" si="15"/>
        <v>-7.7375707643100491E-2</v>
      </c>
      <c r="O29" s="11"/>
      <c r="P29" s="7">
        <v>267591.93</v>
      </c>
      <c r="Q29" s="2"/>
      <c r="R29" s="6">
        <f t="shared" si="16"/>
        <v>0.42041160857443077</v>
      </c>
      <c r="S29" s="2"/>
      <c r="T29" s="7">
        <v>277959.5</v>
      </c>
      <c r="U29" s="2"/>
      <c r="V29" s="6">
        <f t="shared" si="17"/>
        <v>4.5654592398634987E-2</v>
      </c>
      <c r="W29" s="2"/>
      <c r="X29" s="7">
        <f t="shared" si="18"/>
        <v>-10367.570000000007</v>
      </c>
      <c r="Y29" s="2"/>
      <c r="Z29" s="6">
        <f t="shared" si="19"/>
        <v>-3.7298851091615889E-2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2"/>
        <v>0</v>
      </c>
      <c r="G30" s="2"/>
      <c r="H30" s="7">
        <v>912.1</v>
      </c>
      <c r="I30" s="2"/>
      <c r="J30" s="6">
        <f t="shared" si="13"/>
        <v>1.1421033085221479E-3</v>
      </c>
      <c r="K30" s="2"/>
      <c r="L30" s="7">
        <f t="shared" si="14"/>
        <v>-912.1</v>
      </c>
      <c r="M30" s="2"/>
      <c r="N30" s="6">
        <f t="shared" si="15"/>
        <v>-1</v>
      </c>
      <c r="O30" s="11"/>
      <c r="P30" s="7">
        <v>1645.86</v>
      </c>
      <c r="Q30" s="2"/>
      <c r="R30" s="6">
        <f t="shared" si="16"/>
        <v>2.5857978978974165E-3</v>
      </c>
      <c r="S30" s="2"/>
      <c r="T30" s="7">
        <v>4225.17</v>
      </c>
      <c r="U30" s="2"/>
      <c r="V30" s="6">
        <f t="shared" si="17"/>
        <v>6.9398028908866432E-4</v>
      </c>
      <c r="W30" s="2"/>
      <c r="X30" s="7">
        <f t="shared" si="18"/>
        <v>-2579.3100000000004</v>
      </c>
      <c r="Y30" s="2"/>
      <c r="Z30" s="6">
        <f t="shared" si="19"/>
        <v>-0.61046301095577227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7">
        <v>3503.7</v>
      </c>
      <c r="E31" s="2"/>
      <c r="F31" s="6">
        <f t="shared" si="12"/>
        <v>4.1181763943406897E-2</v>
      </c>
      <c r="G31" s="2"/>
      <c r="H31" s="7">
        <v>3993.41</v>
      </c>
      <c r="I31" s="2"/>
      <c r="J31" s="6">
        <f t="shared" si="13"/>
        <v>5.0004240470183431E-3</v>
      </c>
      <c r="K31" s="2"/>
      <c r="L31" s="7">
        <f t="shared" si="14"/>
        <v>-489.71000000000004</v>
      </c>
      <c r="M31" s="2"/>
      <c r="N31" s="6">
        <f t="shared" si="15"/>
        <v>-0.12262953215422409</v>
      </c>
      <c r="O31" s="11"/>
      <c r="P31" s="7">
        <v>23650.38</v>
      </c>
      <c r="Q31" s="2"/>
      <c r="R31" s="6">
        <f t="shared" si="16"/>
        <v>3.7156928832631636E-2</v>
      </c>
      <c r="S31" s="2"/>
      <c r="T31" s="7">
        <v>25906.54</v>
      </c>
      <c r="U31" s="2"/>
      <c r="V31" s="6">
        <f t="shared" si="17"/>
        <v>4.255125383945982E-3</v>
      </c>
      <c r="W31" s="2"/>
      <c r="X31" s="7">
        <f t="shared" si="18"/>
        <v>-2256.16</v>
      </c>
      <c r="Y31" s="2"/>
      <c r="Z31" s="6">
        <f t="shared" si="19"/>
        <v>-8.7088434040207593E-2</v>
      </c>
    </row>
    <row r="32" spans="1:26" s="24" customFormat="1" hidden="1" outlineLevel="2" x14ac:dyDescent="0.25">
      <c r="A32" s="27"/>
      <c r="B32" s="11" t="str">
        <f>CONCATENATE("          ", "6117", " - ", "RETIREMENT STAFF HOURLY")</f>
        <v xml:space="preserve">          6117 - RETIREMENT STAFF HOURLY</v>
      </c>
      <c r="C32" s="11"/>
      <c r="D32" s="7">
        <v>1345.94</v>
      </c>
      <c r="E32" s="2"/>
      <c r="F32" s="6">
        <f t="shared" si="12"/>
        <v>1.5819899923506318E-2</v>
      </c>
      <c r="G32" s="2"/>
      <c r="H32" s="7">
        <v>2203.6</v>
      </c>
      <c r="I32" s="2"/>
      <c r="J32" s="6">
        <f t="shared" si="13"/>
        <v>2.7592795205124494E-3</v>
      </c>
      <c r="K32" s="2"/>
      <c r="L32" s="7">
        <f t="shared" si="14"/>
        <v>-857.65999999999985</v>
      </c>
      <c r="M32" s="2"/>
      <c r="N32" s="6">
        <f t="shared" si="15"/>
        <v>-0.38920856779814844</v>
      </c>
      <c r="O32" s="11"/>
      <c r="P32" s="7">
        <v>9032.7999999999993</v>
      </c>
      <c r="Q32" s="2"/>
      <c r="R32" s="6">
        <f t="shared" si="16"/>
        <v>1.4191362115931964E-2</v>
      </c>
      <c r="S32" s="2"/>
      <c r="T32" s="7">
        <v>10468.01</v>
      </c>
      <c r="U32" s="2"/>
      <c r="V32" s="6">
        <f t="shared" si="17"/>
        <v>1.7193610212093309E-3</v>
      </c>
      <c r="W32" s="2"/>
      <c r="X32" s="7">
        <f t="shared" si="18"/>
        <v>-1435.2100000000009</v>
      </c>
      <c r="Y32" s="2"/>
      <c r="Z32" s="6">
        <f t="shared" si="19"/>
        <v>-0.13710437800498862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7">
        <v>6444.74</v>
      </c>
      <c r="E33" s="2"/>
      <c r="F33" s="6">
        <f t="shared" si="12"/>
        <v>7.5750138812293338E-2</v>
      </c>
      <c r="G33" s="2"/>
      <c r="H33" s="7">
        <v>8059.5</v>
      </c>
      <c r="I33" s="2"/>
      <c r="J33" s="6">
        <f t="shared" si="13"/>
        <v>1.0091855734057945E-2</v>
      </c>
      <c r="K33" s="2"/>
      <c r="L33" s="7">
        <f t="shared" si="14"/>
        <v>-1614.7600000000002</v>
      </c>
      <c r="M33" s="2"/>
      <c r="N33" s="6">
        <f t="shared" si="15"/>
        <v>-0.20035486072336997</v>
      </c>
      <c r="O33" s="11"/>
      <c r="P33" s="7">
        <v>40068</v>
      </c>
      <c r="Q33" s="2"/>
      <c r="R33" s="6">
        <f t="shared" si="16"/>
        <v>6.295052445101873E-2</v>
      </c>
      <c r="S33" s="2"/>
      <c r="T33" s="7">
        <v>53556</v>
      </c>
      <c r="U33" s="2"/>
      <c r="V33" s="6">
        <f t="shared" si="17"/>
        <v>8.7965237759504364E-3</v>
      </c>
      <c r="W33" s="2"/>
      <c r="X33" s="7">
        <f t="shared" si="18"/>
        <v>-13488</v>
      </c>
      <c r="Y33" s="2"/>
      <c r="Z33" s="6">
        <f t="shared" si="19"/>
        <v>-0.25184853237732469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7">
        <v>4207.78</v>
      </c>
      <c r="E34" s="2"/>
      <c r="F34" s="6">
        <f t="shared" si="12"/>
        <v>4.9457374400145179E-2</v>
      </c>
      <c r="G34" s="2"/>
      <c r="H34" s="7">
        <v>5433.97</v>
      </c>
      <c r="I34" s="2"/>
      <c r="J34" s="6">
        <f t="shared" si="13"/>
        <v>6.8042485642035924E-3</v>
      </c>
      <c r="K34" s="2"/>
      <c r="L34" s="7">
        <f t="shared" si="14"/>
        <v>-1226.1900000000005</v>
      </c>
      <c r="M34" s="2"/>
      <c r="N34" s="6">
        <f t="shared" si="15"/>
        <v>-0.22565269959164302</v>
      </c>
      <c r="O34" s="11"/>
      <c r="P34" s="7">
        <v>26664.230000000003</v>
      </c>
      <c r="Q34" s="2"/>
      <c r="R34" s="6">
        <f t="shared" si="16"/>
        <v>4.1891965223684421E-2</v>
      </c>
      <c r="S34" s="2"/>
      <c r="T34" s="7">
        <v>41403.599999999999</v>
      </c>
      <c r="U34" s="2"/>
      <c r="V34" s="6">
        <f t="shared" si="17"/>
        <v>6.8005032453869116E-3</v>
      </c>
      <c r="W34" s="2"/>
      <c r="X34" s="7">
        <f t="shared" si="18"/>
        <v>-14739.369999999995</v>
      </c>
      <c r="Y34" s="2"/>
      <c r="Z34" s="6">
        <f t="shared" si="19"/>
        <v>-0.35599247408437906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7">
        <v>1760.68</v>
      </c>
      <c r="E35" s="2"/>
      <c r="F35" s="6">
        <f t="shared" si="12"/>
        <v>2.0694667962404791E-2</v>
      </c>
      <c r="G35" s="2"/>
      <c r="H35" s="7">
        <v>3683.6</v>
      </c>
      <c r="I35" s="2"/>
      <c r="J35" s="6">
        <f t="shared" si="13"/>
        <v>4.6124895814846885E-3</v>
      </c>
      <c r="K35" s="2"/>
      <c r="L35" s="7">
        <f t="shared" si="14"/>
        <v>-1922.9199999999998</v>
      </c>
      <c r="M35" s="2"/>
      <c r="N35" s="6">
        <f t="shared" si="15"/>
        <v>-0.52202193506352479</v>
      </c>
      <c r="O35" s="11"/>
      <c r="P35" s="7">
        <v>14841.64</v>
      </c>
      <c r="Q35" s="2"/>
      <c r="R35" s="6">
        <f t="shared" si="16"/>
        <v>2.331758564723015E-2</v>
      </c>
      <c r="S35" s="2"/>
      <c r="T35" s="7">
        <v>21545.8</v>
      </c>
      <c r="U35" s="2"/>
      <c r="V35" s="6">
        <f t="shared" si="17"/>
        <v>3.5388778469615523E-3</v>
      </c>
      <c r="W35" s="2"/>
      <c r="X35" s="7">
        <f t="shared" si="18"/>
        <v>-6704.16</v>
      </c>
      <c r="Y35" s="2"/>
      <c r="Z35" s="6">
        <f t="shared" si="19"/>
        <v>-0.31115855526367087</v>
      </c>
    </row>
    <row r="36" spans="1:26" s="25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92565.57</v>
      </c>
      <c r="E36" s="1"/>
      <c r="F36" s="5">
        <f t="shared" ref="F36:F43" si="20">IF(D$12=0,0,D36/D$12)</f>
        <v>1.0879965331012666</v>
      </c>
      <c r="G36" s="1"/>
      <c r="H36" s="1">
        <f>SUM(OSRRefH22_1x_0)</f>
        <v>213051.33</v>
      </c>
      <c r="I36" s="1"/>
      <c r="J36" s="5">
        <f t="shared" ref="J36:J43" si="21">IF(H$12=0,0,H36/H$12)</f>
        <v>0.26677626233751117</v>
      </c>
      <c r="K36" s="1"/>
      <c r="L36" s="1">
        <f t="shared" ref="L36:L43" si="22">+D36-H36</f>
        <v>-120485.75999999998</v>
      </c>
      <c r="M36" s="1"/>
      <c r="N36" s="5">
        <f t="shared" ref="N36:N43" si="23">IF(H36=0,0,L36/H36)</f>
        <v>-0.56552456161620768</v>
      </c>
      <c r="O36" s="13"/>
      <c r="P36" s="1">
        <f>SUM(OSRRefP22_1x_0)</f>
        <v>640516.01000000013</v>
      </c>
      <c r="Q36" s="1"/>
      <c r="R36" s="5">
        <f t="shared" ref="R36:R43" si="24">IF(P$12=0,0,P36/P$12)</f>
        <v>1.0063097421576812</v>
      </c>
      <c r="S36" s="1"/>
      <c r="T36" s="1">
        <f>SUM(OSRRefT22_1x_0)</f>
        <v>1521629.99</v>
      </c>
      <c r="U36" s="1"/>
      <c r="V36" s="5">
        <f t="shared" ref="V36:V43" si="25">IF(T$12=0,0,T36/T$12)</f>
        <v>0.2499263273066365</v>
      </c>
      <c r="W36" s="1"/>
      <c r="X36" s="1">
        <f t="shared" ref="X36:X43" si="26">+P36-T36</f>
        <v>-881113.97999999986</v>
      </c>
      <c r="Y36" s="1"/>
      <c r="Z36" s="5">
        <f t="shared" ref="Z36:Z43" si="27">IF(T36=0,0,X36/T36)</f>
        <v>-0.57905928891425162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7">
        <v>8063.59</v>
      </c>
      <c r="E37" s="2"/>
      <c r="F37" s="6">
        <f t="shared" si="20"/>
        <v>9.4777766337419425E-2</v>
      </c>
      <c r="G37" s="2"/>
      <c r="H37" s="7">
        <v>7330.54</v>
      </c>
      <c r="I37" s="2"/>
      <c r="J37" s="6">
        <f t="shared" si="21"/>
        <v>9.1790746488915106E-3</v>
      </c>
      <c r="K37" s="2"/>
      <c r="L37" s="7">
        <f t="shared" si="22"/>
        <v>733.05000000000018</v>
      </c>
      <c r="M37" s="2"/>
      <c r="N37" s="6">
        <f t="shared" si="23"/>
        <v>9.9999454337606805E-2</v>
      </c>
      <c r="O37" s="11"/>
      <c r="P37" s="7">
        <v>53309.26</v>
      </c>
      <c r="Q37" s="2"/>
      <c r="R37" s="6">
        <f t="shared" si="24"/>
        <v>8.3753765476083541E-2</v>
      </c>
      <c r="S37" s="2"/>
      <c r="T37" s="7">
        <v>45612.24</v>
      </c>
      <c r="U37" s="2"/>
      <c r="V37" s="6">
        <f t="shared" si="25"/>
        <v>7.4917684971685244E-3</v>
      </c>
      <c r="W37" s="2"/>
      <c r="X37" s="7">
        <f t="shared" si="26"/>
        <v>7697.0200000000041</v>
      </c>
      <c r="Y37" s="2"/>
      <c r="Z37" s="6">
        <f t="shared" si="27"/>
        <v>0.16874900246074309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7">
        <v>24662.15</v>
      </c>
      <c r="E38" s="2"/>
      <c r="F38" s="6">
        <f t="shared" si="20"/>
        <v>0.28987380187712775</v>
      </c>
      <c r="G38" s="2"/>
      <c r="H38" s="7">
        <v>35354.47</v>
      </c>
      <c r="I38" s="2"/>
      <c r="J38" s="6">
        <f t="shared" si="21"/>
        <v>4.4269769935365667E-2</v>
      </c>
      <c r="K38" s="2"/>
      <c r="L38" s="7">
        <f t="shared" si="22"/>
        <v>-10692.32</v>
      </c>
      <c r="M38" s="2"/>
      <c r="N38" s="6">
        <f t="shared" si="23"/>
        <v>-0.30243191313573642</v>
      </c>
      <c r="O38" s="11"/>
      <c r="P38" s="7">
        <v>169957.95</v>
      </c>
      <c r="Q38" s="2"/>
      <c r="R38" s="6">
        <f t="shared" si="24"/>
        <v>0.26701961882599629</v>
      </c>
      <c r="S38" s="2"/>
      <c r="T38" s="7">
        <v>236281.28999999998</v>
      </c>
      <c r="U38" s="2"/>
      <c r="V38" s="6">
        <f t="shared" si="25"/>
        <v>3.880898471314586E-2</v>
      </c>
      <c r="W38" s="2"/>
      <c r="X38" s="7">
        <f t="shared" si="26"/>
        <v>-66323.339999999967</v>
      </c>
      <c r="Y38" s="2"/>
      <c r="Z38" s="6">
        <f t="shared" si="27"/>
        <v>-0.28069653758873575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7">
        <v>36454.700000000004</v>
      </c>
      <c r="E39" s="2"/>
      <c r="F39" s="6">
        <f t="shared" si="20"/>
        <v>0.42848099153115726</v>
      </c>
      <c r="G39" s="2"/>
      <c r="H39" s="7">
        <v>59109.469999999994</v>
      </c>
      <c r="I39" s="2"/>
      <c r="J39" s="6">
        <f t="shared" si="21"/>
        <v>7.4015043582930207E-2</v>
      </c>
      <c r="K39" s="2"/>
      <c r="L39" s="7">
        <f t="shared" si="22"/>
        <v>-22654.76999999999</v>
      </c>
      <c r="M39" s="2"/>
      <c r="N39" s="6">
        <f t="shared" si="23"/>
        <v>-0.38326802794882092</v>
      </c>
      <c r="O39" s="11"/>
      <c r="P39" s="7">
        <v>275316.76</v>
      </c>
      <c r="Q39" s="2"/>
      <c r="R39" s="6">
        <f t="shared" si="24"/>
        <v>0.43254802915431906</v>
      </c>
      <c r="S39" s="2"/>
      <c r="T39" s="7">
        <v>363527.26</v>
      </c>
      <c r="U39" s="2"/>
      <c r="V39" s="6">
        <f t="shared" si="25"/>
        <v>5.9709018332140484E-2</v>
      </c>
      <c r="W39" s="2"/>
      <c r="X39" s="7">
        <f t="shared" si="26"/>
        <v>-88210.5</v>
      </c>
      <c r="Y39" s="2"/>
      <c r="Z39" s="6">
        <f t="shared" si="27"/>
        <v>-0.24265167899650772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7">
        <v>11620.64</v>
      </c>
      <c r="E40" s="2"/>
      <c r="F40" s="6">
        <f t="shared" si="20"/>
        <v>0.13658659512838198</v>
      </c>
      <c r="G40" s="2"/>
      <c r="H40" s="7">
        <v>34687.85</v>
      </c>
      <c r="I40" s="2"/>
      <c r="J40" s="6">
        <f t="shared" si="21"/>
        <v>4.3435049063172887E-2</v>
      </c>
      <c r="K40" s="2"/>
      <c r="L40" s="7">
        <f t="shared" si="22"/>
        <v>-23067.21</v>
      </c>
      <c r="M40" s="2"/>
      <c r="N40" s="6">
        <f t="shared" si="23"/>
        <v>-0.66499393879989677</v>
      </c>
      <c r="O40" s="11"/>
      <c r="P40" s="7">
        <v>62163.73</v>
      </c>
      <c r="Q40" s="2"/>
      <c r="R40" s="6">
        <f t="shared" si="24"/>
        <v>9.7664954710280694E-2</v>
      </c>
      <c r="S40" s="2"/>
      <c r="T40" s="7">
        <v>275358.75</v>
      </c>
      <c r="U40" s="2"/>
      <c r="V40" s="6">
        <f t="shared" si="25"/>
        <v>4.5227421601519754E-2</v>
      </c>
      <c r="W40" s="2"/>
      <c r="X40" s="7">
        <f t="shared" si="26"/>
        <v>-213195.02</v>
      </c>
      <c r="Y40" s="2"/>
      <c r="Z40" s="6">
        <f t="shared" si="27"/>
        <v>-0.77424458093305548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2207.31</v>
      </c>
      <c r="I41" s="2"/>
      <c r="J41" s="6">
        <f t="shared" si="21"/>
        <v>2.7639250673544813E-3</v>
      </c>
      <c r="K41" s="2"/>
      <c r="L41" s="7">
        <f t="shared" si="22"/>
        <v>-2207.31</v>
      </c>
      <c r="M41" s="2"/>
      <c r="N41" s="6">
        <f t="shared" si="23"/>
        <v>-1</v>
      </c>
      <c r="O41" s="11"/>
      <c r="P41" s="7"/>
      <c r="Q41" s="2"/>
      <c r="R41" s="6">
        <f t="shared" si="24"/>
        <v>0</v>
      </c>
      <c r="S41" s="2"/>
      <c r="T41" s="7">
        <v>29545.599999999999</v>
      </c>
      <c r="U41" s="2"/>
      <c r="V41" s="6">
        <f t="shared" si="25"/>
        <v>4.8528376442363358E-3</v>
      </c>
      <c r="W41" s="2"/>
      <c r="X41" s="7">
        <f t="shared" si="26"/>
        <v>-29545.599999999999</v>
      </c>
      <c r="Y41" s="2"/>
      <c r="Z41" s="6">
        <f t="shared" si="27"/>
        <v>-1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7">
        <v>10668.46</v>
      </c>
      <c r="E42" s="2"/>
      <c r="F42" s="6">
        <f t="shared" si="20"/>
        <v>0.12539486867017116</v>
      </c>
      <c r="G42" s="2"/>
      <c r="H42" s="7">
        <v>59913.689999999995</v>
      </c>
      <c r="I42" s="2"/>
      <c r="J42" s="6">
        <f t="shared" si="21"/>
        <v>7.5022062904035E-2</v>
      </c>
      <c r="K42" s="2"/>
      <c r="L42" s="7">
        <f t="shared" si="22"/>
        <v>-49245.229999999996</v>
      </c>
      <c r="M42" s="2"/>
      <c r="N42" s="6">
        <f t="shared" si="23"/>
        <v>-0.82193618854054895</v>
      </c>
      <c r="O42" s="11"/>
      <c r="P42" s="7">
        <v>69137.430000000008</v>
      </c>
      <c r="Q42" s="2"/>
      <c r="R42" s="6">
        <f t="shared" si="24"/>
        <v>0.10862128076508927</v>
      </c>
      <c r="S42" s="2"/>
      <c r="T42" s="7">
        <v>456121.35</v>
      </c>
      <c r="U42" s="2"/>
      <c r="V42" s="6">
        <f t="shared" si="25"/>
        <v>7.4917512510150316E-2</v>
      </c>
      <c r="W42" s="2"/>
      <c r="X42" s="7">
        <f t="shared" si="26"/>
        <v>-386983.92</v>
      </c>
      <c r="Y42" s="2"/>
      <c r="Z42" s="6">
        <f t="shared" si="27"/>
        <v>-0.84842316633501147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7">
        <v>1096.03</v>
      </c>
      <c r="E43" s="2"/>
      <c r="F43" s="6">
        <f t="shared" si="20"/>
        <v>1.2882509557008951E-2</v>
      </c>
      <c r="G43" s="2"/>
      <c r="H43" s="7">
        <v>14448</v>
      </c>
      <c r="I43" s="2"/>
      <c r="J43" s="6">
        <f t="shared" si="21"/>
        <v>1.8091337135761422E-2</v>
      </c>
      <c r="K43" s="2"/>
      <c r="L43" s="7">
        <f t="shared" si="22"/>
        <v>-13351.97</v>
      </c>
      <c r="M43" s="2"/>
      <c r="N43" s="6">
        <f t="shared" si="23"/>
        <v>-0.92413967331118485</v>
      </c>
      <c r="O43" s="11"/>
      <c r="P43" s="7">
        <v>10630.88</v>
      </c>
      <c r="Q43" s="2"/>
      <c r="R43" s="6">
        <f t="shared" si="24"/>
        <v>1.6702093225912099E-2</v>
      </c>
      <c r="S43" s="2"/>
      <c r="T43" s="7">
        <v>115183.5</v>
      </c>
      <c r="U43" s="2"/>
      <c r="V43" s="6">
        <f t="shared" si="25"/>
        <v>1.8918784008275208E-2</v>
      </c>
      <c r="W43" s="2"/>
      <c r="X43" s="7">
        <f t="shared" si="26"/>
        <v>-104552.62</v>
      </c>
      <c r="Y43" s="2"/>
      <c r="Z43" s="6">
        <f t="shared" si="27"/>
        <v>-0.90770483619615649</v>
      </c>
    </row>
    <row r="44" spans="1:26" s="25" customFormat="1" outlineLevel="1" collapsed="1" x14ac:dyDescent="0.25">
      <c r="A44" s="26"/>
      <c r="B44" s="13" t="str">
        <f>CONCATENATE("     ","Advertising/Promo                                 ")</f>
        <v xml:space="preserve">     Advertising/Promo                                 </v>
      </c>
      <c r="C44" s="13"/>
      <c r="D44" s="1">
        <f>SUM(OSRRefD22_2x_0)</f>
        <v>0</v>
      </c>
      <c r="E44" s="1"/>
      <c r="F44" s="5">
        <f t="shared" ref="F44:F67" si="28">IF(D$12=0,0,D44/D$12)</f>
        <v>0</v>
      </c>
      <c r="G44" s="1"/>
      <c r="H44" s="1">
        <f>SUM(OSRRefH22_2x_0)</f>
        <v>0</v>
      </c>
      <c r="I44" s="1"/>
      <c r="J44" s="5">
        <f t="shared" ref="J44:J67" si="29">IF(H$12=0,0,H44/H$12)</f>
        <v>0</v>
      </c>
      <c r="K44" s="1"/>
      <c r="L44" s="1">
        <f t="shared" ref="L44:L67" si="30">+D44-H44</f>
        <v>0</v>
      </c>
      <c r="M44" s="1"/>
      <c r="N44" s="5">
        <f t="shared" ref="N44:N67" si="31">IF(H44=0,0,L44/H44)</f>
        <v>0</v>
      </c>
      <c r="O44" s="13"/>
      <c r="P44" s="1">
        <f>SUM(OSRRefP22_2x_0)</f>
        <v>1429</v>
      </c>
      <c r="Q44" s="1"/>
      <c r="R44" s="5">
        <f t="shared" ref="R44:R67" si="32">IF(P$12=0,0,P44/P$12)</f>
        <v>2.2450908315989259E-3</v>
      </c>
      <c r="S44" s="1"/>
      <c r="T44" s="1">
        <f>SUM(OSRRefT22_2x_0)</f>
        <v>7928.8</v>
      </c>
      <c r="U44" s="1"/>
      <c r="V44" s="5">
        <f t="shared" ref="V44:V67" si="33">IF(T$12=0,0,T44/T$12)</f>
        <v>1.3022981125318512E-3</v>
      </c>
      <c r="W44" s="1"/>
      <c r="X44" s="1">
        <f t="shared" ref="X44:X67" si="34">+P44-T44</f>
        <v>-6499.8</v>
      </c>
      <c r="Y44" s="1"/>
      <c r="Z44" s="5">
        <f t="shared" ref="Z44:Z67" si="35">IF(T44=0,0,X44/T44)</f>
        <v>-0.819770961557865</v>
      </c>
    </row>
    <row r="45" spans="1:26" s="24" customFormat="1" hidden="1" outlineLevel="2" x14ac:dyDescent="0.25">
      <c r="A45" s="27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28"/>
        <v>0</v>
      </c>
      <c r="G45" s="2"/>
      <c r="H45" s="7"/>
      <c r="I45" s="2"/>
      <c r="J45" s="6">
        <f t="shared" si="29"/>
        <v>0</v>
      </c>
      <c r="K45" s="2"/>
      <c r="L45" s="7">
        <f t="shared" si="30"/>
        <v>0</v>
      </c>
      <c r="M45" s="2"/>
      <c r="N45" s="6">
        <f t="shared" si="31"/>
        <v>0</v>
      </c>
      <c r="O45" s="11"/>
      <c r="P45" s="7">
        <v>1429</v>
      </c>
      <c r="Q45" s="2"/>
      <c r="R45" s="6">
        <f t="shared" si="32"/>
        <v>2.2450908315989259E-3</v>
      </c>
      <c r="S45" s="2"/>
      <c r="T45" s="7">
        <v>7928.8</v>
      </c>
      <c r="U45" s="2"/>
      <c r="V45" s="6">
        <f t="shared" si="33"/>
        <v>1.3022981125318512E-3</v>
      </c>
      <c r="W45" s="2"/>
      <c r="X45" s="7">
        <f t="shared" si="34"/>
        <v>-6499.8</v>
      </c>
      <c r="Y45" s="2"/>
      <c r="Z45" s="6">
        <f t="shared" si="35"/>
        <v>-0.819770961557865</v>
      </c>
    </row>
    <row r="46" spans="1:26" s="25" customFormat="1" outlineLevel="1" collapsed="1" x14ac:dyDescent="0.25">
      <c r="A46" s="26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SUM(OSRRefD22_3x_0)</f>
        <v>0</v>
      </c>
      <c r="E46" s="1"/>
      <c r="F46" s="5">
        <f t="shared" si="28"/>
        <v>0</v>
      </c>
      <c r="G46" s="1"/>
      <c r="H46" s="1">
        <f>SUM(OSRRefH22_3x_0)</f>
        <v>-0.45</v>
      </c>
      <c r="I46" s="1"/>
      <c r="J46" s="5">
        <f t="shared" si="29"/>
        <v>-5.634760320523699E-7</v>
      </c>
      <c r="K46" s="1"/>
      <c r="L46" s="1">
        <f t="shared" si="30"/>
        <v>0.45</v>
      </c>
      <c r="M46" s="1"/>
      <c r="N46" s="5">
        <f t="shared" si="31"/>
        <v>-1</v>
      </c>
      <c r="O46" s="13"/>
      <c r="P46" s="1">
        <f>SUM(OSRRefP22_3x_0)</f>
        <v>69.739999999999995</v>
      </c>
      <c r="Q46" s="1"/>
      <c r="R46" s="5">
        <f t="shared" si="32"/>
        <v>1.0956797382484892E-4</v>
      </c>
      <c r="S46" s="1"/>
      <c r="T46" s="1">
        <f>SUM(OSRRefT22_3x_0)</f>
        <v>29.06</v>
      </c>
      <c r="U46" s="1"/>
      <c r="V46" s="5">
        <f t="shared" si="33"/>
        <v>4.7730782905579142E-6</v>
      </c>
      <c r="W46" s="1"/>
      <c r="X46" s="1">
        <f t="shared" si="34"/>
        <v>40.679999999999993</v>
      </c>
      <c r="Y46" s="1"/>
      <c r="Z46" s="5">
        <f t="shared" si="35"/>
        <v>1.3998623537508601</v>
      </c>
    </row>
    <row r="47" spans="1:26" s="24" customFormat="1" hidden="1" outlineLevel="2" x14ac:dyDescent="0.25">
      <c r="A47" s="27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28"/>
        <v>0</v>
      </c>
      <c r="G47" s="2"/>
      <c r="H47" s="7">
        <v>-0.45</v>
      </c>
      <c r="I47" s="2"/>
      <c r="J47" s="6">
        <f t="shared" si="29"/>
        <v>-5.634760320523699E-7</v>
      </c>
      <c r="K47" s="2"/>
      <c r="L47" s="7">
        <f t="shared" si="30"/>
        <v>0.45</v>
      </c>
      <c r="M47" s="2"/>
      <c r="N47" s="6">
        <f t="shared" si="31"/>
        <v>-1</v>
      </c>
      <c r="O47" s="11"/>
      <c r="P47" s="7">
        <v>69.739999999999995</v>
      </c>
      <c r="Q47" s="2"/>
      <c r="R47" s="6">
        <f t="shared" si="32"/>
        <v>1.0956797382484892E-4</v>
      </c>
      <c r="S47" s="2"/>
      <c r="T47" s="7">
        <v>29.06</v>
      </c>
      <c r="U47" s="2"/>
      <c r="V47" s="6">
        <f t="shared" si="33"/>
        <v>4.7730782905579142E-6</v>
      </c>
      <c r="W47" s="2"/>
      <c r="X47" s="7">
        <f t="shared" si="34"/>
        <v>40.679999999999993</v>
      </c>
      <c r="Y47" s="2"/>
      <c r="Z47" s="6">
        <f t="shared" si="35"/>
        <v>1.3998623537508601</v>
      </c>
    </row>
    <row r="48" spans="1:26" s="25" customFormat="1" outlineLevel="1" collapsed="1" x14ac:dyDescent="0.25">
      <c r="A48" s="26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SUM(OSRRefD22_4x_0)</f>
        <v>25.03</v>
      </c>
      <c r="E48" s="1"/>
      <c r="F48" s="5">
        <f t="shared" si="28"/>
        <v>2.9419743457016149E-4</v>
      </c>
      <c r="G48" s="1"/>
      <c r="H48" s="1">
        <f>SUM(OSRRefH22_4x_0)</f>
        <v>235.29</v>
      </c>
      <c r="I48" s="1"/>
      <c r="J48" s="5">
        <f t="shared" si="29"/>
        <v>2.9462283462578247E-4</v>
      </c>
      <c r="K48" s="1"/>
      <c r="L48" s="1">
        <f t="shared" si="30"/>
        <v>-210.26</v>
      </c>
      <c r="M48" s="1"/>
      <c r="N48" s="5">
        <f t="shared" si="31"/>
        <v>-0.89362063836117134</v>
      </c>
      <c r="O48" s="13"/>
      <c r="P48" s="1">
        <f>SUM(OSRRefP22_4x_0)</f>
        <v>35.200000000000003</v>
      </c>
      <c r="Q48" s="1"/>
      <c r="R48" s="5">
        <f t="shared" si="32"/>
        <v>5.5302447356390627E-5</v>
      </c>
      <c r="S48" s="1"/>
      <c r="T48" s="1">
        <f>SUM(OSRRefT22_4x_0)</f>
        <v>2627.01</v>
      </c>
      <c r="U48" s="1"/>
      <c r="V48" s="5">
        <f t="shared" si="33"/>
        <v>4.3148397797930309E-4</v>
      </c>
      <c r="W48" s="1"/>
      <c r="X48" s="1">
        <f t="shared" si="34"/>
        <v>-2591.8100000000004</v>
      </c>
      <c r="Y48" s="1"/>
      <c r="Z48" s="5">
        <f t="shared" si="35"/>
        <v>-0.98660073619818733</v>
      </c>
    </row>
    <row r="49" spans="1:26" s="24" customFormat="1" hidden="1" outlineLevel="2" x14ac:dyDescent="0.25">
      <c r="A49" s="27"/>
      <c r="B49" s="11" t="str">
        <f>CONCATENATE("          ", "6381", " - ", "BANK/CREDIT CARD FEES")</f>
        <v xml:space="preserve">          6381 - BANK/CREDIT CARD FEES</v>
      </c>
      <c r="C49" s="11"/>
      <c r="D49" s="7">
        <v>25.03</v>
      </c>
      <c r="E49" s="2"/>
      <c r="F49" s="6">
        <f t="shared" si="28"/>
        <v>2.9419743457016149E-4</v>
      </c>
      <c r="G49" s="2"/>
      <c r="H49" s="7">
        <v>235.29</v>
      </c>
      <c r="I49" s="2"/>
      <c r="J49" s="6">
        <f t="shared" si="29"/>
        <v>2.9462283462578247E-4</v>
      </c>
      <c r="K49" s="2"/>
      <c r="L49" s="7">
        <f t="shared" si="30"/>
        <v>-210.26</v>
      </c>
      <c r="M49" s="2"/>
      <c r="N49" s="6">
        <f t="shared" si="31"/>
        <v>-0.89362063836117134</v>
      </c>
      <c r="O49" s="11"/>
      <c r="P49" s="7">
        <v>35.200000000000003</v>
      </c>
      <c r="Q49" s="2"/>
      <c r="R49" s="6">
        <f t="shared" si="32"/>
        <v>5.5302447356390627E-5</v>
      </c>
      <c r="S49" s="2"/>
      <c r="T49" s="7">
        <v>2627.01</v>
      </c>
      <c r="U49" s="2"/>
      <c r="V49" s="6">
        <f t="shared" si="33"/>
        <v>4.3148397797930309E-4</v>
      </c>
      <c r="W49" s="2"/>
      <c r="X49" s="7">
        <f t="shared" si="34"/>
        <v>-2591.8100000000004</v>
      </c>
      <c r="Y49" s="2"/>
      <c r="Z49" s="6">
        <f t="shared" si="35"/>
        <v>-0.98660073619818733</v>
      </c>
    </row>
    <row r="50" spans="1:26" s="25" customFormat="1" outlineLevel="1" collapsed="1" x14ac:dyDescent="0.25">
      <c r="A50" s="26"/>
      <c r="B50" s="13" t="str">
        <f>CONCATENATE("     ","Depreciation                                      ")</f>
        <v xml:space="preserve">     Depreciation                                      </v>
      </c>
      <c r="C50" s="13"/>
      <c r="D50" s="1">
        <f>SUM(OSRRefD22_5x_0)</f>
        <v>758.5</v>
      </c>
      <c r="E50" s="1"/>
      <c r="F50" s="5">
        <f t="shared" si="28"/>
        <v>8.9152518626235498E-3</v>
      </c>
      <c r="G50" s="1"/>
      <c r="H50" s="1">
        <f>SUM(OSRRefH22_5x_0)</f>
        <v>0</v>
      </c>
      <c r="I50" s="1"/>
      <c r="J50" s="5">
        <f t="shared" si="29"/>
        <v>0</v>
      </c>
      <c r="K50" s="1"/>
      <c r="L50" s="1">
        <f t="shared" si="30"/>
        <v>758.5</v>
      </c>
      <c r="M50" s="1"/>
      <c r="N50" s="5">
        <f t="shared" si="31"/>
        <v>0</v>
      </c>
      <c r="O50" s="13"/>
      <c r="P50" s="1">
        <f>SUM(OSRRefP22_5x_0)</f>
        <v>4022.56</v>
      </c>
      <c r="Q50" s="1"/>
      <c r="R50" s="5">
        <f t="shared" si="32"/>
        <v>6.3198128590318935E-3</v>
      </c>
      <c r="S50" s="1"/>
      <c r="T50" s="1">
        <f>SUM(OSRRefT22_5x_0)</f>
        <v>0</v>
      </c>
      <c r="U50" s="1"/>
      <c r="V50" s="5">
        <f t="shared" si="33"/>
        <v>0</v>
      </c>
      <c r="W50" s="1"/>
      <c r="X50" s="1">
        <f t="shared" si="34"/>
        <v>4022.56</v>
      </c>
      <c r="Y50" s="1"/>
      <c r="Z50" s="5">
        <f t="shared" si="35"/>
        <v>0</v>
      </c>
    </row>
    <row r="51" spans="1:26" s="24" customFormat="1" hidden="1" outlineLevel="2" x14ac:dyDescent="0.25">
      <c r="A51" s="27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758.5</v>
      </c>
      <c r="E51" s="2"/>
      <c r="F51" s="6">
        <f t="shared" si="28"/>
        <v>8.9152518626235498E-3</v>
      </c>
      <c r="G51" s="2"/>
      <c r="H51" s="7"/>
      <c r="I51" s="2"/>
      <c r="J51" s="6">
        <f t="shared" si="29"/>
        <v>0</v>
      </c>
      <c r="K51" s="2"/>
      <c r="L51" s="7">
        <f t="shared" si="30"/>
        <v>758.5</v>
      </c>
      <c r="M51" s="2"/>
      <c r="N51" s="6">
        <f t="shared" si="31"/>
        <v>0</v>
      </c>
      <c r="O51" s="11"/>
      <c r="P51" s="7">
        <v>4022.56</v>
      </c>
      <c r="Q51" s="2"/>
      <c r="R51" s="6">
        <f t="shared" si="32"/>
        <v>6.3198128590318935E-3</v>
      </c>
      <c r="S51" s="2"/>
      <c r="T51" s="7"/>
      <c r="U51" s="2"/>
      <c r="V51" s="6">
        <f t="shared" si="33"/>
        <v>0</v>
      </c>
      <c r="W51" s="2"/>
      <c r="X51" s="7">
        <f t="shared" si="34"/>
        <v>4022.56</v>
      </c>
      <c r="Y51" s="2"/>
      <c r="Z51" s="6">
        <f t="shared" si="35"/>
        <v>0</v>
      </c>
    </row>
    <row r="52" spans="1:26" s="25" customFormat="1" outlineLevel="1" collapsed="1" x14ac:dyDescent="0.25">
      <c r="A52" s="26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6666.05</v>
      </c>
      <c r="E52" s="1"/>
      <c r="F52" s="5">
        <f t="shared" si="28"/>
        <v>7.8351370703812415E-2</v>
      </c>
      <c r="G52" s="1"/>
      <c r="H52" s="1">
        <f>SUM(OSRRefH22_6x_0)</f>
        <v>11130.09</v>
      </c>
      <c r="I52" s="1"/>
      <c r="J52" s="5">
        <f t="shared" si="29"/>
        <v>1.3936753221301694E-2</v>
      </c>
      <c r="K52" s="1"/>
      <c r="L52" s="1">
        <f t="shared" si="30"/>
        <v>-4464.04</v>
      </c>
      <c r="M52" s="1"/>
      <c r="N52" s="5">
        <f t="shared" si="31"/>
        <v>-0.40107851778377351</v>
      </c>
      <c r="O52" s="13"/>
      <c r="P52" s="1">
        <f>SUM(OSRRefP22_6x_0)</f>
        <v>36822.009999999995</v>
      </c>
      <c r="Q52" s="1"/>
      <c r="R52" s="5">
        <f t="shared" si="32"/>
        <v>5.7850774704019566E-2</v>
      </c>
      <c r="S52" s="1"/>
      <c r="T52" s="1">
        <f>SUM(OSRRefT22_6x_0)</f>
        <v>77373.83</v>
      </c>
      <c r="U52" s="1"/>
      <c r="V52" s="5">
        <f t="shared" si="33"/>
        <v>1.2708580462158248E-2</v>
      </c>
      <c r="W52" s="1"/>
      <c r="X52" s="1">
        <f t="shared" si="34"/>
        <v>-40551.820000000007</v>
      </c>
      <c r="Y52" s="1"/>
      <c r="Z52" s="5">
        <f t="shared" si="35"/>
        <v>-0.52410252924018375</v>
      </c>
    </row>
    <row r="53" spans="1:26" s="24" customFormat="1" hidden="1" outlineLevel="2" x14ac:dyDescent="0.25">
      <c r="A53" s="27"/>
      <c r="B53" s="11" t="str">
        <f>CONCATENATE("          ", "6399", " - ", "DONATION-ON CAMPUS")</f>
        <v xml:space="preserve">          6399 - DONATION-ON CAMPUS</v>
      </c>
      <c r="C53" s="11"/>
      <c r="D53" s="7">
        <v>6666.05</v>
      </c>
      <c r="E53" s="2"/>
      <c r="F53" s="6">
        <f t="shared" si="28"/>
        <v>7.8351370703812415E-2</v>
      </c>
      <c r="G53" s="2"/>
      <c r="H53" s="7">
        <v>11130.09</v>
      </c>
      <c r="I53" s="2"/>
      <c r="J53" s="6">
        <f t="shared" si="29"/>
        <v>1.3936753221301694E-2</v>
      </c>
      <c r="K53" s="2"/>
      <c r="L53" s="7">
        <f t="shared" si="30"/>
        <v>-4464.04</v>
      </c>
      <c r="M53" s="2"/>
      <c r="N53" s="6">
        <f t="shared" si="31"/>
        <v>-0.40107851778377351</v>
      </c>
      <c r="O53" s="11"/>
      <c r="P53" s="7">
        <v>36822.009999999995</v>
      </c>
      <c r="Q53" s="2"/>
      <c r="R53" s="6">
        <f t="shared" si="32"/>
        <v>5.7850774704019566E-2</v>
      </c>
      <c r="S53" s="2"/>
      <c r="T53" s="7">
        <v>77373.83</v>
      </c>
      <c r="U53" s="2"/>
      <c r="V53" s="6">
        <f t="shared" si="33"/>
        <v>1.2708580462158248E-2</v>
      </c>
      <c r="W53" s="2"/>
      <c r="X53" s="7">
        <f t="shared" si="34"/>
        <v>-40551.820000000007</v>
      </c>
      <c r="Y53" s="2"/>
      <c r="Z53" s="6">
        <f t="shared" si="35"/>
        <v>-0.52410252924018375</v>
      </c>
    </row>
    <row r="54" spans="1:26" s="25" customFormat="1" outlineLevel="1" collapsed="1" x14ac:dyDescent="0.25">
      <c r="A54" s="26"/>
      <c r="B54" s="13" t="str">
        <f>CONCATENATE("     ","Employees' Appreciation                           ")</f>
        <v xml:space="preserve">     Employees' Appreciation                           </v>
      </c>
      <c r="C54" s="13"/>
      <c r="D54" s="1">
        <f>SUM(OSRRefD22_7x_0)</f>
        <v>0</v>
      </c>
      <c r="E54" s="1"/>
      <c r="F54" s="5">
        <f t="shared" si="28"/>
        <v>0</v>
      </c>
      <c r="G54" s="1"/>
      <c r="H54" s="1">
        <f>SUM(OSRRefH22_7x_0)</f>
        <v>128.84</v>
      </c>
      <c r="I54" s="1"/>
      <c r="J54" s="5">
        <f t="shared" si="29"/>
        <v>1.613294488213941E-4</v>
      </c>
      <c r="K54" s="1"/>
      <c r="L54" s="1">
        <f t="shared" si="30"/>
        <v>-128.84</v>
      </c>
      <c r="M54" s="1"/>
      <c r="N54" s="5">
        <f t="shared" si="31"/>
        <v>-1</v>
      </c>
      <c r="O54" s="13"/>
      <c r="P54" s="1">
        <f>SUM(OSRRefP22_7x_0)</f>
        <v>0</v>
      </c>
      <c r="Q54" s="1"/>
      <c r="R54" s="5">
        <f t="shared" si="32"/>
        <v>0</v>
      </c>
      <c r="S54" s="1"/>
      <c r="T54" s="1">
        <f>SUM(OSRRefT22_7x_0)</f>
        <v>1183.69</v>
      </c>
      <c r="U54" s="1"/>
      <c r="V54" s="5">
        <f t="shared" si="33"/>
        <v>1.944199945543874E-4</v>
      </c>
      <c r="W54" s="1"/>
      <c r="X54" s="1">
        <f t="shared" si="34"/>
        <v>-1183.69</v>
      </c>
      <c r="Y54" s="1"/>
      <c r="Z54" s="5">
        <f t="shared" si="35"/>
        <v>-1</v>
      </c>
    </row>
    <row r="55" spans="1:26" s="24" customFormat="1" hidden="1" outlineLevel="2" x14ac:dyDescent="0.25">
      <c r="A55" s="27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28"/>
        <v>0</v>
      </c>
      <c r="G55" s="2"/>
      <c r="H55" s="7">
        <v>128.84</v>
      </c>
      <c r="I55" s="2"/>
      <c r="J55" s="6">
        <f t="shared" si="29"/>
        <v>1.613294488213941E-4</v>
      </c>
      <c r="K55" s="2"/>
      <c r="L55" s="7">
        <f t="shared" si="30"/>
        <v>-128.84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1183.69</v>
      </c>
      <c r="U55" s="2"/>
      <c r="V55" s="6">
        <f t="shared" si="33"/>
        <v>1.944199945543874E-4</v>
      </c>
      <c r="W55" s="2"/>
      <c r="X55" s="7">
        <f t="shared" si="34"/>
        <v>-1183.69</v>
      </c>
      <c r="Y55" s="2"/>
      <c r="Z55" s="6">
        <f t="shared" si="35"/>
        <v>-1</v>
      </c>
    </row>
    <row r="56" spans="1:26" s="25" customFormat="1" outlineLevel="1" collapsed="1" x14ac:dyDescent="0.25">
      <c r="A56" s="26"/>
      <c r="B56" s="13" t="str">
        <f>CONCATENATE("     ","Equipment Rental                                  ")</f>
        <v xml:space="preserve">     Equipment Rental                                  </v>
      </c>
      <c r="C56" s="13"/>
      <c r="D56" s="1">
        <f>SUM(OSRRefD22_8x_0)</f>
        <v>386.91</v>
      </c>
      <c r="E56" s="1"/>
      <c r="F56" s="5">
        <f t="shared" si="28"/>
        <v>4.5476599844003667E-3</v>
      </c>
      <c r="G56" s="1"/>
      <c r="H56" s="1">
        <f>SUM(OSRRefH22_8x_0)</f>
        <v>193.44</v>
      </c>
      <c r="I56" s="1"/>
      <c r="J56" s="5">
        <f t="shared" si="29"/>
        <v>2.4221956364491208E-4</v>
      </c>
      <c r="K56" s="1"/>
      <c r="L56" s="1">
        <f t="shared" si="30"/>
        <v>193.47000000000003</v>
      </c>
      <c r="M56" s="1"/>
      <c r="N56" s="5">
        <f t="shared" si="31"/>
        <v>1.0001550868486353</v>
      </c>
      <c r="O56" s="13"/>
      <c r="P56" s="1">
        <f>SUM(OSRRefP22_8x_0)</f>
        <v>2927.53</v>
      </c>
      <c r="Q56" s="1"/>
      <c r="R56" s="5">
        <f t="shared" si="32"/>
        <v>4.5994197076492686E-3</v>
      </c>
      <c r="S56" s="1"/>
      <c r="T56" s="1">
        <f>SUM(OSRRefT22_8x_0)</f>
        <v>2782.62</v>
      </c>
      <c r="U56" s="1"/>
      <c r="V56" s="5">
        <f t="shared" si="33"/>
        <v>4.5704277745603109E-4</v>
      </c>
      <c r="W56" s="1"/>
      <c r="X56" s="1">
        <f t="shared" si="34"/>
        <v>144.91000000000031</v>
      </c>
      <c r="Y56" s="1"/>
      <c r="Z56" s="5">
        <f t="shared" si="35"/>
        <v>5.2076819687920134E-2</v>
      </c>
    </row>
    <row r="57" spans="1:26" s="24" customFormat="1" hidden="1" outlineLevel="2" x14ac:dyDescent="0.25">
      <c r="A57" s="27"/>
      <c r="B57" s="11" t="str">
        <f>CONCATENATE("          ", "6351", " - ", "EQUIPMENT RENTAL")</f>
        <v xml:space="preserve">          6351 - EQUIPMENT RENTAL</v>
      </c>
      <c r="C57" s="11"/>
      <c r="D57" s="7">
        <v>386.91</v>
      </c>
      <c r="E57" s="2"/>
      <c r="F57" s="6">
        <f t="shared" si="28"/>
        <v>4.5476599844003667E-3</v>
      </c>
      <c r="G57" s="2"/>
      <c r="H57" s="7">
        <v>193.44</v>
      </c>
      <c r="I57" s="2"/>
      <c r="J57" s="6">
        <f t="shared" si="29"/>
        <v>2.4221956364491208E-4</v>
      </c>
      <c r="K57" s="2"/>
      <c r="L57" s="7">
        <f t="shared" si="30"/>
        <v>193.47000000000003</v>
      </c>
      <c r="M57" s="2"/>
      <c r="N57" s="6">
        <f t="shared" si="31"/>
        <v>1.0001550868486353</v>
      </c>
      <c r="O57" s="11"/>
      <c r="P57" s="7">
        <v>2927.53</v>
      </c>
      <c r="Q57" s="2"/>
      <c r="R57" s="6">
        <f t="shared" si="32"/>
        <v>4.5994197076492686E-3</v>
      </c>
      <c r="S57" s="2"/>
      <c r="T57" s="7">
        <v>2782.62</v>
      </c>
      <c r="U57" s="2"/>
      <c r="V57" s="6">
        <f t="shared" si="33"/>
        <v>4.5704277745603109E-4</v>
      </c>
      <c r="W57" s="2"/>
      <c r="X57" s="7">
        <f t="shared" si="34"/>
        <v>144.91000000000031</v>
      </c>
      <c r="Y57" s="2"/>
      <c r="Z57" s="6">
        <f t="shared" si="35"/>
        <v>5.2076819687920134E-2</v>
      </c>
    </row>
    <row r="58" spans="1:26" s="25" customFormat="1" outlineLevel="1" collapsed="1" x14ac:dyDescent="0.25">
      <c r="A58" s="26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SUM(OSRRefD22_9x_0)</f>
        <v>739.48</v>
      </c>
      <c r="E58" s="1"/>
      <c r="F58" s="5">
        <f t="shared" si="28"/>
        <v>8.6916947229701558E-3</v>
      </c>
      <c r="G58" s="1"/>
      <c r="H58" s="1">
        <f>SUM(OSRRefH22_9x_0)</f>
        <v>480.93</v>
      </c>
      <c r="I58" s="1"/>
      <c r="J58" s="5">
        <f t="shared" si="29"/>
        <v>6.022056179887695E-4</v>
      </c>
      <c r="K58" s="1"/>
      <c r="L58" s="1">
        <f t="shared" si="30"/>
        <v>258.55</v>
      </c>
      <c r="M58" s="1"/>
      <c r="N58" s="5">
        <f t="shared" si="31"/>
        <v>0.53760422514711081</v>
      </c>
      <c r="O58" s="13"/>
      <c r="P58" s="1">
        <f>SUM(OSRRefP22_9x_0)</f>
        <v>7158.43</v>
      </c>
      <c r="Q58" s="1"/>
      <c r="R58" s="5">
        <f t="shared" si="32"/>
        <v>1.1246553926971799E-2</v>
      </c>
      <c r="S58" s="1"/>
      <c r="T58" s="1">
        <f>SUM(OSRRefT22_9x_0)</f>
        <v>7405.81</v>
      </c>
      <c r="U58" s="1"/>
      <c r="V58" s="5">
        <f t="shared" si="33"/>
        <v>1.2163974857190884E-3</v>
      </c>
      <c r="W58" s="1"/>
      <c r="X58" s="1">
        <f t="shared" si="34"/>
        <v>-247.38000000000011</v>
      </c>
      <c r="Y58" s="1"/>
      <c r="Z58" s="5">
        <f t="shared" si="35"/>
        <v>-3.3403503465522351E-2</v>
      </c>
    </row>
    <row r="59" spans="1:26" s="24" customFormat="1" hidden="1" outlineLevel="2" x14ac:dyDescent="0.25">
      <c r="A59" s="27"/>
      <c r="B59" s="11" t="str">
        <f>CONCATENATE("          ", "6279", " - ", "GENERAL EXPENSE")</f>
        <v xml:space="preserve">          6279 - GENERAL EXPENSE</v>
      </c>
      <c r="C59" s="11"/>
      <c r="D59" s="7">
        <v>739.48</v>
      </c>
      <c r="E59" s="2"/>
      <c r="F59" s="6">
        <f t="shared" si="28"/>
        <v>8.6916947229701558E-3</v>
      </c>
      <c r="G59" s="2"/>
      <c r="H59" s="7">
        <v>480.93</v>
      </c>
      <c r="I59" s="2"/>
      <c r="J59" s="6">
        <f t="shared" si="29"/>
        <v>6.022056179887695E-4</v>
      </c>
      <c r="K59" s="2"/>
      <c r="L59" s="7">
        <f t="shared" si="30"/>
        <v>258.55</v>
      </c>
      <c r="M59" s="2"/>
      <c r="N59" s="6">
        <f t="shared" si="31"/>
        <v>0.53760422514711081</v>
      </c>
      <c r="O59" s="11"/>
      <c r="P59" s="7">
        <v>7158.43</v>
      </c>
      <c r="Q59" s="2"/>
      <c r="R59" s="6">
        <f t="shared" si="32"/>
        <v>1.1246553926971799E-2</v>
      </c>
      <c r="S59" s="2"/>
      <c r="T59" s="7">
        <v>7405.81</v>
      </c>
      <c r="U59" s="2"/>
      <c r="V59" s="6">
        <f t="shared" si="33"/>
        <v>1.2163974857190884E-3</v>
      </c>
      <c r="W59" s="2"/>
      <c r="X59" s="7">
        <f t="shared" si="34"/>
        <v>-247.38000000000011</v>
      </c>
      <c r="Y59" s="2"/>
      <c r="Z59" s="6">
        <f t="shared" si="35"/>
        <v>-3.3403503465522351E-2</v>
      </c>
    </row>
    <row r="60" spans="1:26" s="25" customFormat="1" outlineLevel="1" collapsed="1" x14ac:dyDescent="0.25">
      <c r="A60" s="26"/>
      <c r="B60" s="13" t="str">
        <f>CONCATENATE("     ","Insurance                                         ")</f>
        <v xml:space="preserve">     Insurance                                         </v>
      </c>
      <c r="C60" s="13"/>
      <c r="D60" s="1">
        <f>SUM(OSRRefD22_10x_0)</f>
        <v>5.9</v>
      </c>
      <c r="E60" s="1"/>
      <c r="F60" s="5">
        <f t="shared" si="28"/>
        <v>6.9347377705311728E-5</v>
      </c>
      <c r="G60" s="1"/>
      <c r="H60" s="1">
        <f>SUM(OSRRefH22_10x_0)</f>
        <v>5.9</v>
      </c>
      <c r="I60" s="1"/>
      <c r="J60" s="5">
        <f t="shared" si="29"/>
        <v>7.3877968646866281E-6</v>
      </c>
      <c r="K60" s="1"/>
      <c r="L60" s="1">
        <f t="shared" si="30"/>
        <v>0</v>
      </c>
      <c r="M60" s="1"/>
      <c r="N60" s="5">
        <f t="shared" si="31"/>
        <v>0</v>
      </c>
      <c r="O60" s="13"/>
      <c r="P60" s="1">
        <f>SUM(OSRRefP22_10x_0)</f>
        <v>35.4</v>
      </c>
      <c r="Q60" s="1"/>
      <c r="R60" s="5">
        <f t="shared" si="32"/>
        <v>5.5616665807279201E-5</v>
      </c>
      <c r="S60" s="1"/>
      <c r="T60" s="1">
        <f>SUM(OSRRefT22_10x_0)</f>
        <v>35.4</v>
      </c>
      <c r="U60" s="1"/>
      <c r="V60" s="5">
        <f t="shared" si="33"/>
        <v>5.8144174633775007E-6</v>
      </c>
      <c r="W60" s="1"/>
      <c r="X60" s="1">
        <f t="shared" si="34"/>
        <v>0</v>
      </c>
      <c r="Y60" s="1"/>
      <c r="Z60" s="5">
        <f t="shared" si="35"/>
        <v>0</v>
      </c>
    </row>
    <row r="61" spans="1:26" s="24" customFormat="1" hidden="1" outlineLevel="2" x14ac:dyDescent="0.25">
      <c r="A61" s="27"/>
      <c r="B61" s="11" t="str">
        <f>CONCATENATE("          ", "6314", " - ", "LIABILITY INSURANCE")</f>
        <v xml:space="preserve">          6314 - LIABILITY INSURANCE</v>
      </c>
      <c r="C61" s="11"/>
      <c r="D61" s="7">
        <v>5.9</v>
      </c>
      <c r="E61" s="2"/>
      <c r="F61" s="6">
        <f t="shared" si="28"/>
        <v>6.9347377705311728E-5</v>
      </c>
      <c r="G61" s="2"/>
      <c r="H61" s="7">
        <v>5.9</v>
      </c>
      <c r="I61" s="2"/>
      <c r="J61" s="6">
        <f t="shared" si="29"/>
        <v>7.3877968646866281E-6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35.4</v>
      </c>
      <c r="Q61" s="2"/>
      <c r="R61" s="6">
        <f t="shared" si="32"/>
        <v>5.5616665807279201E-5</v>
      </c>
      <c r="S61" s="2"/>
      <c r="T61" s="7">
        <v>35.4</v>
      </c>
      <c r="U61" s="2"/>
      <c r="V61" s="6">
        <f t="shared" si="33"/>
        <v>5.8144174633775007E-6</v>
      </c>
      <c r="W61" s="2"/>
      <c r="X61" s="7">
        <f t="shared" si="34"/>
        <v>0</v>
      </c>
      <c r="Y61" s="2"/>
      <c r="Z61" s="6">
        <f t="shared" si="35"/>
        <v>0</v>
      </c>
    </row>
    <row r="62" spans="1:26" s="25" customFormat="1" outlineLevel="1" collapsed="1" x14ac:dyDescent="0.25">
      <c r="A62" s="26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SUM(OSRRefD22_11x_0)</f>
        <v>38313.420000000006</v>
      </c>
      <c r="E62" s="1"/>
      <c r="F62" s="5">
        <f t="shared" si="28"/>
        <v>0.45032800134275336</v>
      </c>
      <c r="G62" s="1"/>
      <c r="H62" s="1">
        <f>SUM(OSRRefH22_11x_0)</f>
        <v>64695.709999999992</v>
      </c>
      <c r="I62" s="1"/>
      <c r="J62" s="5">
        <f t="shared" si="29"/>
        <v>8.1009959914690718E-2</v>
      </c>
      <c r="K62" s="1"/>
      <c r="L62" s="1">
        <f t="shared" si="30"/>
        <v>-26382.289999999986</v>
      </c>
      <c r="M62" s="1"/>
      <c r="N62" s="5">
        <f t="shared" si="31"/>
        <v>-0.40779040835937946</v>
      </c>
      <c r="O62" s="13"/>
      <c r="P62" s="1">
        <f>SUM(OSRRefP22_11x_0)</f>
        <v>75016.490000000005</v>
      </c>
      <c r="Q62" s="1"/>
      <c r="R62" s="5">
        <f t="shared" si="32"/>
        <v>0.11785782639449442</v>
      </c>
      <c r="S62" s="1"/>
      <c r="T62" s="1">
        <f>SUM(OSRRefT22_11x_0)</f>
        <v>471590.87</v>
      </c>
      <c r="U62" s="1"/>
      <c r="V62" s="5">
        <f t="shared" si="33"/>
        <v>7.745836695190364E-2</v>
      </c>
      <c r="W62" s="1"/>
      <c r="X62" s="1">
        <f t="shared" si="34"/>
        <v>-396574.38</v>
      </c>
      <c r="Y62" s="1"/>
      <c r="Z62" s="5">
        <f t="shared" si="35"/>
        <v>-0.84092887548904416</v>
      </c>
    </row>
    <row r="63" spans="1:26" s="24" customFormat="1" hidden="1" outlineLevel="2" x14ac:dyDescent="0.25">
      <c r="A63" s="27"/>
      <c r="B63" s="11" t="str">
        <f>CONCATENATE("          ", "6387", " - ", "COMMISSION DUE HOUSING")</f>
        <v xml:space="preserve">          6387 - COMMISSION DUE HOUSING</v>
      </c>
      <c r="C63" s="11"/>
      <c r="D63" s="7">
        <v>38313.420000000006</v>
      </c>
      <c r="E63" s="2"/>
      <c r="F63" s="6">
        <f t="shared" si="28"/>
        <v>0.45032800134275336</v>
      </c>
      <c r="G63" s="2"/>
      <c r="H63" s="7">
        <v>64695.709999999992</v>
      </c>
      <c r="I63" s="2"/>
      <c r="J63" s="6">
        <f t="shared" si="29"/>
        <v>8.1009959914690718E-2</v>
      </c>
      <c r="K63" s="2"/>
      <c r="L63" s="7">
        <f t="shared" si="30"/>
        <v>-26382.289999999986</v>
      </c>
      <c r="M63" s="2"/>
      <c r="N63" s="6">
        <f t="shared" si="31"/>
        <v>-0.40779040835937946</v>
      </c>
      <c r="O63" s="11"/>
      <c r="P63" s="7">
        <v>75016.490000000005</v>
      </c>
      <c r="Q63" s="2"/>
      <c r="R63" s="6">
        <f t="shared" si="32"/>
        <v>0.11785782639449442</v>
      </c>
      <c r="S63" s="2"/>
      <c r="T63" s="7">
        <v>471590.87</v>
      </c>
      <c r="U63" s="2"/>
      <c r="V63" s="6">
        <f t="shared" si="33"/>
        <v>7.745836695190364E-2</v>
      </c>
      <c r="W63" s="2"/>
      <c r="X63" s="7">
        <f t="shared" si="34"/>
        <v>-396574.38</v>
      </c>
      <c r="Y63" s="2"/>
      <c r="Z63" s="6">
        <f t="shared" si="35"/>
        <v>-0.84092887548904416</v>
      </c>
    </row>
    <row r="64" spans="1:26" s="25" customFormat="1" outlineLevel="1" collapsed="1" x14ac:dyDescent="0.25">
      <c r="A64" s="26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SUM(OSRRefD22_12x_0)</f>
        <v>3735.15</v>
      </c>
      <c r="E64" s="1"/>
      <c r="F64" s="5">
        <f t="shared" si="28"/>
        <v>4.3902179294236461E-2</v>
      </c>
      <c r="G64" s="1"/>
      <c r="H64" s="1">
        <f>SUM(OSRRefH22_12x_0)</f>
        <v>410.22</v>
      </c>
      <c r="I64" s="1"/>
      <c r="J64" s="5">
        <f t="shared" si="29"/>
        <v>5.1366475081894049E-4</v>
      </c>
      <c r="K64" s="1"/>
      <c r="L64" s="1">
        <f t="shared" si="30"/>
        <v>3324.9300000000003</v>
      </c>
      <c r="M64" s="1"/>
      <c r="N64" s="5">
        <f t="shared" si="31"/>
        <v>8.105236214714056</v>
      </c>
      <c r="O64" s="13"/>
      <c r="P64" s="1">
        <f>SUM(OSRRefP22_12x_0)</f>
        <v>8146.7899999999991</v>
      </c>
      <c r="Q64" s="1"/>
      <c r="R64" s="5">
        <f t="shared" si="32"/>
        <v>1.2799358667572997E-2</v>
      </c>
      <c r="S64" s="1"/>
      <c r="T64" s="1">
        <f>SUM(OSRRefT22_12x_0)</f>
        <v>23808.939999999995</v>
      </c>
      <c r="U64" s="1"/>
      <c r="V64" s="5">
        <f t="shared" si="33"/>
        <v>3.9105965118787309E-3</v>
      </c>
      <c r="W64" s="1"/>
      <c r="X64" s="1">
        <f t="shared" si="34"/>
        <v>-15662.149999999996</v>
      </c>
      <c r="Y64" s="1"/>
      <c r="Z64" s="5">
        <f t="shared" si="35"/>
        <v>-0.65782642990406126</v>
      </c>
    </row>
    <row r="65" spans="1:26" s="24" customFormat="1" hidden="1" outlineLevel="2" x14ac:dyDescent="0.25">
      <c r="A65" s="27"/>
      <c r="B65" s="11" t="str">
        <f>CONCATENATE("          ", "6371", " - ", "COMPUTER SOFTWARE MAINTENANCE")</f>
        <v xml:space="preserve">          6371 - COMPUTER SOFTWARE MAINTENANCE</v>
      </c>
      <c r="C65" s="11"/>
      <c r="D65" s="7">
        <v>3500</v>
      </c>
      <c r="E65" s="2"/>
      <c r="F65" s="6">
        <f t="shared" si="28"/>
        <v>4.1138274909930689E-2</v>
      </c>
      <c r="G65" s="2"/>
      <c r="H65" s="7"/>
      <c r="I65" s="2"/>
      <c r="J65" s="6">
        <f t="shared" si="29"/>
        <v>0</v>
      </c>
      <c r="K65" s="2"/>
      <c r="L65" s="7">
        <f t="shared" si="30"/>
        <v>3500</v>
      </c>
      <c r="M65" s="2"/>
      <c r="N65" s="6">
        <f t="shared" si="31"/>
        <v>0</v>
      </c>
      <c r="O65" s="11"/>
      <c r="P65" s="7">
        <v>3500</v>
      </c>
      <c r="Q65" s="2"/>
      <c r="R65" s="6">
        <f t="shared" si="32"/>
        <v>5.4988228905502035E-3</v>
      </c>
      <c r="S65" s="2"/>
      <c r="T65" s="7">
        <v>22817.929999999997</v>
      </c>
      <c r="U65" s="2"/>
      <c r="V65" s="6">
        <f t="shared" si="33"/>
        <v>3.7478240302295297E-3</v>
      </c>
      <c r="W65" s="2"/>
      <c r="X65" s="7">
        <f t="shared" si="34"/>
        <v>-19317.929999999997</v>
      </c>
      <c r="Y65" s="2"/>
      <c r="Z65" s="6">
        <f t="shared" si="35"/>
        <v>-0.84661185304714315</v>
      </c>
    </row>
    <row r="66" spans="1:26" s="24" customFormat="1" hidden="1" outlineLevel="2" x14ac:dyDescent="0.25">
      <c r="A66" s="27"/>
      <c r="B66" s="11" t="str">
        <f>CONCATENATE("          ", "6373", " - ", "MAINTENANCE CONTRACTS")</f>
        <v xml:space="preserve">          6373 - MAINTENANCE CONTRACTS</v>
      </c>
      <c r="C66" s="11"/>
      <c r="D66" s="7">
        <v>235.15</v>
      </c>
      <c r="E66" s="2"/>
      <c r="F66" s="6">
        <f t="shared" si="28"/>
        <v>2.7639043843057719E-3</v>
      </c>
      <c r="G66" s="2"/>
      <c r="H66" s="7">
        <v>221.43</v>
      </c>
      <c r="I66" s="2"/>
      <c r="J66" s="6">
        <f t="shared" si="29"/>
        <v>2.7726777283856949E-4</v>
      </c>
      <c r="K66" s="2"/>
      <c r="L66" s="7">
        <f t="shared" si="30"/>
        <v>13.719999999999999</v>
      </c>
      <c r="M66" s="2"/>
      <c r="N66" s="6">
        <f t="shared" si="31"/>
        <v>6.1960890574899508E-2</v>
      </c>
      <c r="O66" s="11"/>
      <c r="P66" s="7">
        <v>2969.97</v>
      </c>
      <c r="Q66" s="2"/>
      <c r="R66" s="6">
        <f t="shared" si="32"/>
        <v>4.6660968629278253E-3</v>
      </c>
      <c r="S66" s="2"/>
      <c r="T66" s="7">
        <v>481.82</v>
      </c>
      <c r="U66" s="2"/>
      <c r="V66" s="6">
        <f t="shared" si="33"/>
        <v>7.9138492152670831E-5</v>
      </c>
      <c r="W66" s="2"/>
      <c r="X66" s="7">
        <f t="shared" si="34"/>
        <v>2488.1499999999996</v>
      </c>
      <c r="Y66" s="2"/>
      <c r="Z66" s="6">
        <f t="shared" si="35"/>
        <v>5.1640654186210613</v>
      </c>
    </row>
    <row r="67" spans="1:26" s="24" customFormat="1" hidden="1" outlineLevel="2" x14ac:dyDescent="0.25">
      <c r="A67" s="27"/>
      <c r="B67" s="11" t="str">
        <f>CONCATENATE("          ", "6375", " - ", "OUTSIDE REPAIRS &amp; MAINTENANCE")</f>
        <v xml:space="preserve">          6375 - OUTSIDE REPAIRS &amp; MAINTENANCE</v>
      </c>
      <c r="C67" s="11"/>
      <c r="D67" s="7"/>
      <c r="E67" s="2"/>
      <c r="F67" s="6">
        <f t="shared" si="28"/>
        <v>0</v>
      </c>
      <c r="G67" s="2"/>
      <c r="H67" s="7">
        <v>188.79</v>
      </c>
      <c r="I67" s="2"/>
      <c r="J67" s="6">
        <f t="shared" si="29"/>
        <v>2.3639697798037091E-4</v>
      </c>
      <c r="K67" s="2"/>
      <c r="L67" s="7">
        <f t="shared" si="30"/>
        <v>-188.79</v>
      </c>
      <c r="M67" s="2"/>
      <c r="N67" s="6">
        <f t="shared" si="31"/>
        <v>-1</v>
      </c>
      <c r="O67" s="11"/>
      <c r="P67" s="7">
        <v>1676.82</v>
      </c>
      <c r="Q67" s="2"/>
      <c r="R67" s="6">
        <f t="shared" si="32"/>
        <v>2.6344389140949692E-3</v>
      </c>
      <c r="S67" s="2"/>
      <c r="T67" s="7">
        <v>509.19</v>
      </c>
      <c r="U67" s="2"/>
      <c r="V67" s="6">
        <f t="shared" si="33"/>
        <v>8.3633989496530777E-5</v>
      </c>
      <c r="W67" s="2"/>
      <c r="X67" s="7">
        <f t="shared" si="34"/>
        <v>1167.6299999999999</v>
      </c>
      <c r="Y67" s="2"/>
      <c r="Z67" s="6">
        <f t="shared" si="35"/>
        <v>2.2931125905850465</v>
      </c>
    </row>
    <row r="68" spans="1:26" s="25" customFormat="1" outlineLevel="1" collapsed="1" x14ac:dyDescent="0.25">
      <c r="A68" s="26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SUM(OSRRefD22_13x_0)</f>
        <v>12610.109999999999</v>
      </c>
      <c r="E68" s="1"/>
      <c r="F68" s="5">
        <f t="shared" ref="F68:F72" si="36">IF(D$12=0,0,D68/D$12)</f>
        <v>0.14821662052127599</v>
      </c>
      <c r="G68" s="1"/>
      <c r="H68" s="1">
        <f>SUM(OSRRefH22_13x_0)</f>
        <v>17824.04</v>
      </c>
      <c r="I68" s="1"/>
      <c r="J68" s="5">
        <f t="shared" ref="J68:J72" si="37">IF(H$12=0,0,H68/H$12)</f>
        <v>2.231870963187272E-2</v>
      </c>
      <c r="K68" s="1"/>
      <c r="L68" s="1">
        <f t="shared" ref="L68:L72" si="38">+D68-H68</f>
        <v>-5213.9300000000021</v>
      </c>
      <c r="M68" s="1"/>
      <c r="N68" s="5">
        <f t="shared" ref="N68:N72" si="39">IF(H68=0,0,L68/H68)</f>
        <v>-0.29252234622453732</v>
      </c>
      <c r="O68" s="13"/>
      <c r="P68" s="1">
        <f>SUM(OSRRefP22_13x_0)</f>
        <v>65525.990000000005</v>
      </c>
      <c r="Q68" s="1"/>
      <c r="R68" s="5">
        <f t="shared" ref="R68:R72" si="40">IF(P$12=0,0,P68/P$12)</f>
        <v>0.10294737535370393</v>
      </c>
      <c r="S68" s="1"/>
      <c r="T68" s="1">
        <f>SUM(OSRRefT22_13x_0)</f>
        <v>112966.77</v>
      </c>
      <c r="U68" s="1"/>
      <c r="V68" s="5">
        <f t="shared" ref="V68:V72" si="41">IF(T$12=0,0,T68/T$12)</f>
        <v>1.8554688143201964E-2</v>
      </c>
      <c r="W68" s="1"/>
      <c r="X68" s="1">
        <f t="shared" ref="X68:X72" si="42">+P68-T68</f>
        <v>-47440.78</v>
      </c>
      <c r="Y68" s="1"/>
      <c r="Z68" s="5">
        <f t="shared" ref="Z68:Z72" si="43">IF(T68=0,0,X68/T68)</f>
        <v>-0.41995340753745547</v>
      </c>
    </row>
    <row r="69" spans="1:26" s="24" customFormat="1" hidden="1" outlineLevel="2" x14ac:dyDescent="0.25">
      <c r="A69" s="27"/>
      <c r="B69" s="11" t="str">
        <f>CONCATENATE("          ", "6282", " - ", "JANITORIAL/EXTERMINATOR EXPENS")</f>
        <v xml:space="preserve">          6282 - JANITORIAL/EXTERMINATOR EXPENS</v>
      </c>
      <c r="C69" s="11"/>
      <c r="D69" s="7">
        <v>1996.15</v>
      </c>
      <c r="E69" s="2"/>
      <c r="F69" s="6">
        <f t="shared" si="36"/>
        <v>2.3462333560416611E-2</v>
      </c>
      <c r="G69" s="2"/>
      <c r="H69" s="7">
        <v>3016.6</v>
      </c>
      <c r="I69" s="2"/>
      <c r="J69" s="6">
        <f t="shared" si="37"/>
        <v>3.7772928850870642E-3</v>
      </c>
      <c r="K69" s="2"/>
      <c r="L69" s="7">
        <f t="shared" si="38"/>
        <v>-1020.4499999999998</v>
      </c>
      <c r="M69" s="2"/>
      <c r="N69" s="6">
        <f t="shared" si="39"/>
        <v>-0.33827819399323739</v>
      </c>
      <c r="O69" s="11"/>
      <c r="P69" s="7">
        <v>5884.86</v>
      </c>
      <c r="Q69" s="2"/>
      <c r="R69" s="6">
        <f t="shared" si="40"/>
        <v>9.2456579644809352E-3</v>
      </c>
      <c r="S69" s="2"/>
      <c r="T69" s="7">
        <v>10828.1</v>
      </c>
      <c r="U69" s="2"/>
      <c r="V69" s="6">
        <f t="shared" si="41"/>
        <v>1.7785054727457038E-3</v>
      </c>
      <c r="W69" s="2"/>
      <c r="X69" s="7">
        <f t="shared" si="42"/>
        <v>-4943.2400000000007</v>
      </c>
      <c r="Y69" s="2"/>
      <c r="Z69" s="6">
        <f t="shared" si="43"/>
        <v>-0.45651961101208899</v>
      </c>
    </row>
    <row r="70" spans="1:26" s="24" customFormat="1" hidden="1" outlineLevel="2" x14ac:dyDescent="0.25">
      <c r="A70" s="27"/>
      <c r="B70" s="11" t="str">
        <f>CONCATENATE("          ", "6284", " - ", "TRASH REMOVAL EXPENSE")</f>
        <v xml:space="preserve">          6284 - TRASH REMOVAL EXPENSE</v>
      </c>
      <c r="C70" s="11"/>
      <c r="D70" s="7">
        <v>282.75</v>
      </c>
      <c r="E70" s="2"/>
      <c r="F70" s="6">
        <f t="shared" si="36"/>
        <v>3.3233849230808292E-3</v>
      </c>
      <c r="G70" s="2"/>
      <c r="H70" s="7"/>
      <c r="I70" s="2"/>
      <c r="J70" s="6">
        <f t="shared" si="37"/>
        <v>0</v>
      </c>
      <c r="K70" s="2"/>
      <c r="L70" s="7">
        <f t="shared" si="38"/>
        <v>282.75</v>
      </c>
      <c r="M70" s="2"/>
      <c r="N70" s="6">
        <f t="shared" si="39"/>
        <v>0</v>
      </c>
      <c r="O70" s="11"/>
      <c r="P70" s="7">
        <v>282.75</v>
      </c>
      <c r="Q70" s="2"/>
      <c r="R70" s="6">
        <f t="shared" si="40"/>
        <v>4.442263349437343E-4</v>
      </c>
      <c r="S70" s="2"/>
      <c r="T70" s="7"/>
      <c r="U70" s="2"/>
      <c r="V70" s="6">
        <f t="shared" si="41"/>
        <v>0</v>
      </c>
      <c r="W70" s="2"/>
      <c r="X70" s="7">
        <f t="shared" si="42"/>
        <v>282.75</v>
      </c>
      <c r="Y70" s="2"/>
      <c r="Z70" s="6">
        <f t="shared" si="43"/>
        <v>0</v>
      </c>
    </row>
    <row r="71" spans="1:26" s="24" customFormat="1" hidden="1" outlineLevel="2" x14ac:dyDescent="0.25">
      <c r="A71" s="27"/>
      <c r="B71" s="11" t="str">
        <f>CONCATENATE("          ", "6285", " - ", "JANITORIAL SERVICES")</f>
        <v xml:space="preserve">          6285 - JANITORIAL SERVICES</v>
      </c>
      <c r="C71" s="11"/>
      <c r="D71" s="7">
        <v>8351.15</v>
      </c>
      <c r="E71" s="2"/>
      <c r="F71" s="6">
        <f t="shared" si="36"/>
        <v>9.815768700401932E-2</v>
      </c>
      <c r="G71" s="2"/>
      <c r="H71" s="7">
        <v>11438.01</v>
      </c>
      <c r="I71" s="2"/>
      <c r="J71" s="6">
        <f t="shared" si="37"/>
        <v>1.4322321087500728E-2</v>
      </c>
      <c r="K71" s="2"/>
      <c r="L71" s="7">
        <f t="shared" si="38"/>
        <v>-3086.8600000000006</v>
      </c>
      <c r="M71" s="2"/>
      <c r="N71" s="6">
        <f t="shared" si="39"/>
        <v>-0.26987736503115495</v>
      </c>
      <c r="O71" s="11"/>
      <c r="P71" s="7">
        <v>49301.98</v>
      </c>
      <c r="Q71" s="2"/>
      <c r="R71" s="6">
        <f t="shared" si="40"/>
        <v>7.7457958906699528E-2</v>
      </c>
      <c r="S71" s="2"/>
      <c r="T71" s="7">
        <v>74085.02</v>
      </c>
      <c r="U71" s="2"/>
      <c r="V71" s="6">
        <f t="shared" si="41"/>
        <v>1.2168396442448345E-2</v>
      </c>
      <c r="W71" s="2"/>
      <c r="X71" s="7">
        <f t="shared" si="42"/>
        <v>-24783.040000000001</v>
      </c>
      <c r="Y71" s="2"/>
      <c r="Z71" s="6">
        <f t="shared" si="43"/>
        <v>-0.33452160774202394</v>
      </c>
    </row>
    <row r="72" spans="1:26" s="24" customFormat="1" hidden="1" outlineLevel="2" x14ac:dyDescent="0.25">
      <c r="A72" s="27"/>
      <c r="B72" s="11" t="str">
        <f>CONCATENATE("          ", "6286", " - ", "LAUNDRY EXPENSE")</f>
        <v xml:space="preserve">          6286 - LAUNDRY EXPENSE</v>
      </c>
      <c r="C72" s="11"/>
      <c r="D72" s="7">
        <v>1980.06</v>
      </c>
      <c r="E72" s="2"/>
      <c r="F72" s="6">
        <f t="shared" si="36"/>
        <v>2.3273215033759245E-2</v>
      </c>
      <c r="G72" s="2"/>
      <c r="H72" s="7">
        <v>3369.43</v>
      </c>
      <c r="I72" s="2"/>
      <c r="J72" s="6">
        <f t="shared" si="37"/>
        <v>4.2190956592849261E-3</v>
      </c>
      <c r="K72" s="2"/>
      <c r="L72" s="7">
        <f t="shared" si="38"/>
        <v>-1389.37</v>
      </c>
      <c r="M72" s="2"/>
      <c r="N72" s="6">
        <f t="shared" si="39"/>
        <v>-0.41234570832455342</v>
      </c>
      <c r="O72" s="11"/>
      <c r="P72" s="7">
        <v>10056.4</v>
      </c>
      <c r="Q72" s="2"/>
      <c r="R72" s="6">
        <f t="shared" si="40"/>
        <v>1.5799532147579735E-2</v>
      </c>
      <c r="S72" s="2"/>
      <c r="T72" s="7">
        <v>28053.649999999998</v>
      </c>
      <c r="U72" s="2"/>
      <c r="V72" s="6">
        <f t="shared" si="41"/>
        <v>4.6077862280079155E-3</v>
      </c>
      <c r="W72" s="2"/>
      <c r="X72" s="7">
        <f t="shared" si="42"/>
        <v>-17997.25</v>
      </c>
      <c r="Y72" s="2"/>
      <c r="Z72" s="6">
        <f t="shared" si="43"/>
        <v>-0.6415297118200306</v>
      </c>
    </row>
    <row r="73" spans="1:26" s="25" customFormat="1" outlineLevel="1" collapsed="1" x14ac:dyDescent="0.25">
      <c r="A73" s="26"/>
      <c r="B73" s="13" t="str">
        <f>CONCATENATE("     ","Subscriptions &amp; Dues                              ")</f>
        <v xml:space="preserve">     Subscriptions &amp; Dues                              </v>
      </c>
      <c r="C73" s="13"/>
      <c r="D73" s="1">
        <f>SUM(OSRRefD22_14x_0)</f>
        <v>0</v>
      </c>
      <c r="E73" s="1"/>
      <c r="F73" s="5">
        <f t="shared" ref="F73:F84" si="44">IF(D$12=0,0,D73/D$12)</f>
        <v>0</v>
      </c>
      <c r="G73" s="1"/>
      <c r="H73" s="1">
        <f>SUM(OSRRefH22_14x_0)</f>
        <v>0</v>
      </c>
      <c r="I73" s="1"/>
      <c r="J73" s="5">
        <f t="shared" ref="J73:J84" si="45">IF(H$12=0,0,H73/H$12)</f>
        <v>0</v>
      </c>
      <c r="K73" s="1"/>
      <c r="L73" s="1">
        <f t="shared" ref="L73:L84" si="46">+D73-H73</f>
        <v>0</v>
      </c>
      <c r="M73" s="1"/>
      <c r="N73" s="5">
        <f t="shared" ref="N73:N84" si="47">IF(H73=0,0,L73/H73)</f>
        <v>0</v>
      </c>
      <c r="O73" s="13"/>
      <c r="P73" s="1">
        <f>SUM(OSRRefP22_14x_0)</f>
        <v>795</v>
      </c>
      <c r="Q73" s="1"/>
      <c r="R73" s="5">
        <f t="shared" ref="R73:R84" si="48">IF(P$12=0,0,P73/P$12)</f>
        <v>1.2490183422821178E-3</v>
      </c>
      <c r="S73" s="1"/>
      <c r="T73" s="1">
        <f>SUM(OSRRefT22_14x_0)</f>
        <v>0</v>
      </c>
      <c r="U73" s="1"/>
      <c r="V73" s="5">
        <f t="shared" ref="V73:V84" si="49">IF(T$12=0,0,T73/T$12)</f>
        <v>0</v>
      </c>
      <c r="W73" s="1"/>
      <c r="X73" s="1">
        <f t="shared" ref="X73:X84" si="50">+P73-T73</f>
        <v>795</v>
      </c>
      <c r="Y73" s="1"/>
      <c r="Z73" s="5">
        <f t="shared" ref="Z73:Z84" si="51">IF(T73=0,0,X73/T73)</f>
        <v>0</v>
      </c>
    </row>
    <row r="74" spans="1:26" s="24" customFormat="1" hidden="1" outlineLevel="2" x14ac:dyDescent="0.25">
      <c r="A74" s="27"/>
      <c r="B74" s="11" t="str">
        <f>CONCATENATE("          ", "6258", " - ", "MEMBERSHIP DUES")</f>
        <v xml:space="preserve">          6258 - MEMBERSHIP DUES</v>
      </c>
      <c r="C74" s="11"/>
      <c r="D74" s="7"/>
      <c r="E74" s="2"/>
      <c r="F74" s="6">
        <f t="shared" si="44"/>
        <v>0</v>
      </c>
      <c r="G74" s="2"/>
      <c r="H74" s="7"/>
      <c r="I74" s="2"/>
      <c r="J74" s="6">
        <f t="shared" si="45"/>
        <v>0</v>
      </c>
      <c r="K74" s="2"/>
      <c r="L74" s="7">
        <f t="shared" si="46"/>
        <v>0</v>
      </c>
      <c r="M74" s="2"/>
      <c r="N74" s="6">
        <f t="shared" si="47"/>
        <v>0</v>
      </c>
      <c r="O74" s="11"/>
      <c r="P74" s="7">
        <v>795</v>
      </c>
      <c r="Q74" s="2"/>
      <c r="R74" s="6">
        <f t="shared" si="48"/>
        <v>1.2490183422821178E-3</v>
      </c>
      <c r="S74" s="2"/>
      <c r="T74" s="7"/>
      <c r="U74" s="2"/>
      <c r="V74" s="6">
        <f t="shared" si="49"/>
        <v>0</v>
      </c>
      <c r="W74" s="2"/>
      <c r="X74" s="7">
        <f t="shared" si="50"/>
        <v>795</v>
      </c>
      <c r="Y74" s="2"/>
      <c r="Z74" s="6">
        <f t="shared" si="51"/>
        <v>0</v>
      </c>
    </row>
    <row r="75" spans="1:26" s="25" customFormat="1" outlineLevel="1" collapsed="1" x14ac:dyDescent="0.25">
      <c r="A75" s="26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SUM(OSRRefD22_15x_0)</f>
        <v>13737.579999999998</v>
      </c>
      <c r="E75" s="1"/>
      <c r="F75" s="5">
        <f t="shared" si="44"/>
        <v>0.16146866932490445</v>
      </c>
      <c r="G75" s="1"/>
      <c r="H75" s="1">
        <f>SUM(OSRRefH22_15x_0)</f>
        <v>10267.6</v>
      </c>
      <c r="I75" s="1"/>
      <c r="J75" s="5">
        <f t="shared" si="45"/>
        <v>1.2856770014890918E-2</v>
      </c>
      <c r="K75" s="1"/>
      <c r="L75" s="1">
        <f t="shared" si="46"/>
        <v>3469.9799999999977</v>
      </c>
      <c r="M75" s="1"/>
      <c r="N75" s="5">
        <f t="shared" si="47"/>
        <v>0.3379543418130817</v>
      </c>
      <c r="O75" s="13"/>
      <c r="P75" s="1">
        <f>SUM(OSRRefP22_15x_0)</f>
        <v>89740.780000000013</v>
      </c>
      <c r="Q75" s="1"/>
      <c r="R75" s="5">
        <f t="shared" si="48"/>
        <v>0.1409910443656657</v>
      </c>
      <c r="S75" s="1"/>
      <c r="T75" s="1">
        <f>SUM(OSRRefT22_15x_0)</f>
        <v>134596.37</v>
      </c>
      <c r="U75" s="1"/>
      <c r="V75" s="5">
        <f t="shared" si="49"/>
        <v>2.2107330063141795E-2</v>
      </c>
      <c r="W75" s="1"/>
      <c r="X75" s="1">
        <f t="shared" si="50"/>
        <v>-44855.589999999982</v>
      </c>
      <c r="Y75" s="1"/>
      <c r="Z75" s="5">
        <f t="shared" si="51"/>
        <v>-0.33326002774071828</v>
      </c>
    </row>
    <row r="76" spans="1:26" s="24" customFormat="1" hidden="1" outlineLevel="2" x14ac:dyDescent="0.25">
      <c r="A76" s="27"/>
      <c r="B76" s="11" t="str">
        <f>CONCATENATE("          ", "6234", " - ", "EXPENDABLE SUPPLIES &amp; EQUIPMEN")</f>
        <v xml:space="preserve">          6234 - EXPENDABLE SUPPLIES &amp; EQUIPMEN</v>
      </c>
      <c r="C76" s="11"/>
      <c r="D76" s="7"/>
      <c r="E76" s="2"/>
      <c r="F76" s="6">
        <f t="shared" si="44"/>
        <v>0</v>
      </c>
      <c r="G76" s="2"/>
      <c r="H76" s="7"/>
      <c r="I76" s="2"/>
      <c r="J76" s="6">
        <f t="shared" si="45"/>
        <v>0</v>
      </c>
      <c r="K76" s="2"/>
      <c r="L76" s="7">
        <f t="shared" si="46"/>
        <v>0</v>
      </c>
      <c r="M76" s="2"/>
      <c r="N76" s="6">
        <f t="shared" si="47"/>
        <v>0</v>
      </c>
      <c r="O76" s="11"/>
      <c r="P76" s="7"/>
      <c r="Q76" s="2"/>
      <c r="R76" s="6">
        <f t="shared" si="48"/>
        <v>0</v>
      </c>
      <c r="S76" s="2"/>
      <c r="T76" s="7">
        <v>100</v>
      </c>
      <c r="U76" s="2"/>
      <c r="V76" s="6">
        <f t="shared" si="49"/>
        <v>1.6424908088637008E-5</v>
      </c>
      <c r="W76" s="2"/>
      <c r="X76" s="7">
        <f t="shared" si="50"/>
        <v>-100</v>
      </c>
      <c r="Y76" s="2"/>
      <c r="Z76" s="6">
        <f t="shared" si="51"/>
        <v>-1</v>
      </c>
    </row>
    <row r="77" spans="1:26" s="24" customFormat="1" hidden="1" outlineLevel="2" x14ac:dyDescent="0.25">
      <c r="A77" s="27"/>
      <c r="B77" s="11" t="str">
        <f>CONCATENATE("          ", "6235", " - ", "COVID-19 EXPENSES")</f>
        <v xml:space="preserve">          6235 - COVID-19 EXPENSES</v>
      </c>
      <c r="C77" s="11"/>
      <c r="D77" s="7">
        <v>4714.9799999999996</v>
      </c>
      <c r="E77" s="2"/>
      <c r="F77" s="6">
        <f t="shared" si="44"/>
        <v>5.5418898124235706E-2</v>
      </c>
      <c r="G77" s="2"/>
      <c r="H77" s="7"/>
      <c r="I77" s="2"/>
      <c r="J77" s="6">
        <f t="shared" si="45"/>
        <v>0</v>
      </c>
      <c r="K77" s="2"/>
      <c r="L77" s="7">
        <f t="shared" si="46"/>
        <v>4714.9799999999996</v>
      </c>
      <c r="M77" s="2"/>
      <c r="N77" s="6">
        <f t="shared" si="47"/>
        <v>0</v>
      </c>
      <c r="O77" s="11"/>
      <c r="P77" s="7">
        <v>47727.15</v>
      </c>
      <c r="Q77" s="2"/>
      <c r="R77" s="6">
        <f t="shared" si="48"/>
        <v>7.4983755691635193E-2</v>
      </c>
      <c r="S77" s="2"/>
      <c r="T77" s="7"/>
      <c r="U77" s="2"/>
      <c r="V77" s="6">
        <f t="shared" si="49"/>
        <v>0</v>
      </c>
      <c r="W77" s="2"/>
      <c r="X77" s="7">
        <f t="shared" si="50"/>
        <v>47727.15</v>
      </c>
      <c r="Y77" s="2"/>
      <c r="Z77" s="6">
        <f t="shared" si="51"/>
        <v>0</v>
      </c>
    </row>
    <row r="78" spans="1:26" s="24" customFormat="1" hidden="1" outlineLevel="2" x14ac:dyDescent="0.25">
      <c r="A78" s="27"/>
      <c r="B78" s="11" t="str">
        <f>CONCATENATE("          ", "6237", " - ", "JANITORIAL SUPPLIES")</f>
        <v xml:space="preserve">          6237 - JANITORIAL SUPPLIES</v>
      </c>
      <c r="C78" s="11"/>
      <c r="D78" s="7">
        <v>4782.1899999999996</v>
      </c>
      <c r="E78" s="2"/>
      <c r="F78" s="6">
        <f t="shared" si="44"/>
        <v>5.6208870540434691E-2</v>
      </c>
      <c r="G78" s="2"/>
      <c r="H78" s="7">
        <v>4978.47</v>
      </c>
      <c r="I78" s="2"/>
      <c r="J78" s="6">
        <f t="shared" si="45"/>
        <v>6.2338856028705822E-3</v>
      </c>
      <c r="K78" s="2"/>
      <c r="L78" s="7">
        <f t="shared" si="46"/>
        <v>-196.28000000000065</v>
      </c>
      <c r="M78" s="2"/>
      <c r="N78" s="6">
        <f t="shared" si="47"/>
        <v>-3.9425767354227433E-2</v>
      </c>
      <c r="O78" s="11"/>
      <c r="P78" s="7">
        <v>13064.45</v>
      </c>
      <c r="Q78" s="2"/>
      <c r="R78" s="6">
        <f t="shared" si="48"/>
        <v>2.0525456203556749E-2</v>
      </c>
      <c r="S78" s="2"/>
      <c r="T78" s="7">
        <v>50195.19</v>
      </c>
      <c r="U78" s="2"/>
      <c r="V78" s="6">
        <f t="shared" si="49"/>
        <v>8.2445138224167148E-3</v>
      </c>
      <c r="W78" s="2"/>
      <c r="X78" s="7">
        <f t="shared" si="50"/>
        <v>-37130.740000000005</v>
      </c>
      <c r="Y78" s="2"/>
      <c r="Z78" s="6">
        <f t="shared" si="51"/>
        <v>-0.73972705352843571</v>
      </c>
    </row>
    <row r="79" spans="1:26" s="24" customFormat="1" hidden="1" outlineLevel="2" x14ac:dyDescent="0.25">
      <c r="A79" s="27"/>
      <c r="B79" s="11" t="str">
        <f>CONCATENATE("          ", "6239", " - ", "KITCHEN SUPPLIES")</f>
        <v xml:space="preserve">          6239 - KITCHEN SUPPLIES</v>
      </c>
      <c r="C79" s="11"/>
      <c r="D79" s="7">
        <v>148.04</v>
      </c>
      <c r="E79" s="2"/>
      <c r="F79" s="6">
        <f t="shared" si="44"/>
        <v>1.7400314907617539E-3</v>
      </c>
      <c r="G79" s="2"/>
      <c r="H79" s="7">
        <v>357.36</v>
      </c>
      <c r="I79" s="2"/>
      <c r="J79" s="6">
        <f t="shared" si="45"/>
        <v>4.4747509958718872E-4</v>
      </c>
      <c r="K79" s="2"/>
      <c r="L79" s="7">
        <f t="shared" si="46"/>
        <v>-209.32000000000002</v>
      </c>
      <c r="M79" s="2"/>
      <c r="N79" s="6">
        <f t="shared" si="47"/>
        <v>-0.58573987015894335</v>
      </c>
      <c r="O79" s="11"/>
      <c r="P79" s="7">
        <v>5814.55</v>
      </c>
      <c r="Q79" s="2"/>
      <c r="R79" s="6">
        <f t="shared" si="48"/>
        <v>9.1351944680710534E-3</v>
      </c>
      <c r="S79" s="2"/>
      <c r="T79" s="7">
        <v>21628.190000000002</v>
      </c>
      <c r="U79" s="2"/>
      <c r="V79" s="6">
        <f t="shared" si="49"/>
        <v>3.552410328735781E-3</v>
      </c>
      <c r="W79" s="2"/>
      <c r="X79" s="7">
        <f t="shared" si="50"/>
        <v>-15813.640000000003</v>
      </c>
      <c r="Y79" s="2"/>
      <c r="Z79" s="6">
        <f t="shared" si="51"/>
        <v>-0.73115873311636348</v>
      </c>
    </row>
    <row r="80" spans="1:26" s="24" customFormat="1" hidden="1" outlineLevel="2" x14ac:dyDescent="0.25">
      <c r="A80" s="27"/>
      <c r="B80" s="11" t="str">
        <f>CONCATENATE("          ", "6241", " - ", "OFFICE EXPENSE")</f>
        <v xml:space="preserve">          6241 - OFFICE EXPENSE</v>
      </c>
      <c r="C80" s="11"/>
      <c r="D80" s="7">
        <v>725.9</v>
      </c>
      <c r="E80" s="2"/>
      <c r="F80" s="6">
        <f t="shared" si="44"/>
        <v>8.5320782163196239E-3</v>
      </c>
      <c r="G80" s="2"/>
      <c r="H80" s="7">
        <v>611.46</v>
      </c>
      <c r="I80" s="2"/>
      <c r="J80" s="6">
        <f t="shared" si="45"/>
        <v>7.656512323527603E-4</v>
      </c>
      <c r="K80" s="2"/>
      <c r="L80" s="7">
        <f t="shared" si="46"/>
        <v>114.43999999999994</v>
      </c>
      <c r="M80" s="2"/>
      <c r="N80" s="6">
        <f t="shared" si="47"/>
        <v>0.18715860399699069</v>
      </c>
      <c r="O80" s="11"/>
      <c r="P80" s="7">
        <v>3287.88</v>
      </c>
      <c r="Q80" s="2"/>
      <c r="R80" s="6">
        <f t="shared" si="48"/>
        <v>5.1655628015377731E-3</v>
      </c>
      <c r="S80" s="2"/>
      <c r="T80" s="7">
        <v>26706.15</v>
      </c>
      <c r="U80" s="2"/>
      <c r="V80" s="6">
        <f t="shared" si="49"/>
        <v>4.3864605915135326E-3</v>
      </c>
      <c r="W80" s="2"/>
      <c r="X80" s="7">
        <f t="shared" si="50"/>
        <v>-23418.27</v>
      </c>
      <c r="Y80" s="2"/>
      <c r="Z80" s="6">
        <f t="shared" si="51"/>
        <v>-0.87688678450469271</v>
      </c>
    </row>
    <row r="81" spans="1:26" s="24" customFormat="1" hidden="1" outlineLevel="2" x14ac:dyDescent="0.25">
      <c r="A81" s="27"/>
      <c r="B81" s="11" t="str">
        <f>CONCATENATE("          ", "6243", " - ", "PAPER SUPPLIES")</f>
        <v xml:space="preserve">          6243 - PAPER SUPPLIES</v>
      </c>
      <c r="C81" s="11"/>
      <c r="D81" s="7">
        <v>3366.47</v>
      </c>
      <c r="E81" s="2"/>
      <c r="F81" s="6">
        <f t="shared" si="44"/>
        <v>3.9568790953152674E-2</v>
      </c>
      <c r="G81" s="2"/>
      <c r="H81" s="7">
        <v>4311.9399999999996</v>
      </c>
      <c r="I81" s="2"/>
      <c r="J81" s="6">
        <f t="shared" si="45"/>
        <v>5.3992774258842125E-3</v>
      </c>
      <c r="K81" s="2"/>
      <c r="L81" s="7">
        <f t="shared" si="46"/>
        <v>-945.4699999999998</v>
      </c>
      <c r="M81" s="2"/>
      <c r="N81" s="6">
        <f t="shared" si="47"/>
        <v>-0.21926789333803343</v>
      </c>
      <c r="O81" s="11"/>
      <c r="P81" s="7">
        <v>15346.16</v>
      </c>
      <c r="Q81" s="2"/>
      <c r="R81" s="6">
        <f t="shared" si="48"/>
        <v>2.4110233111441691E-2</v>
      </c>
      <c r="S81" s="2"/>
      <c r="T81" s="7">
        <v>37832.97</v>
      </c>
      <c r="U81" s="2"/>
      <c r="V81" s="6">
        <f t="shared" si="49"/>
        <v>6.2140305497016129E-3</v>
      </c>
      <c r="W81" s="2"/>
      <c r="X81" s="7">
        <f t="shared" si="50"/>
        <v>-22486.81</v>
      </c>
      <c r="Y81" s="2"/>
      <c r="Z81" s="6">
        <f t="shared" si="51"/>
        <v>-0.59437073008013908</v>
      </c>
    </row>
    <row r="82" spans="1:26" s="24" customFormat="1" hidden="1" outlineLevel="2" x14ac:dyDescent="0.25">
      <c r="A82" s="27"/>
      <c r="B82" s="11" t="str">
        <f>CONCATENATE("          ", "6245", " - ", "PRINTING")</f>
        <v xml:space="preserve">          6245 - PRINTING</v>
      </c>
      <c r="C82" s="11"/>
      <c r="D82" s="7"/>
      <c r="E82" s="2"/>
      <c r="F82" s="6">
        <f t="shared" si="44"/>
        <v>0</v>
      </c>
      <c r="G82" s="2"/>
      <c r="H82" s="7"/>
      <c r="I82" s="2"/>
      <c r="J82" s="6">
        <f t="shared" si="45"/>
        <v>0</v>
      </c>
      <c r="K82" s="2"/>
      <c r="L82" s="7">
        <f t="shared" si="46"/>
        <v>0</v>
      </c>
      <c r="M82" s="2"/>
      <c r="N82" s="6">
        <f t="shared" si="47"/>
        <v>0</v>
      </c>
      <c r="O82" s="11"/>
      <c r="P82" s="7"/>
      <c r="Q82" s="2"/>
      <c r="R82" s="6">
        <f t="shared" si="48"/>
        <v>0</v>
      </c>
      <c r="S82" s="2"/>
      <c r="T82" s="7">
        <v>1351.44</v>
      </c>
      <c r="U82" s="2"/>
      <c r="V82" s="6">
        <f t="shared" si="49"/>
        <v>2.2197277787307598E-4</v>
      </c>
      <c r="W82" s="2"/>
      <c r="X82" s="7">
        <f t="shared" si="50"/>
        <v>-1351.44</v>
      </c>
      <c r="Y82" s="2"/>
      <c r="Z82" s="6">
        <f t="shared" si="51"/>
        <v>-1</v>
      </c>
    </row>
    <row r="83" spans="1:26" s="24" customFormat="1" hidden="1" outlineLevel="2" x14ac:dyDescent="0.25">
      <c r="A83" s="27"/>
      <c r="B83" s="11" t="str">
        <f>CONCATENATE("          ", "6247", " - ", "STORE SUPPLIES")</f>
        <v xml:space="preserve">          6247 - STORE SUPPLIES</v>
      </c>
      <c r="C83" s="11"/>
      <c r="D83" s="7"/>
      <c r="E83" s="2"/>
      <c r="F83" s="6">
        <f t="shared" si="44"/>
        <v>0</v>
      </c>
      <c r="G83" s="2"/>
      <c r="H83" s="7">
        <v>8.3699999999999992</v>
      </c>
      <c r="I83" s="2"/>
      <c r="J83" s="6">
        <f t="shared" si="45"/>
        <v>1.0480654196174079E-5</v>
      </c>
      <c r="K83" s="2"/>
      <c r="L83" s="7">
        <f t="shared" si="46"/>
        <v>-8.3699999999999992</v>
      </c>
      <c r="M83" s="2"/>
      <c r="N83" s="6">
        <f t="shared" si="47"/>
        <v>-1</v>
      </c>
      <c r="O83" s="11"/>
      <c r="P83" s="7"/>
      <c r="Q83" s="2"/>
      <c r="R83" s="6">
        <f t="shared" si="48"/>
        <v>0</v>
      </c>
      <c r="S83" s="2"/>
      <c r="T83" s="7">
        <v>667.78</v>
      </c>
      <c r="U83" s="2"/>
      <c r="V83" s="6">
        <f t="shared" si="49"/>
        <v>1.0968225123430021E-4</v>
      </c>
      <c r="W83" s="2"/>
      <c r="X83" s="7">
        <f t="shared" si="50"/>
        <v>-667.78</v>
      </c>
      <c r="Y83" s="2"/>
      <c r="Z83" s="6">
        <f t="shared" si="51"/>
        <v>-1</v>
      </c>
    </row>
    <row r="84" spans="1:26" s="24" customFormat="1" hidden="1" outlineLevel="2" x14ac:dyDescent="0.25">
      <c r="A84" s="27"/>
      <c r="B84" s="11" t="str">
        <f>CONCATENATE("          ", "6248", " - ", "UNIFORMS")</f>
        <v xml:space="preserve">          6248 - UNIFORMS</v>
      </c>
      <c r="C84" s="11"/>
      <c r="D84" s="7"/>
      <c r="E84" s="2"/>
      <c r="F84" s="6">
        <f t="shared" si="44"/>
        <v>0</v>
      </c>
      <c r="G84" s="2"/>
      <c r="H84" s="7"/>
      <c r="I84" s="2"/>
      <c r="J84" s="6">
        <f t="shared" si="45"/>
        <v>0</v>
      </c>
      <c r="K84" s="2"/>
      <c r="L84" s="7">
        <f t="shared" si="46"/>
        <v>0</v>
      </c>
      <c r="M84" s="2"/>
      <c r="N84" s="6">
        <f t="shared" si="47"/>
        <v>0</v>
      </c>
      <c r="O84" s="11"/>
      <c r="P84" s="7">
        <v>4500.59</v>
      </c>
      <c r="Q84" s="2"/>
      <c r="R84" s="6">
        <f t="shared" si="48"/>
        <v>7.0708420894232404E-3</v>
      </c>
      <c r="S84" s="2"/>
      <c r="T84" s="7">
        <v>-3885.35</v>
      </c>
      <c r="U84" s="2"/>
      <c r="V84" s="6">
        <f t="shared" si="49"/>
        <v>-6.3816516642185796E-4</v>
      </c>
      <c r="W84" s="2"/>
      <c r="X84" s="7">
        <f t="shared" si="50"/>
        <v>8385.94</v>
      </c>
      <c r="Y84" s="2"/>
      <c r="Z84" s="6">
        <f t="shared" si="51"/>
        <v>-2.1583486687171041</v>
      </c>
    </row>
    <row r="85" spans="1:26" s="25" customFormat="1" outlineLevel="1" collapsed="1" x14ac:dyDescent="0.25">
      <c r="A85" s="26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SUM(OSRRefD22_16x_0)</f>
        <v>498</v>
      </c>
      <c r="E85" s="1"/>
      <c r="F85" s="5">
        <f t="shared" ref="F85:F90" si="52">IF(D$12=0,0,D85/D$12)</f>
        <v>5.853388830041566E-3</v>
      </c>
      <c r="G85" s="1"/>
      <c r="H85" s="1">
        <f>SUM(OSRRefH22_16x_0)</f>
        <v>738.55</v>
      </c>
      <c r="I85" s="1"/>
      <c r="J85" s="5">
        <f t="shared" ref="J85:J90" si="53">IF(H$12=0,0,H85/H$12)</f>
        <v>9.2478938549395053E-4</v>
      </c>
      <c r="K85" s="1"/>
      <c r="L85" s="1">
        <f t="shared" ref="L85:L90" si="54">+D85-H85</f>
        <v>-240.54999999999995</v>
      </c>
      <c r="M85" s="1"/>
      <c r="N85" s="5">
        <f t="shared" ref="N85:N90" si="55">IF(H85=0,0,L85/H85)</f>
        <v>-0.32570577482905688</v>
      </c>
      <c r="O85" s="13"/>
      <c r="P85" s="1">
        <f>SUM(OSRRefP22_16x_0)</f>
        <v>3783.32</v>
      </c>
      <c r="Q85" s="1"/>
      <c r="R85" s="5">
        <f t="shared" ref="R85:R90" si="56">IF(P$12=0,0,P85/P$12)</f>
        <v>5.9439447480789708E-3</v>
      </c>
      <c r="S85" s="1"/>
      <c r="T85" s="1">
        <f>SUM(OSRRefT22_16x_0)</f>
        <v>3691.05</v>
      </c>
      <c r="U85" s="1"/>
      <c r="V85" s="5">
        <f t="shared" ref="V85:V90" si="57">IF(T$12=0,0,T85/T$12)</f>
        <v>6.0625157000563626E-4</v>
      </c>
      <c r="W85" s="1"/>
      <c r="X85" s="1">
        <f t="shared" ref="X85:X90" si="58">+P85-T85</f>
        <v>92.269999999999982</v>
      </c>
      <c r="Y85" s="1"/>
      <c r="Z85" s="5">
        <f t="shared" ref="Z85:Z90" si="59">IF(T85=0,0,X85/T85)</f>
        <v>2.4998306714891422E-2</v>
      </c>
    </row>
    <row r="86" spans="1:26" s="24" customFormat="1" hidden="1" outlineLevel="2" x14ac:dyDescent="0.25">
      <c r="A86" s="27"/>
      <c r="B86" s="11" t="str">
        <f>CONCATENATE("          ", "6309", " - ", "TELEPHONE")</f>
        <v xml:space="preserve">          6309 - TELEPHONE</v>
      </c>
      <c r="C86" s="11"/>
      <c r="D86" s="7">
        <v>498</v>
      </c>
      <c r="E86" s="2"/>
      <c r="F86" s="6">
        <f t="shared" si="52"/>
        <v>5.853388830041566E-3</v>
      </c>
      <c r="G86" s="2"/>
      <c r="H86" s="7">
        <v>738.55</v>
      </c>
      <c r="I86" s="2"/>
      <c r="J86" s="6">
        <f t="shared" si="53"/>
        <v>9.2478938549395053E-4</v>
      </c>
      <c r="K86" s="2"/>
      <c r="L86" s="7">
        <f t="shared" si="54"/>
        <v>-240.54999999999995</v>
      </c>
      <c r="M86" s="2"/>
      <c r="N86" s="6">
        <f t="shared" si="55"/>
        <v>-0.32570577482905688</v>
      </c>
      <c r="O86" s="11"/>
      <c r="P86" s="7">
        <v>3783.32</v>
      </c>
      <c r="Q86" s="2"/>
      <c r="R86" s="6">
        <f t="shared" si="56"/>
        <v>5.9439447480789708E-3</v>
      </c>
      <c r="S86" s="2"/>
      <c r="T86" s="7">
        <v>3691.05</v>
      </c>
      <c r="U86" s="2"/>
      <c r="V86" s="6">
        <f t="shared" si="57"/>
        <v>6.0625157000563626E-4</v>
      </c>
      <c r="W86" s="2"/>
      <c r="X86" s="7">
        <f t="shared" si="58"/>
        <v>92.269999999999982</v>
      </c>
      <c r="Y86" s="2"/>
      <c r="Z86" s="6">
        <f t="shared" si="59"/>
        <v>2.4998306714891422E-2</v>
      </c>
    </row>
    <row r="87" spans="1:26" s="25" customFormat="1" outlineLevel="1" collapsed="1" x14ac:dyDescent="0.25">
      <c r="A87" s="26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SUM(OSRRefD22_17x_0)</f>
        <v>0</v>
      </c>
      <c r="E87" s="1"/>
      <c r="F87" s="5">
        <f t="shared" si="52"/>
        <v>0</v>
      </c>
      <c r="G87" s="1"/>
      <c r="H87" s="1">
        <f>SUM(OSRRefH22_17x_0)</f>
        <v>1504.1</v>
      </c>
      <c r="I87" s="1"/>
      <c r="J87" s="5">
        <f t="shared" si="53"/>
        <v>1.8833873329110434E-3</v>
      </c>
      <c r="K87" s="1"/>
      <c r="L87" s="1">
        <f t="shared" si="54"/>
        <v>-1504.1</v>
      </c>
      <c r="M87" s="1"/>
      <c r="N87" s="5">
        <f t="shared" si="55"/>
        <v>-1</v>
      </c>
      <c r="O87" s="13"/>
      <c r="P87" s="1">
        <f>SUM(OSRRefP22_17x_0)</f>
        <v>735</v>
      </c>
      <c r="Q87" s="1"/>
      <c r="R87" s="5">
        <f t="shared" si="56"/>
        <v>1.1547528070155427E-3</v>
      </c>
      <c r="S87" s="1"/>
      <c r="T87" s="1">
        <f>SUM(OSRRefT22_17x_0)</f>
        <v>5761.37</v>
      </c>
      <c r="U87" s="1"/>
      <c r="V87" s="5">
        <f t="shared" si="57"/>
        <v>9.46299727146306E-4</v>
      </c>
      <c r="W87" s="1"/>
      <c r="X87" s="1">
        <f t="shared" si="58"/>
        <v>-5026.37</v>
      </c>
      <c r="Y87" s="1"/>
      <c r="Z87" s="5">
        <f t="shared" si="59"/>
        <v>-0.87242617641290177</v>
      </c>
    </row>
    <row r="88" spans="1:26" s="24" customFormat="1" hidden="1" outlineLevel="2" x14ac:dyDescent="0.25">
      <c r="A88" s="27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52"/>
        <v>0</v>
      </c>
      <c r="G88" s="2"/>
      <c r="H88" s="7">
        <v>1504.1</v>
      </c>
      <c r="I88" s="2"/>
      <c r="J88" s="6">
        <f t="shared" si="53"/>
        <v>1.8833873329110434E-3</v>
      </c>
      <c r="K88" s="2"/>
      <c r="L88" s="7">
        <f t="shared" si="54"/>
        <v>-1504.1</v>
      </c>
      <c r="M88" s="2"/>
      <c r="N88" s="6">
        <f t="shared" si="55"/>
        <v>-1</v>
      </c>
      <c r="O88" s="11"/>
      <c r="P88" s="7">
        <v>735</v>
      </c>
      <c r="Q88" s="2"/>
      <c r="R88" s="6">
        <f t="shared" si="56"/>
        <v>1.1547528070155427E-3</v>
      </c>
      <c r="S88" s="2"/>
      <c r="T88" s="7">
        <v>5761.37</v>
      </c>
      <c r="U88" s="2"/>
      <c r="V88" s="6">
        <f t="shared" si="57"/>
        <v>9.46299727146306E-4</v>
      </c>
      <c r="W88" s="2"/>
      <c r="X88" s="7">
        <f t="shared" si="58"/>
        <v>-5026.37</v>
      </c>
      <c r="Y88" s="2"/>
      <c r="Z88" s="6">
        <f t="shared" si="59"/>
        <v>-0.87242617641290177</v>
      </c>
    </row>
    <row r="89" spans="1:26" s="25" customFormat="1" outlineLevel="1" collapsed="1" x14ac:dyDescent="0.25">
      <c r="A89" s="26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SUM(OSRRefD22_18x_0)</f>
        <v>0</v>
      </c>
      <c r="E89" s="1"/>
      <c r="F89" s="5">
        <f t="shared" si="52"/>
        <v>0</v>
      </c>
      <c r="G89" s="1"/>
      <c r="H89" s="1">
        <f>SUM(OSRRefH22_18x_0)</f>
        <v>-267.27999999999997</v>
      </c>
      <c r="I89" s="1"/>
      <c r="J89" s="5">
        <f t="shared" si="53"/>
        <v>-3.3467971965990534E-4</v>
      </c>
      <c r="K89" s="1"/>
      <c r="L89" s="1">
        <f t="shared" si="54"/>
        <v>267.27999999999997</v>
      </c>
      <c r="M89" s="1"/>
      <c r="N89" s="5">
        <f t="shared" si="55"/>
        <v>-1</v>
      </c>
      <c r="O89" s="13"/>
      <c r="P89" s="1">
        <f>SUM(OSRRefP22_18x_0)</f>
        <v>0</v>
      </c>
      <c r="Q89" s="1"/>
      <c r="R89" s="5">
        <f t="shared" si="56"/>
        <v>0</v>
      </c>
      <c r="S89" s="1"/>
      <c r="T89" s="1">
        <f>SUM(OSRRefT22_18x_0)</f>
        <v>1739.28</v>
      </c>
      <c r="U89" s="1"/>
      <c r="V89" s="5">
        <f t="shared" si="57"/>
        <v>2.8567514140404574E-4</v>
      </c>
      <c r="W89" s="1"/>
      <c r="X89" s="1">
        <f t="shared" si="58"/>
        <v>-1739.28</v>
      </c>
      <c r="Y89" s="1"/>
      <c r="Z89" s="5">
        <f t="shared" si="59"/>
        <v>-1</v>
      </c>
    </row>
    <row r="90" spans="1:26" s="24" customFormat="1" hidden="1" outlineLevel="2" x14ac:dyDescent="0.25">
      <c r="A90" s="27"/>
      <c r="B90" s="11" t="str">
        <f>CONCATENATE("          ", "6292", " - ", "TRAVEL/CONFERENCE")</f>
        <v xml:space="preserve">          6292 - TRAVEL/CONFERENCE</v>
      </c>
      <c r="C90" s="11"/>
      <c r="D90" s="7"/>
      <c r="E90" s="2"/>
      <c r="F90" s="6">
        <f t="shared" si="52"/>
        <v>0</v>
      </c>
      <c r="G90" s="2"/>
      <c r="H90" s="7">
        <v>-267.27999999999997</v>
      </c>
      <c r="I90" s="2"/>
      <c r="J90" s="6">
        <f t="shared" si="53"/>
        <v>-3.3467971965990534E-4</v>
      </c>
      <c r="K90" s="2"/>
      <c r="L90" s="7">
        <f t="shared" si="54"/>
        <v>267.27999999999997</v>
      </c>
      <c r="M90" s="2"/>
      <c r="N90" s="6">
        <f t="shared" si="55"/>
        <v>-1</v>
      </c>
      <c r="O90" s="11"/>
      <c r="P90" s="7"/>
      <c r="Q90" s="2"/>
      <c r="R90" s="6">
        <f t="shared" si="56"/>
        <v>0</v>
      </c>
      <c r="S90" s="2"/>
      <c r="T90" s="7">
        <v>1739.28</v>
      </c>
      <c r="U90" s="2"/>
      <c r="V90" s="6">
        <f t="shared" si="57"/>
        <v>2.8567514140404574E-4</v>
      </c>
      <c r="W90" s="2"/>
      <c r="X90" s="7">
        <f t="shared" si="58"/>
        <v>-1739.28</v>
      </c>
      <c r="Y90" s="2"/>
      <c r="Z90" s="6">
        <f t="shared" si="59"/>
        <v>-1</v>
      </c>
    </row>
    <row r="91" spans="1:26" s="55" customFormat="1" x14ac:dyDescent="0.25">
      <c r="A91" s="37"/>
      <c r="B91" s="37"/>
      <c r="C91" s="37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7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x14ac:dyDescent="0.25">
      <c r="A92" s="10"/>
      <c r="B92" s="29" t="s">
        <v>0</v>
      </c>
      <c r="C92" s="10"/>
      <c r="D92" s="4">
        <f>SUM(0)</f>
        <v>0</v>
      </c>
      <c r="E92" s="4"/>
      <c r="F92" s="12">
        <f>IF(D$12=0,0,D92/D$12)</f>
        <v>0</v>
      </c>
      <c r="G92" s="4"/>
      <c r="H92" s="4">
        <f>SUM(0)</f>
        <v>0</v>
      </c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>
        <f>SUM(0)</f>
        <v>0</v>
      </c>
      <c r="Q92" s="4"/>
      <c r="R92" s="12">
        <f>IF(P$12=0,0,P92/P$12)</f>
        <v>0</v>
      </c>
      <c r="S92" s="4"/>
      <c r="T92" s="4">
        <f>SUM(0)</f>
        <v>0</v>
      </c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10"/>
      <c r="B94" s="28" t="s">
        <v>3</v>
      </c>
      <c r="C94" s="28"/>
      <c r="D94" s="20">
        <f>+D23-D25+D92</f>
        <v>-198007.27999999997</v>
      </c>
      <c r="E94" s="14"/>
      <c r="F94" s="21">
        <f>IF(D$12=0,0,D94/D$12)</f>
        <v>-2.3273365482307482</v>
      </c>
      <c r="G94" s="14"/>
      <c r="H94" s="20">
        <f>+H23-H25+H92</f>
        <v>186146.40000000014</v>
      </c>
      <c r="I94" s="14"/>
      <c r="J94" s="21">
        <f>IF(H$12=0,0,H94/H$12)</f>
        <v>0.23308674411740743</v>
      </c>
      <c r="K94" s="15"/>
      <c r="L94" s="20">
        <f>+D94-H94</f>
        <v>-384153.68000000011</v>
      </c>
      <c r="M94" s="15"/>
      <c r="N94" s="21">
        <f>IF(H94=0,0,L94/H94)</f>
        <v>-2.063718019795171</v>
      </c>
      <c r="O94" s="29"/>
      <c r="P94" s="20">
        <f>+P23-P25+P92</f>
        <v>-1017832.4499999996</v>
      </c>
      <c r="Q94" s="14"/>
      <c r="R94" s="21">
        <f>IF(P$12=0,0,P94/P$12)</f>
        <v>-1.5991086785156554</v>
      </c>
      <c r="S94" s="14"/>
      <c r="T94" s="20">
        <f>+T23-T25+T92</f>
        <v>1679752.7200000011</v>
      </c>
      <c r="U94" s="14"/>
      <c r="V94" s="21">
        <f>IF(T$12=0,0,T94/T$12)</f>
        <v>0.27589784037638032</v>
      </c>
      <c r="W94" s="15"/>
      <c r="X94" s="20">
        <f>+P94-T94</f>
        <v>-2697585.1700000009</v>
      </c>
      <c r="Y94" s="15"/>
      <c r="Z94" s="21">
        <f>IF(T94=0,0,X94/T94)</f>
        <v>-1.6059418376771546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51"/>
      <c r="B96" s="10" t="s">
        <v>13</v>
      </c>
      <c r="C96" s="10"/>
      <c r="D96" s="4">
        <v>30145.139999999996</v>
      </c>
      <c r="E96" s="4"/>
      <c r="F96" s="12">
        <f>IF(D$12=0,0,D96/D$12)</f>
        <v>0.35431973043381365</v>
      </c>
      <c r="G96" s="4"/>
      <c r="H96" s="4">
        <v>97441.41</v>
      </c>
      <c r="I96" s="4"/>
      <c r="J96" s="12">
        <f>IF(H$12=0,0,H96/H$12)</f>
        <v>0.1220131090319736</v>
      </c>
      <c r="K96" s="4"/>
      <c r="L96" s="4">
        <f>+D96-H96</f>
        <v>-67296.27</v>
      </c>
      <c r="M96" s="4"/>
      <c r="N96" s="12">
        <f>IF(H96=0,0,L96/H96)</f>
        <v>-0.69063317125645041</v>
      </c>
      <c r="O96" s="10"/>
      <c r="P96" s="4">
        <v>117765.94</v>
      </c>
      <c r="Q96" s="4"/>
      <c r="R96" s="12">
        <f>IF(P$12=0,0,P96/P$12)</f>
        <v>0.18502115617118911</v>
      </c>
      <c r="S96" s="4"/>
      <c r="T96" s="4">
        <v>657584.82000000007</v>
      </c>
      <c r="U96" s="4"/>
      <c r="V96" s="12">
        <f>IF(T$12=0,0,T96/T$12)</f>
        <v>0.10800770228982912</v>
      </c>
      <c r="W96" s="4"/>
      <c r="X96" s="4">
        <f>+P96-T96</f>
        <v>-539818.88000000012</v>
      </c>
      <c r="Y96" s="4"/>
      <c r="Z96" s="12">
        <f>IF(T96=0,0,X96/T96)</f>
        <v>-0.82091140729191414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4</v>
      </c>
      <c r="C98" s="28"/>
      <c r="D98" s="33">
        <f>+D94-D96</f>
        <v>-228152.41999999995</v>
      </c>
      <c r="E98" s="14"/>
      <c r="F98" s="34">
        <f>IF(D$12=0,0,D98/D$12)</f>
        <v>-2.6816562786645619</v>
      </c>
      <c r="G98" s="14"/>
      <c r="H98" s="33">
        <f>+H94-H96</f>
        <v>88704.990000000136</v>
      </c>
      <c r="I98" s="14"/>
      <c r="J98" s="34">
        <f>IF(H$12=0,0,H98/H$12)</f>
        <v>0.11107363508543384</v>
      </c>
      <c r="K98" s="15"/>
      <c r="L98" s="33">
        <f>D98-H98</f>
        <v>-316857.41000000009</v>
      </c>
      <c r="M98" s="15"/>
      <c r="N98" s="34">
        <f>IF(H98=0,0,L98/H98)</f>
        <v>-3.5720359136504003</v>
      </c>
      <c r="O98" s="29"/>
      <c r="P98" s="33">
        <f>+P94-P96</f>
        <v>-1135598.3899999997</v>
      </c>
      <c r="Q98" s="14"/>
      <c r="R98" s="34">
        <f>IF(P$12=0,0,P98/P$12)</f>
        <v>-1.7841298346868446</v>
      </c>
      <c r="S98" s="14"/>
      <c r="T98" s="33">
        <f>+T94-T96</f>
        <v>1022167.9000000011</v>
      </c>
      <c r="U98" s="14"/>
      <c r="V98" s="34">
        <f>IF(T$12=0,0,T98/T$12)</f>
        <v>0.1678901380865512</v>
      </c>
      <c r="W98" s="15"/>
      <c r="X98" s="33">
        <f>P98-T98</f>
        <v>-2157766.290000001</v>
      </c>
      <c r="Y98" s="15"/>
      <c r="Z98" s="34">
        <f>IF(T98=0,0,X98/T98)</f>
        <v>-2.1109705069000881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8" t="s">
        <v>5</v>
      </c>
      <c r="C101" s="28"/>
      <c r="D101" s="30">
        <f>SUM(D98:D100)</f>
        <v>-228152.41999999995</v>
      </c>
      <c r="E101" s="14"/>
      <c r="F101" s="32">
        <f>IF(D$12=0,0,D101/D$12)</f>
        <v>-2.6816562786645619</v>
      </c>
      <c r="G101" s="14"/>
      <c r="H101" s="30">
        <f>SUM(H98:H100)</f>
        <v>88704.990000000136</v>
      </c>
      <c r="I101" s="14"/>
      <c r="J101" s="32">
        <f>IF(H$12=0,0,H101/H$12)</f>
        <v>0.11107363508543384</v>
      </c>
      <c r="K101" s="15"/>
      <c r="L101" s="30">
        <f>+D101-H101</f>
        <v>-316857.41000000009</v>
      </c>
      <c r="M101" s="15"/>
      <c r="N101" s="32">
        <f>IF(H101=0,0,L101/H101)</f>
        <v>-3.5720359136504003</v>
      </c>
      <c r="O101" s="29"/>
      <c r="P101" s="30">
        <f>SUM(P98:P100)</f>
        <v>-1135598.3899999997</v>
      </c>
      <c r="Q101" s="14"/>
      <c r="R101" s="32">
        <f>IF(P$12=0,0,P101/P$12)</f>
        <v>-1.7841298346868446</v>
      </c>
      <c r="S101" s="14"/>
      <c r="T101" s="30">
        <f>SUM(T98:T100)</f>
        <v>1022167.9000000011</v>
      </c>
      <c r="U101" s="14"/>
      <c r="V101" s="32">
        <f>IF(T$12=0,0,T101/T$12)</f>
        <v>0.1678901380865512</v>
      </c>
      <c r="W101" s="15"/>
      <c r="X101" s="30">
        <f>+P101-T101</f>
        <v>-2157766.290000001</v>
      </c>
      <c r="Y101" s="15"/>
      <c r="Z101" s="32">
        <f>IF(T101=0,0,X101/T101)</f>
        <v>-2.1109705069000881</v>
      </c>
    </row>
    <row r="102" spans="1:26" ht="15.75" thickTop="1" x14ac:dyDescent="0.25">
      <c r="A102" s="9"/>
      <c r="C102" s="9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8">
        <v>44209.521508599537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61" t="s">
        <v>313</v>
      </c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57"/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","430", " - ", "Res Hall Management")</f>
        <v>Department 430 - Res Hall Management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1">
        <f>IF(D$12=0,0,D16/D$12)</f>
        <v>0</v>
      </c>
      <c r="G16" s="14"/>
      <c r="H16" s="20">
        <f>H12-H14</f>
        <v>0</v>
      </c>
      <c r="I16" s="14"/>
      <c r="J16" s="21">
        <f>IF(H$12=0,0,H16/H$12)</f>
        <v>0</v>
      </c>
      <c r="K16" s="15"/>
      <c r="L16" s="20">
        <f>+D16-H16</f>
        <v>0</v>
      </c>
      <c r="M16" s="15"/>
      <c r="N16" s="21">
        <f>IF(H16=0,0,L16/H16)</f>
        <v>0</v>
      </c>
      <c r="O16" s="29"/>
      <c r="P16" s="20">
        <f>P12-P14</f>
        <v>0</v>
      </c>
      <c r="Q16" s="14"/>
      <c r="R16" s="21">
        <f>IF(P$12=0,0,P16/P$12)</f>
        <v>0</v>
      </c>
      <c r="S16" s="14"/>
      <c r="T16" s="20">
        <f>T12-T14</f>
        <v>0</v>
      </c>
      <c r="U16" s="14"/>
      <c r="V16" s="21">
        <f>IF(T$12=0,0,T16/T$12)</f>
        <v>0</v>
      </c>
      <c r="W16" s="15"/>
      <c r="X16" s="20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2">
        <f>SUM(OSRRefD22x_0)</f>
        <v>17675.349999999999</v>
      </c>
      <c r="E18" s="22"/>
      <c r="F18" s="36">
        <f t="shared" ref="F18:F27" si="0">IF(D$12=0,0,D18/D$12)</f>
        <v>0</v>
      </c>
      <c r="G18" s="22"/>
      <c r="H18" s="22">
        <f>SUM(OSRRefH22x_0)</f>
        <v>14772.26</v>
      </c>
      <c r="I18" s="22"/>
      <c r="J18" s="36">
        <f t="shared" ref="J18:J27" si="1">IF(H$12=0,0,H18/H$12)</f>
        <v>0</v>
      </c>
      <c r="K18" s="4"/>
      <c r="L18" s="22">
        <f t="shared" ref="L18:L27" si="2">+D18-H18</f>
        <v>2903.0899999999983</v>
      </c>
      <c r="M18" s="4"/>
      <c r="N18" s="36">
        <f t="shared" ref="N18:N27" si="3">IF(H18=0,0,L18/H18)</f>
        <v>0.19652307771458113</v>
      </c>
      <c r="O18" s="10"/>
      <c r="P18" s="22">
        <f>SUM(OSRRefP22x_0)</f>
        <v>97828.569999999992</v>
      </c>
      <c r="Q18" s="22"/>
      <c r="R18" s="36">
        <f t="shared" ref="R18:R27" si="4">IF(P$12=0,0,P18/P$12)</f>
        <v>0</v>
      </c>
      <c r="S18" s="22"/>
      <c r="T18" s="22">
        <f>SUM(OSRRefT22x_0)</f>
        <v>92531.800000000017</v>
      </c>
      <c r="U18" s="22"/>
      <c r="V18" s="36">
        <f t="shared" ref="V18:V27" si="5">IF(T$12=0,0,T18/T$12)</f>
        <v>0</v>
      </c>
      <c r="W18" s="4"/>
      <c r="X18" s="22">
        <f t="shared" ref="X18:X27" si="6">+P18-T18</f>
        <v>5296.769999999975</v>
      </c>
      <c r="Y18" s="4"/>
      <c r="Z18" s="36">
        <f t="shared" ref="Z18:Z27" si="7">IF(T18=0,0,X18/T18)</f>
        <v>5.7242699266630219E-2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6061.76</v>
      </c>
      <c r="E19" s="1"/>
      <c r="F19" s="5">
        <f t="shared" si="0"/>
        <v>0</v>
      </c>
      <c r="G19" s="1"/>
      <c r="H19" s="1">
        <f>SUM(OSRRefH22_0x_0)</f>
        <v>5667.8899999999994</v>
      </c>
      <c r="I19" s="1"/>
      <c r="J19" s="5">
        <f t="shared" si="1"/>
        <v>0</v>
      </c>
      <c r="K19" s="1"/>
      <c r="L19" s="1">
        <f t="shared" si="2"/>
        <v>393.8700000000008</v>
      </c>
      <c r="M19" s="1"/>
      <c r="N19" s="5">
        <f t="shared" si="3"/>
        <v>6.9491468606483336E-2</v>
      </c>
      <c r="O19" s="13"/>
      <c r="P19" s="1">
        <f>SUM(OSRRefP22_0x_0)</f>
        <v>35678.46</v>
      </c>
      <c r="Q19" s="1"/>
      <c r="R19" s="5">
        <f t="shared" si="4"/>
        <v>0</v>
      </c>
      <c r="S19" s="1"/>
      <c r="T19" s="1">
        <f>SUM(OSRRefT22_0x_0)</f>
        <v>35410.550000000003</v>
      </c>
      <c r="U19" s="1"/>
      <c r="V19" s="5">
        <f t="shared" si="5"/>
        <v>0</v>
      </c>
      <c r="W19" s="1"/>
      <c r="X19" s="1">
        <f t="shared" si="6"/>
        <v>267.90999999999622</v>
      </c>
      <c r="Y19" s="1"/>
      <c r="Z19" s="5">
        <f t="shared" si="7"/>
        <v>7.5658243094218021E-3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7">
        <v>685.42</v>
      </c>
      <c r="E20" s="2"/>
      <c r="F20" s="6">
        <f t="shared" si="0"/>
        <v>0</v>
      </c>
      <c r="G20" s="2"/>
      <c r="H20" s="7">
        <v>637.97</v>
      </c>
      <c r="I20" s="2"/>
      <c r="J20" s="6">
        <f t="shared" si="1"/>
        <v>0</v>
      </c>
      <c r="K20" s="2"/>
      <c r="L20" s="7">
        <f t="shared" si="2"/>
        <v>47.449999999999932</v>
      </c>
      <c r="M20" s="2"/>
      <c r="N20" s="6">
        <f t="shared" si="3"/>
        <v>7.4376538081727867E-2</v>
      </c>
      <c r="O20" s="11"/>
      <c r="P20" s="7">
        <v>4672.5</v>
      </c>
      <c r="Q20" s="2"/>
      <c r="R20" s="6">
        <f t="shared" si="4"/>
        <v>0</v>
      </c>
      <c r="S20" s="2"/>
      <c r="T20" s="7">
        <v>4915.54</v>
      </c>
      <c r="U20" s="2"/>
      <c r="V20" s="6">
        <f t="shared" si="5"/>
        <v>0</v>
      </c>
      <c r="W20" s="2"/>
      <c r="X20" s="7">
        <f t="shared" si="6"/>
        <v>-243.03999999999996</v>
      </c>
      <c r="Y20" s="2"/>
      <c r="Z20" s="6">
        <f t="shared" si="7"/>
        <v>-4.9443194440488732E-2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688.97</v>
      </c>
      <c r="E21" s="2"/>
      <c r="F21" s="6">
        <f t="shared" si="0"/>
        <v>0</v>
      </c>
      <c r="G21" s="2"/>
      <c r="H21" s="7">
        <v>474.04</v>
      </c>
      <c r="I21" s="2"/>
      <c r="J21" s="6">
        <f t="shared" si="1"/>
        <v>0</v>
      </c>
      <c r="K21" s="2"/>
      <c r="L21" s="7">
        <f t="shared" si="2"/>
        <v>214.93</v>
      </c>
      <c r="M21" s="2"/>
      <c r="N21" s="6">
        <f t="shared" si="3"/>
        <v>0.45340055691502829</v>
      </c>
      <c r="O21" s="11"/>
      <c r="P21" s="7">
        <v>2915.38</v>
      </c>
      <c r="Q21" s="2"/>
      <c r="R21" s="6">
        <f t="shared" si="4"/>
        <v>0</v>
      </c>
      <c r="S21" s="2"/>
      <c r="T21" s="7">
        <v>1902.75</v>
      </c>
      <c r="U21" s="2"/>
      <c r="V21" s="6">
        <f t="shared" si="5"/>
        <v>0</v>
      </c>
      <c r="W21" s="2"/>
      <c r="X21" s="7">
        <f t="shared" si="6"/>
        <v>1012.6300000000001</v>
      </c>
      <c r="Y21" s="2"/>
      <c r="Z21" s="6">
        <f t="shared" si="7"/>
        <v>0.53219287872815668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7">
        <v>2737.9</v>
      </c>
      <c r="E22" s="2"/>
      <c r="F22" s="6">
        <f t="shared" si="0"/>
        <v>0</v>
      </c>
      <c r="G22" s="2"/>
      <c r="H22" s="7">
        <v>2730.6</v>
      </c>
      <c r="I22" s="2"/>
      <c r="J22" s="6">
        <f t="shared" si="1"/>
        <v>0</v>
      </c>
      <c r="K22" s="2"/>
      <c r="L22" s="7">
        <f t="shared" si="2"/>
        <v>7.3000000000001819</v>
      </c>
      <c r="M22" s="2"/>
      <c r="N22" s="6">
        <f t="shared" si="3"/>
        <v>2.6734051124295694E-3</v>
      </c>
      <c r="O22" s="11"/>
      <c r="P22" s="7">
        <v>16427.400000000001</v>
      </c>
      <c r="Q22" s="2"/>
      <c r="R22" s="6">
        <f t="shared" si="4"/>
        <v>0</v>
      </c>
      <c r="S22" s="2"/>
      <c r="T22" s="7">
        <v>16383.6</v>
      </c>
      <c r="U22" s="2"/>
      <c r="V22" s="6">
        <f t="shared" si="5"/>
        <v>0</v>
      </c>
      <c r="W22" s="2"/>
      <c r="X22" s="7">
        <f t="shared" si="6"/>
        <v>43.800000000001091</v>
      </c>
      <c r="Y22" s="2"/>
      <c r="Z22" s="6">
        <f t="shared" si="7"/>
        <v>2.6734051124295694E-3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31.77</v>
      </c>
      <c r="I23" s="2"/>
      <c r="J23" s="6">
        <f t="shared" si="1"/>
        <v>0</v>
      </c>
      <c r="K23" s="2"/>
      <c r="L23" s="7">
        <f t="shared" si="2"/>
        <v>-31.77</v>
      </c>
      <c r="M23" s="2"/>
      <c r="N23" s="6">
        <f t="shared" si="3"/>
        <v>-1</v>
      </c>
      <c r="O23" s="11"/>
      <c r="P23" s="7">
        <v>134.91999999999999</v>
      </c>
      <c r="Q23" s="2"/>
      <c r="R23" s="6">
        <f t="shared" si="4"/>
        <v>0</v>
      </c>
      <c r="S23" s="2"/>
      <c r="T23" s="7">
        <v>166.57</v>
      </c>
      <c r="U23" s="2"/>
      <c r="V23" s="6">
        <f t="shared" si="5"/>
        <v>0</v>
      </c>
      <c r="W23" s="2"/>
      <c r="X23" s="7">
        <f t="shared" si="6"/>
        <v>-31.650000000000006</v>
      </c>
      <c r="Y23" s="2"/>
      <c r="Z23" s="6">
        <f t="shared" si="7"/>
        <v>-0.19001020591943332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7">
        <v>692.57</v>
      </c>
      <c r="E24" s="2"/>
      <c r="F24" s="6">
        <f t="shared" si="0"/>
        <v>0</v>
      </c>
      <c r="G24" s="2"/>
      <c r="H24" s="7">
        <v>568.92999999999995</v>
      </c>
      <c r="I24" s="2"/>
      <c r="J24" s="6">
        <f t="shared" si="1"/>
        <v>0</v>
      </c>
      <c r="K24" s="2"/>
      <c r="L24" s="7">
        <f t="shared" si="2"/>
        <v>123.6400000000001</v>
      </c>
      <c r="M24" s="2"/>
      <c r="N24" s="6">
        <f t="shared" si="3"/>
        <v>0.21732023271755771</v>
      </c>
      <c r="O24" s="11"/>
      <c r="P24" s="7">
        <v>4501.71</v>
      </c>
      <c r="Q24" s="2"/>
      <c r="R24" s="6">
        <f t="shared" si="4"/>
        <v>0</v>
      </c>
      <c r="S24" s="2"/>
      <c r="T24" s="7">
        <v>3413.58</v>
      </c>
      <c r="U24" s="2"/>
      <c r="V24" s="6">
        <f t="shared" si="5"/>
        <v>0</v>
      </c>
      <c r="W24" s="2"/>
      <c r="X24" s="7">
        <f t="shared" si="6"/>
        <v>1088.1300000000001</v>
      </c>
      <c r="Y24" s="2"/>
      <c r="Z24" s="6">
        <f t="shared" si="7"/>
        <v>0.31876505018192047</v>
      </c>
    </row>
    <row r="25" spans="1:26" s="24" customFormat="1" hidden="1" outlineLevel="2" x14ac:dyDescent="0.25">
      <c r="A25" s="27"/>
      <c r="B25" s="11" t="str">
        <f>CONCATENATE("          ", "6118", " - ", "VACATION")</f>
        <v xml:space="preserve">          6118 - VACATION</v>
      </c>
      <c r="C25" s="11"/>
      <c r="D25" s="7">
        <v>827.64</v>
      </c>
      <c r="E25" s="2"/>
      <c r="F25" s="6">
        <f t="shared" si="0"/>
        <v>0</v>
      </c>
      <c r="G25" s="2"/>
      <c r="H25" s="7">
        <v>752.4</v>
      </c>
      <c r="I25" s="2"/>
      <c r="J25" s="6">
        <f t="shared" si="1"/>
        <v>0</v>
      </c>
      <c r="K25" s="2"/>
      <c r="L25" s="7">
        <f t="shared" si="2"/>
        <v>75.240000000000009</v>
      </c>
      <c r="M25" s="2"/>
      <c r="N25" s="6">
        <f t="shared" si="3"/>
        <v>0.10000000000000002</v>
      </c>
      <c r="O25" s="11"/>
      <c r="P25" s="7">
        <v>4172.3599999999997</v>
      </c>
      <c r="Q25" s="2"/>
      <c r="R25" s="6">
        <f t="shared" si="4"/>
        <v>0</v>
      </c>
      <c r="S25" s="2"/>
      <c r="T25" s="7">
        <v>5231.05</v>
      </c>
      <c r="U25" s="2"/>
      <c r="V25" s="6">
        <f t="shared" si="5"/>
        <v>0</v>
      </c>
      <c r="W25" s="2"/>
      <c r="X25" s="7">
        <f t="shared" si="6"/>
        <v>-1058.6900000000005</v>
      </c>
      <c r="Y25" s="2"/>
      <c r="Z25" s="6">
        <f t="shared" si="7"/>
        <v>-0.20238575429407107</v>
      </c>
    </row>
    <row r="26" spans="1:26" s="24" customFormat="1" hidden="1" outlineLevel="2" x14ac:dyDescent="0.25">
      <c r="A26" s="27"/>
      <c r="B26" s="11" t="str">
        <f>CONCATENATE("          ", "6119", " - ", "SICK LEAVE")</f>
        <v xml:space="preserve">          6119 - SICK LEAVE</v>
      </c>
      <c r="C26" s="11"/>
      <c r="D26" s="7">
        <v>413.26</v>
      </c>
      <c r="E26" s="2"/>
      <c r="F26" s="6">
        <f t="shared" si="0"/>
        <v>0</v>
      </c>
      <c r="G26" s="2"/>
      <c r="H26" s="7">
        <v>375.68</v>
      </c>
      <c r="I26" s="2"/>
      <c r="J26" s="6">
        <f t="shared" si="1"/>
        <v>0</v>
      </c>
      <c r="K26" s="2"/>
      <c r="L26" s="7">
        <f t="shared" si="2"/>
        <v>37.579999999999984</v>
      </c>
      <c r="M26" s="2"/>
      <c r="N26" s="6">
        <f t="shared" si="3"/>
        <v>0.10003194207836452</v>
      </c>
      <c r="O26" s="11"/>
      <c r="P26" s="7">
        <v>2686.19</v>
      </c>
      <c r="Q26" s="2"/>
      <c r="R26" s="6">
        <f t="shared" si="4"/>
        <v>0</v>
      </c>
      <c r="S26" s="2"/>
      <c r="T26" s="7">
        <v>2672.42</v>
      </c>
      <c r="U26" s="2"/>
      <c r="V26" s="6">
        <f t="shared" si="5"/>
        <v>0</v>
      </c>
      <c r="W26" s="2"/>
      <c r="X26" s="7">
        <f t="shared" si="6"/>
        <v>13.769999999999982</v>
      </c>
      <c r="Y26" s="2"/>
      <c r="Z26" s="6">
        <f t="shared" si="7"/>
        <v>5.1526331938841876E-3</v>
      </c>
    </row>
    <row r="27" spans="1:26" s="24" customFormat="1" hidden="1" outlineLevel="2" x14ac:dyDescent="0.25">
      <c r="A27" s="27"/>
      <c r="B27" s="11" t="str">
        <f>CONCATENATE("          ", "6156", " - ", "EMPLOYEE MEALS")</f>
        <v xml:space="preserve">          6156 - EMPLOYEE MEALS</v>
      </c>
      <c r="C27" s="11"/>
      <c r="D27" s="7">
        <v>16</v>
      </c>
      <c r="E27" s="2"/>
      <c r="F27" s="6">
        <f t="shared" si="0"/>
        <v>0</v>
      </c>
      <c r="G27" s="2"/>
      <c r="H27" s="7">
        <v>96.5</v>
      </c>
      <c r="I27" s="2"/>
      <c r="J27" s="6">
        <f t="shared" si="1"/>
        <v>0</v>
      </c>
      <c r="K27" s="2"/>
      <c r="L27" s="7">
        <f t="shared" si="2"/>
        <v>-80.5</v>
      </c>
      <c r="M27" s="2"/>
      <c r="N27" s="6">
        <f t="shared" si="3"/>
        <v>-0.83419689119170981</v>
      </c>
      <c r="O27" s="11"/>
      <c r="P27" s="7">
        <v>168</v>
      </c>
      <c r="Q27" s="2"/>
      <c r="R27" s="6">
        <f t="shared" si="4"/>
        <v>0</v>
      </c>
      <c r="S27" s="2"/>
      <c r="T27" s="7">
        <v>725.04</v>
      </c>
      <c r="U27" s="2"/>
      <c r="V27" s="6">
        <f t="shared" si="5"/>
        <v>0</v>
      </c>
      <c r="W27" s="2"/>
      <c r="X27" s="7">
        <f t="shared" si="6"/>
        <v>-557.04</v>
      </c>
      <c r="Y27" s="2"/>
      <c r="Z27" s="6">
        <f t="shared" si="7"/>
        <v>-0.76828864614366099</v>
      </c>
    </row>
    <row r="28" spans="1:26" s="25" customFormat="1" outlineLevel="1" collapsed="1" x14ac:dyDescent="0.25">
      <c r="A28" s="26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8063.59</v>
      </c>
      <c r="E28" s="1"/>
      <c r="F28" s="5">
        <f t="shared" ref="F28:F36" si="8">IF(D$12=0,0,D28/D$12)</f>
        <v>0</v>
      </c>
      <c r="G28" s="1"/>
      <c r="H28" s="1">
        <f>SUM(OSRRefH22_1x_0)</f>
        <v>7330.54</v>
      </c>
      <c r="I28" s="1"/>
      <c r="J28" s="5">
        <f t="shared" ref="J28:J36" si="9">IF(H$12=0,0,H28/H$12)</f>
        <v>0</v>
      </c>
      <c r="K28" s="1"/>
      <c r="L28" s="1">
        <f t="shared" ref="L28:L36" si="10">+D28-H28</f>
        <v>733.05000000000018</v>
      </c>
      <c r="M28" s="1"/>
      <c r="N28" s="5">
        <f t="shared" ref="N28:N36" si="11">IF(H28=0,0,L28/H28)</f>
        <v>9.9999454337606805E-2</v>
      </c>
      <c r="O28" s="13"/>
      <c r="P28" s="1">
        <f>SUM(OSRRefP22_1x_0)</f>
        <v>53309.26</v>
      </c>
      <c r="Q28" s="1"/>
      <c r="R28" s="5">
        <f t="shared" ref="R28:R36" si="12">IF(P$12=0,0,P28/P$12)</f>
        <v>0</v>
      </c>
      <c r="S28" s="1"/>
      <c r="T28" s="1">
        <f>SUM(OSRRefT22_1x_0)</f>
        <v>45612.24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7697.0200000000041</v>
      </c>
      <c r="Y28" s="1"/>
      <c r="Z28" s="5">
        <f t="shared" ref="Z28:Z36" si="15">IF(T28=0,0,X28/T28)</f>
        <v>0.16874900246074309</v>
      </c>
    </row>
    <row r="29" spans="1:26" s="24" customFormat="1" hidden="1" outlineLevel="2" x14ac:dyDescent="0.25">
      <c r="A29" s="27"/>
      <c r="B29" s="11" t="str">
        <f>CONCATENATE("          ", "6001", " - ", "ADMINISTRATIVE SALARIES")</f>
        <v xml:space="preserve">          6001 - ADMINISTRATIVE SALARIES</v>
      </c>
      <c r="C29" s="11"/>
      <c r="D29" s="7">
        <v>8063.59</v>
      </c>
      <c r="E29" s="2"/>
      <c r="F29" s="6">
        <f t="shared" si="8"/>
        <v>0</v>
      </c>
      <c r="G29" s="2"/>
      <c r="H29" s="7">
        <v>7330.54</v>
      </c>
      <c r="I29" s="2"/>
      <c r="J29" s="6">
        <f t="shared" si="9"/>
        <v>0</v>
      </c>
      <c r="K29" s="2"/>
      <c r="L29" s="7">
        <f t="shared" si="10"/>
        <v>733.05000000000018</v>
      </c>
      <c r="M29" s="2"/>
      <c r="N29" s="6">
        <f t="shared" si="11"/>
        <v>9.9999454337606805E-2</v>
      </c>
      <c r="O29" s="11"/>
      <c r="P29" s="7">
        <v>53309.26</v>
      </c>
      <c r="Q29" s="2"/>
      <c r="R29" s="6">
        <f t="shared" si="12"/>
        <v>0</v>
      </c>
      <c r="S29" s="2"/>
      <c r="T29" s="7">
        <v>45612.24</v>
      </c>
      <c r="U29" s="2"/>
      <c r="V29" s="6">
        <f t="shared" si="13"/>
        <v>0</v>
      </c>
      <c r="W29" s="2"/>
      <c r="X29" s="7">
        <f t="shared" si="14"/>
        <v>7697.0200000000041</v>
      </c>
      <c r="Y29" s="2"/>
      <c r="Z29" s="6">
        <f t="shared" si="15"/>
        <v>0.16874900246074309</v>
      </c>
    </row>
    <row r="30" spans="1:26" s="25" customFormat="1" outlineLevel="1" collapsed="1" x14ac:dyDescent="0.25">
      <c r="A30" s="26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3"/>
      <c r="P30" s="1">
        <f>SUM(OSRRefP22_2x_0)</f>
        <v>1.65</v>
      </c>
      <c r="Q30" s="1"/>
      <c r="R30" s="5">
        <f t="shared" si="12"/>
        <v>0</v>
      </c>
      <c r="S30" s="1"/>
      <c r="T30" s="1">
        <f>SUM(OSRRefT22_2x_0)</f>
        <v>214.55</v>
      </c>
      <c r="U30" s="1"/>
      <c r="V30" s="5">
        <f t="shared" si="13"/>
        <v>0</v>
      </c>
      <c r="W30" s="1"/>
      <c r="X30" s="1">
        <f t="shared" si="14"/>
        <v>-212.9</v>
      </c>
      <c r="Y30" s="1"/>
      <c r="Z30" s="5">
        <f t="shared" si="15"/>
        <v>-0.99230948496853877</v>
      </c>
    </row>
    <row r="31" spans="1:26" s="24" customFormat="1" hidden="1" outlineLevel="2" x14ac:dyDescent="0.25">
      <c r="A31" s="27"/>
      <c r="B31" s="11" t="str">
        <f>CONCATENATE("          ", "6279", " - ", "GENERAL EXPENSE")</f>
        <v xml:space="preserve">          6279 - GENERAL EXPENSE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1.65</v>
      </c>
      <c r="Q31" s="2"/>
      <c r="R31" s="6">
        <f t="shared" si="12"/>
        <v>0</v>
      </c>
      <c r="S31" s="2"/>
      <c r="T31" s="7">
        <v>214.55</v>
      </c>
      <c r="U31" s="2"/>
      <c r="V31" s="6">
        <f t="shared" si="13"/>
        <v>0</v>
      </c>
      <c r="W31" s="2"/>
      <c r="X31" s="7">
        <f t="shared" si="14"/>
        <v>-212.9</v>
      </c>
      <c r="Y31" s="2"/>
      <c r="Z31" s="6">
        <f t="shared" si="15"/>
        <v>-0.99230948496853877</v>
      </c>
    </row>
    <row r="32" spans="1:26" s="25" customFormat="1" outlineLevel="1" collapsed="1" x14ac:dyDescent="0.25">
      <c r="A32" s="26"/>
      <c r="B32" s="13" t="str">
        <f>CONCATENATE("     ","Repair and Maintenance                            ")</f>
        <v xml:space="preserve">     Repair and Maintenance                            </v>
      </c>
      <c r="C32" s="13"/>
      <c r="D32" s="1">
        <f>SUM(OSRRefD22_3x_0)</f>
        <v>3500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3500</v>
      </c>
      <c r="M32" s="1"/>
      <c r="N32" s="5">
        <f t="shared" si="11"/>
        <v>0</v>
      </c>
      <c r="O32" s="13"/>
      <c r="P32" s="1">
        <f>SUM(OSRRefP22_3x_0)</f>
        <v>3500</v>
      </c>
      <c r="Q32" s="1"/>
      <c r="R32" s="5">
        <f t="shared" si="12"/>
        <v>0</v>
      </c>
      <c r="S32" s="1"/>
      <c r="T32" s="1">
        <f>SUM(OSRRefT22_3x_0)</f>
        <v>6340.43</v>
      </c>
      <c r="U32" s="1"/>
      <c r="V32" s="5">
        <f t="shared" si="13"/>
        <v>0</v>
      </c>
      <c r="W32" s="1"/>
      <c r="X32" s="1">
        <f t="shared" si="14"/>
        <v>-2840.4300000000003</v>
      </c>
      <c r="Y32" s="1"/>
      <c r="Z32" s="5">
        <f t="shared" si="15"/>
        <v>-0.44798696618368156</v>
      </c>
    </row>
    <row r="33" spans="1:26" s="24" customFormat="1" hidden="1" outlineLevel="2" x14ac:dyDescent="0.25">
      <c r="A33" s="27"/>
      <c r="B33" s="11" t="str">
        <f>CONCATENATE("          ", "6371", " - ", "COMPUTER SOFTWARE MAINTENANCE")</f>
        <v xml:space="preserve">          6371 - COMPUTER SOFTWARE MAINTENANCE</v>
      </c>
      <c r="C33" s="11"/>
      <c r="D33" s="7">
        <v>3500</v>
      </c>
      <c r="E33" s="2"/>
      <c r="F33" s="6">
        <f t="shared" si="8"/>
        <v>0</v>
      </c>
      <c r="G33" s="2"/>
      <c r="H33" s="7"/>
      <c r="I33" s="2"/>
      <c r="J33" s="6">
        <f t="shared" si="9"/>
        <v>0</v>
      </c>
      <c r="K33" s="2"/>
      <c r="L33" s="7">
        <f t="shared" si="10"/>
        <v>3500</v>
      </c>
      <c r="M33" s="2"/>
      <c r="N33" s="6">
        <f t="shared" si="11"/>
        <v>0</v>
      </c>
      <c r="O33" s="11"/>
      <c r="P33" s="7">
        <v>3500</v>
      </c>
      <c r="Q33" s="2"/>
      <c r="R33" s="6">
        <f t="shared" si="12"/>
        <v>0</v>
      </c>
      <c r="S33" s="2"/>
      <c r="T33" s="7">
        <v>6340.43</v>
      </c>
      <c r="U33" s="2"/>
      <c r="V33" s="6">
        <f t="shared" si="13"/>
        <v>0</v>
      </c>
      <c r="W33" s="2"/>
      <c r="X33" s="7">
        <f t="shared" si="14"/>
        <v>-2840.4300000000003</v>
      </c>
      <c r="Y33" s="2"/>
      <c r="Z33" s="6">
        <f t="shared" si="15"/>
        <v>-0.44798696618368156</v>
      </c>
    </row>
    <row r="34" spans="1:26" s="25" customFormat="1" outlineLevel="1" collapsed="1" x14ac:dyDescent="0.25">
      <c r="A34" s="26"/>
      <c r="B34" s="13" t="str">
        <f>CONCATENATE("     ","Supplies                                          ")</f>
        <v xml:space="preserve">     Supplies                                          </v>
      </c>
      <c r="C34" s="13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94.73</v>
      </c>
      <c r="I34" s="1"/>
      <c r="J34" s="5">
        <f t="shared" si="9"/>
        <v>0</v>
      </c>
      <c r="K34" s="1"/>
      <c r="L34" s="1">
        <f t="shared" si="10"/>
        <v>-94.73</v>
      </c>
      <c r="M34" s="1"/>
      <c r="N34" s="5">
        <f t="shared" si="11"/>
        <v>-1</v>
      </c>
      <c r="O34" s="13"/>
      <c r="P34" s="1">
        <f>SUM(OSRRefP22_4x_0)</f>
        <v>4939.2</v>
      </c>
      <c r="Q34" s="1"/>
      <c r="R34" s="5">
        <f t="shared" si="12"/>
        <v>0</v>
      </c>
      <c r="S34" s="1"/>
      <c r="T34" s="1">
        <f>SUM(OSRRefT22_4x_0)</f>
        <v>2433.04</v>
      </c>
      <c r="U34" s="1"/>
      <c r="V34" s="5">
        <f t="shared" si="13"/>
        <v>0</v>
      </c>
      <c r="W34" s="1"/>
      <c r="X34" s="1">
        <f t="shared" si="14"/>
        <v>2506.16</v>
      </c>
      <c r="Y34" s="1"/>
      <c r="Z34" s="5">
        <f t="shared" si="15"/>
        <v>1.0300529378884029</v>
      </c>
    </row>
    <row r="35" spans="1:26" s="24" customFormat="1" hidden="1" outlineLevel="2" x14ac:dyDescent="0.25">
      <c r="A35" s="27"/>
      <c r="B35" s="11" t="str">
        <f>CONCATENATE("          ", "6235", " - ", "COVID-19 EXPENSES")</f>
        <v xml:space="preserve">          6235 - COVID-19 EXPENSES</v>
      </c>
      <c r="C35" s="11"/>
      <c r="D35" s="7"/>
      <c r="E35" s="2"/>
      <c r="F35" s="6">
        <f t="shared" si="8"/>
        <v>0</v>
      </c>
      <c r="G35" s="2"/>
      <c r="H35" s="7"/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>
        <v>4939.2</v>
      </c>
      <c r="Q35" s="2"/>
      <c r="R35" s="6">
        <f t="shared" si="12"/>
        <v>0</v>
      </c>
      <c r="S35" s="2"/>
      <c r="T35" s="7"/>
      <c r="U35" s="2"/>
      <c r="V35" s="6">
        <f t="shared" si="13"/>
        <v>0</v>
      </c>
      <c r="W35" s="2"/>
      <c r="X35" s="7">
        <f t="shared" si="14"/>
        <v>4939.2</v>
      </c>
      <c r="Y35" s="2"/>
      <c r="Z35" s="6">
        <f t="shared" si="15"/>
        <v>0</v>
      </c>
    </row>
    <row r="36" spans="1:26" s="24" customFormat="1" hidden="1" outlineLevel="2" x14ac:dyDescent="0.25">
      <c r="A36" s="27"/>
      <c r="B36" s="11" t="str">
        <f>CONCATENATE("          ", "6241", " - ", "OFFICE EXPENSE")</f>
        <v xml:space="preserve">          6241 - OFFICE EXPENSE</v>
      </c>
      <c r="C36" s="11"/>
      <c r="D36" s="7"/>
      <c r="E36" s="2"/>
      <c r="F36" s="6">
        <f t="shared" si="8"/>
        <v>0</v>
      </c>
      <c r="G36" s="2"/>
      <c r="H36" s="7">
        <v>94.73</v>
      </c>
      <c r="I36" s="2"/>
      <c r="J36" s="6">
        <f t="shared" si="9"/>
        <v>0</v>
      </c>
      <c r="K36" s="2"/>
      <c r="L36" s="7">
        <f t="shared" si="10"/>
        <v>-94.73</v>
      </c>
      <c r="M36" s="2"/>
      <c r="N36" s="6">
        <f t="shared" si="11"/>
        <v>-1</v>
      </c>
      <c r="O36" s="11"/>
      <c r="P36" s="7"/>
      <c r="Q36" s="2"/>
      <c r="R36" s="6">
        <f t="shared" si="12"/>
        <v>0</v>
      </c>
      <c r="S36" s="2"/>
      <c r="T36" s="7">
        <v>2433.04</v>
      </c>
      <c r="U36" s="2"/>
      <c r="V36" s="6">
        <f t="shared" si="13"/>
        <v>0</v>
      </c>
      <c r="W36" s="2"/>
      <c r="X36" s="7">
        <f t="shared" si="14"/>
        <v>-2433.04</v>
      </c>
      <c r="Y36" s="2"/>
      <c r="Z36" s="6">
        <f t="shared" si="15"/>
        <v>-1</v>
      </c>
    </row>
    <row r="37" spans="1:26" s="25" customFormat="1" outlineLevel="1" collapsed="1" x14ac:dyDescent="0.25">
      <c r="A37" s="26"/>
      <c r="B37" s="13" t="str">
        <f>CONCATENATE("     ","Telephone/Data Lines                              ")</f>
        <v xml:space="preserve">     Telephone/Data Lines                              </v>
      </c>
      <c r="C37" s="13"/>
      <c r="D37" s="1">
        <f>SUM(OSRRefD22_5x_0)</f>
        <v>50</v>
      </c>
      <c r="E37" s="1"/>
      <c r="F37" s="5">
        <f t="shared" ref="F37:F42" si="16">IF(D$12=0,0,D37/D$12)</f>
        <v>0</v>
      </c>
      <c r="G37" s="1"/>
      <c r="H37" s="1">
        <f>SUM(OSRRefH22_5x_0)</f>
        <v>50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0</v>
      </c>
      <c r="M37" s="1"/>
      <c r="N37" s="5">
        <f t="shared" ref="N37:N42" si="19">IF(H37=0,0,L37/H37)</f>
        <v>0</v>
      </c>
      <c r="O37" s="13"/>
      <c r="P37" s="1">
        <f>SUM(OSRRefP22_5x_0)</f>
        <v>400</v>
      </c>
      <c r="Q37" s="1"/>
      <c r="R37" s="5">
        <f t="shared" ref="R37:R42" si="20">IF(P$12=0,0,P37/P$12)</f>
        <v>0</v>
      </c>
      <c r="S37" s="1"/>
      <c r="T37" s="1">
        <f>SUM(OSRRefT22_5x_0)</f>
        <v>-600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1000</v>
      </c>
      <c r="Y37" s="1"/>
      <c r="Z37" s="5">
        <f t="shared" ref="Z37:Z42" si="23">IF(T37=0,0,X37/T37)</f>
        <v>-1.6666666666666667</v>
      </c>
    </row>
    <row r="38" spans="1:26" s="24" customFormat="1" hidden="1" outlineLevel="2" x14ac:dyDescent="0.25">
      <c r="A38" s="27"/>
      <c r="B38" s="11" t="str">
        <f>CONCATENATE("          ", "6309", " - ", "TELEPHONE")</f>
        <v xml:space="preserve">          6309 - TELEPHONE</v>
      </c>
      <c r="C38" s="11"/>
      <c r="D38" s="7">
        <v>50</v>
      </c>
      <c r="E38" s="2"/>
      <c r="F38" s="6">
        <f t="shared" si="16"/>
        <v>0</v>
      </c>
      <c r="G38" s="2"/>
      <c r="H38" s="7">
        <v>50</v>
      </c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>
        <v>400</v>
      </c>
      <c r="Q38" s="2"/>
      <c r="R38" s="6">
        <f t="shared" si="20"/>
        <v>0</v>
      </c>
      <c r="S38" s="2"/>
      <c r="T38" s="7">
        <v>-600</v>
      </c>
      <c r="U38" s="2"/>
      <c r="V38" s="6">
        <f t="shared" si="21"/>
        <v>0</v>
      </c>
      <c r="W38" s="2"/>
      <c r="X38" s="7">
        <f t="shared" si="22"/>
        <v>1000</v>
      </c>
      <c r="Y38" s="2"/>
      <c r="Z38" s="6">
        <f t="shared" si="23"/>
        <v>-1.6666666666666667</v>
      </c>
    </row>
    <row r="39" spans="1:26" s="25" customFormat="1" outlineLevel="1" collapsed="1" x14ac:dyDescent="0.25">
      <c r="A39" s="26"/>
      <c r="B39" s="13" t="str">
        <f>CONCATENATE("     ","Training                                          ")</f>
        <v xml:space="preserve">     Training                                          </v>
      </c>
      <c r="C39" s="13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1629.1</v>
      </c>
      <c r="I39" s="1"/>
      <c r="J39" s="5">
        <f t="shared" si="17"/>
        <v>0</v>
      </c>
      <c r="K39" s="1"/>
      <c r="L39" s="1">
        <f t="shared" si="18"/>
        <v>-1629.1</v>
      </c>
      <c r="M39" s="1"/>
      <c r="N39" s="5">
        <f t="shared" si="19"/>
        <v>-1</v>
      </c>
      <c r="O39" s="13"/>
      <c r="P39" s="1">
        <f>SUM(OSRRefP22_6x_0)</f>
        <v>0</v>
      </c>
      <c r="Q39" s="1"/>
      <c r="R39" s="5">
        <f t="shared" si="20"/>
        <v>0</v>
      </c>
      <c r="S39" s="1"/>
      <c r="T39" s="1">
        <f>SUM(OSRRefT22_6x_0)</f>
        <v>2950.22</v>
      </c>
      <c r="U39" s="1"/>
      <c r="V39" s="5">
        <f t="shared" si="21"/>
        <v>0</v>
      </c>
      <c r="W39" s="1"/>
      <c r="X39" s="1">
        <f t="shared" si="22"/>
        <v>-2950.22</v>
      </c>
      <c r="Y39" s="1"/>
      <c r="Z39" s="5">
        <f t="shared" si="23"/>
        <v>-1</v>
      </c>
    </row>
    <row r="40" spans="1:26" s="24" customFormat="1" hidden="1" outlineLevel="2" x14ac:dyDescent="0.25">
      <c r="A40" s="27"/>
      <c r="B40" s="11" t="str">
        <f>CONCATENATE("          ", "6376", " - ", "TRAINING")</f>
        <v xml:space="preserve">          6376 - TRAINING</v>
      </c>
      <c r="C40" s="11"/>
      <c r="D40" s="7"/>
      <c r="E40" s="2"/>
      <c r="F40" s="6">
        <f t="shared" si="16"/>
        <v>0</v>
      </c>
      <c r="G40" s="2"/>
      <c r="H40" s="7">
        <v>1629.1</v>
      </c>
      <c r="I40" s="2"/>
      <c r="J40" s="6">
        <f t="shared" si="17"/>
        <v>0</v>
      </c>
      <c r="K40" s="2"/>
      <c r="L40" s="7">
        <f t="shared" si="18"/>
        <v>-1629.1</v>
      </c>
      <c r="M40" s="2"/>
      <c r="N40" s="6">
        <f t="shared" si="19"/>
        <v>-1</v>
      </c>
      <c r="O40" s="11"/>
      <c r="P40" s="7"/>
      <c r="Q40" s="2"/>
      <c r="R40" s="6">
        <f t="shared" si="20"/>
        <v>0</v>
      </c>
      <c r="S40" s="2"/>
      <c r="T40" s="7">
        <v>2950.22</v>
      </c>
      <c r="U40" s="2"/>
      <c r="V40" s="6">
        <f t="shared" si="21"/>
        <v>0</v>
      </c>
      <c r="W40" s="2"/>
      <c r="X40" s="7">
        <f t="shared" si="22"/>
        <v>-2950.22</v>
      </c>
      <c r="Y40" s="2"/>
      <c r="Z40" s="6">
        <f t="shared" si="23"/>
        <v>-1</v>
      </c>
    </row>
    <row r="41" spans="1:26" s="25" customFormat="1" outlineLevel="1" collapsed="1" x14ac:dyDescent="0.25">
      <c r="A41" s="26"/>
      <c r="B41" s="13" t="str">
        <f>CONCATENATE("     ","Travel                                            ")</f>
        <v xml:space="preserve">     Travel                                            </v>
      </c>
      <c r="C41" s="13"/>
      <c r="D41" s="1">
        <f>SUM(OSRRefD22_7x_0)</f>
        <v>0</v>
      </c>
      <c r="E41" s="1"/>
      <c r="F41" s="5">
        <f t="shared" si="16"/>
        <v>0</v>
      </c>
      <c r="G41" s="1"/>
      <c r="H41" s="1">
        <f>SUM(OSRRefH22_7x_0)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SUM(OSRRefP22_7x_0)</f>
        <v>0</v>
      </c>
      <c r="Q41" s="1"/>
      <c r="R41" s="5">
        <f t="shared" si="20"/>
        <v>0</v>
      </c>
      <c r="S41" s="1"/>
      <c r="T41" s="1">
        <f>SUM(OSRRefT22_7x_0)</f>
        <v>170.77</v>
      </c>
      <c r="U41" s="1"/>
      <c r="V41" s="5">
        <f t="shared" si="21"/>
        <v>0</v>
      </c>
      <c r="W41" s="1"/>
      <c r="X41" s="1">
        <f t="shared" si="22"/>
        <v>-170.77</v>
      </c>
      <c r="Y41" s="1"/>
      <c r="Z41" s="5">
        <f t="shared" si="23"/>
        <v>-1</v>
      </c>
    </row>
    <row r="42" spans="1:26" s="24" customFormat="1" hidden="1" outlineLevel="2" x14ac:dyDescent="0.25">
      <c r="A42" s="27"/>
      <c r="B42" s="11" t="str">
        <f>CONCATENATE("          ", "6292", " - ", "TRAVEL/CONFERENCE")</f>
        <v xml:space="preserve">          6292 - TRAVEL/CONFERENCE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170.77</v>
      </c>
      <c r="U42" s="2"/>
      <c r="V42" s="6">
        <f t="shared" si="21"/>
        <v>0</v>
      </c>
      <c r="W42" s="2"/>
      <c r="X42" s="7">
        <f t="shared" si="22"/>
        <v>-170.77</v>
      </c>
      <c r="Y42" s="2"/>
      <c r="Z42" s="6">
        <f t="shared" si="23"/>
        <v>-1</v>
      </c>
    </row>
    <row r="43" spans="1:26" s="55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9" t="s">
        <v>0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8" t="s">
        <v>3</v>
      </c>
      <c r="C46" s="28"/>
      <c r="D46" s="20">
        <f>+D16-D18+D44</f>
        <v>-17675.349999999999</v>
      </c>
      <c r="E46" s="14"/>
      <c r="F46" s="21">
        <f>IF(D$12=0,0,D46/D$12)</f>
        <v>0</v>
      </c>
      <c r="G46" s="14"/>
      <c r="H46" s="20">
        <f>+H16-H18+H44</f>
        <v>-14772.26</v>
      </c>
      <c r="I46" s="14"/>
      <c r="J46" s="21">
        <f>IF(H$12=0,0,H46/H$12)</f>
        <v>0</v>
      </c>
      <c r="K46" s="15"/>
      <c r="L46" s="20">
        <f>+D46-H46</f>
        <v>-2903.0899999999983</v>
      </c>
      <c r="M46" s="15"/>
      <c r="N46" s="21">
        <f>IF(H46=0,0,L46/H46)</f>
        <v>0.19652307771458113</v>
      </c>
      <c r="O46" s="29"/>
      <c r="P46" s="20">
        <f>+P16-P18+P44</f>
        <v>-97828.569999999992</v>
      </c>
      <c r="Q46" s="14"/>
      <c r="R46" s="21">
        <f>IF(P$12=0,0,P46/P$12)</f>
        <v>0</v>
      </c>
      <c r="S46" s="14"/>
      <c r="T46" s="20">
        <f>+T16-T18+T44</f>
        <v>-92531.800000000017</v>
      </c>
      <c r="U46" s="14"/>
      <c r="V46" s="21">
        <f>IF(T$12=0,0,T46/T$12)</f>
        <v>0</v>
      </c>
      <c r="W46" s="15"/>
      <c r="X46" s="20">
        <f>+P46-T46</f>
        <v>-5296.769999999975</v>
      </c>
      <c r="Y46" s="15"/>
      <c r="Z46" s="21">
        <f>IF(T46=0,0,X46/T46)</f>
        <v>5.7242699266630219E-2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1"/>
      <c r="B48" s="10" t="s">
        <v>13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8" t="s">
        <v>4</v>
      </c>
      <c r="C50" s="28"/>
      <c r="D50" s="33">
        <f>+D46-D48</f>
        <v>-17675.349999999999</v>
      </c>
      <c r="E50" s="14"/>
      <c r="F50" s="34">
        <f>IF(D$12=0,0,D50/D$12)</f>
        <v>0</v>
      </c>
      <c r="G50" s="14"/>
      <c r="H50" s="33">
        <f>+H46-H48</f>
        <v>-14772.26</v>
      </c>
      <c r="I50" s="14"/>
      <c r="J50" s="34">
        <f>IF(H$12=0,0,H50/H$12)</f>
        <v>0</v>
      </c>
      <c r="K50" s="15"/>
      <c r="L50" s="33">
        <f>D50-H50</f>
        <v>-2903.0899999999983</v>
      </c>
      <c r="M50" s="15"/>
      <c r="N50" s="34">
        <f>IF(H50=0,0,L50/H50)</f>
        <v>0.19652307771458113</v>
      </c>
      <c r="O50" s="29"/>
      <c r="P50" s="33">
        <f>+P46-P48</f>
        <v>-97828.569999999992</v>
      </c>
      <c r="Q50" s="14"/>
      <c r="R50" s="34">
        <f>IF(P$12=0,0,P50/P$12)</f>
        <v>0</v>
      </c>
      <c r="S50" s="14"/>
      <c r="T50" s="33">
        <f>+T46-T48</f>
        <v>-92531.800000000017</v>
      </c>
      <c r="U50" s="14"/>
      <c r="V50" s="34">
        <f>IF(T$12=0,0,T50/T$12)</f>
        <v>0</v>
      </c>
      <c r="W50" s="15"/>
      <c r="X50" s="33">
        <f>P50-T50</f>
        <v>-5296.769999999975</v>
      </c>
      <c r="Y50" s="15"/>
      <c r="Z50" s="34">
        <f>IF(T50=0,0,X50/T50)</f>
        <v>5.7242699266630219E-2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5</v>
      </c>
      <c r="C53" s="28"/>
      <c r="D53" s="30">
        <f>SUM(D50:D52)</f>
        <v>-17675.349999999999</v>
      </c>
      <c r="E53" s="14"/>
      <c r="F53" s="32">
        <f>IF(D$12=0,0,D53/D$12)</f>
        <v>0</v>
      </c>
      <c r="G53" s="14"/>
      <c r="H53" s="30">
        <f>SUM(H50:H52)</f>
        <v>-14772.26</v>
      </c>
      <c r="I53" s="14"/>
      <c r="J53" s="32">
        <f>IF(H$12=0,0,H53/H$12)</f>
        <v>0</v>
      </c>
      <c r="K53" s="15"/>
      <c r="L53" s="30">
        <f>+D53-H53</f>
        <v>-2903.0899999999983</v>
      </c>
      <c r="M53" s="15"/>
      <c r="N53" s="32">
        <f>IF(H53=0,0,L53/H53)</f>
        <v>0.19652307771458113</v>
      </c>
      <c r="O53" s="29"/>
      <c r="P53" s="30">
        <f>SUM(P50:P52)</f>
        <v>-97828.569999999992</v>
      </c>
      <c r="Q53" s="14"/>
      <c r="R53" s="32">
        <f>IF(P$12=0,0,P53/P$12)</f>
        <v>0</v>
      </c>
      <c r="S53" s="14"/>
      <c r="T53" s="30">
        <f>SUM(T50:T52)</f>
        <v>-92531.800000000017</v>
      </c>
      <c r="U53" s="14"/>
      <c r="V53" s="32">
        <f>IF(T$12=0,0,T53/T$12)</f>
        <v>0</v>
      </c>
      <c r="W53" s="15"/>
      <c r="X53" s="30">
        <f>+P53-T53</f>
        <v>-5296.769999999975</v>
      </c>
      <c r="Y53" s="15"/>
      <c r="Z53" s="32">
        <f>IF(T53=0,0,X53/T53)</f>
        <v>5.7242699266630219E-2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A55" s="9"/>
      <c r="B55" s="58">
        <v>44209.52218472222</v>
      </c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25">
      <c r="A56" s="9"/>
      <c r="B56" s="61" t="s">
        <v>313</v>
      </c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25">
      <c r="A57" s="9"/>
      <c r="B57" s="57"/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","433", " - ", "Hillside Dining Hall")</f>
        <v>Department 433 - Hillside Dining Hall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310266.69</v>
      </c>
      <c r="I12" s="4"/>
      <c r="J12" s="12"/>
      <c r="K12" s="4"/>
      <c r="L12" s="4">
        <f t="shared" ref="L12:L15" si="0">+D12-H12</f>
        <v>-310266.69</v>
      </c>
      <c r="M12" s="4"/>
      <c r="N12" s="12">
        <f t="shared" ref="N12:N15" si="1">IF(H12=0,0,L12/H12)</f>
        <v>-1</v>
      </c>
      <c r="O12" s="10"/>
      <c r="P12" s="4">
        <f>SUM(OSRRefP13x_0)</f>
        <v>23802.12</v>
      </c>
      <c r="Q12" s="4"/>
      <c r="R12" s="12"/>
      <c r="S12" s="4"/>
      <c r="T12" s="4">
        <f>SUM(OSRRefT13x_0)</f>
        <v>2489581.6799999997</v>
      </c>
      <c r="U12" s="4"/>
      <c r="V12" s="12"/>
      <c r="W12" s="4"/>
      <c r="X12" s="4">
        <f t="shared" ref="X12:X15" si="2">+P12-T12</f>
        <v>-2465779.5599999996</v>
      </c>
      <c r="Y12" s="4"/>
      <c r="Z12" s="12">
        <f t="shared" ref="Z12:Z15" si="3">IF(T12=0,0,X12/T12)</f>
        <v>-0.99043930946664094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5" si="4">0</f>
        <v>0</v>
      </c>
      <c r="E13" s="2"/>
      <c r="F13" s="19"/>
      <c r="G13" s="2"/>
      <c r="H13" s="2">
        <f>--445.47</f>
        <v>445.47</v>
      </c>
      <c r="I13" s="2"/>
      <c r="J13" s="19"/>
      <c r="K13" s="2"/>
      <c r="L13" s="2">
        <f t="shared" si="0"/>
        <v>-445.47</v>
      </c>
      <c r="M13" s="2"/>
      <c r="N13" s="19">
        <f t="shared" si="1"/>
        <v>-1</v>
      </c>
      <c r="O13" s="11"/>
      <c r="P13" s="2">
        <f>--217.65</f>
        <v>217.65</v>
      </c>
      <c r="Q13" s="2"/>
      <c r="R13" s="19"/>
      <c r="S13" s="2"/>
      <c r="T13" s="2">
        <f>--17975.88</f>
        <v>17975.88</v>
      </c>
      <c r="U13" s="2"/>
      <c r="V13" s="19"/>
      <c r="W13" s="2"/>
      <c r="X13" s="2">
        <f t="shared" si="2"/>
        <v>-17758.23</v>
      </c>
      <c r="Y13" s="2"/>
      <c r="Z13" s="19">
        <f t="shared" si="3"/>
        <v>-0.98789210875907041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--303036.39</f>
        <v>303036.39</v>
      </c>
      <c r="I14" s="2"/>
      <c r="J14" s="19"/>
      <c r="K14" s="2"/>
      <c r="L14" s="2">
        <f t="shared" si="0"/>
        <v>-303036.39</v>
      </c>
      <c r="M14" s="2"/>
      <c r="N14" s="19">
        <f t="shared" si="1"/>
        <v>-1</v>
      </c>
      <c r="O14" s="11"/>
      <c r="P14" s="2">
        <f>--16096</f>
        <v>16096</v>
      </c>
      <c r="Q14" s="2"/>
      <c r="R14" s="19"/>
      <c r="S14" s="2"/>
      <c r="T14" s="2">
        <f>--2293476.82</f>
        <v>2293476.8199999998</v>
      </c>
      <c r="U14" s="2"/>
      <c r="V14" s="19"/>
      <c r="W14" s="2"/>
      <c r="X14" s="2">
        <f t="shared" si="2"/>
        <v>-2277380.8199999998</v>
      </c>
      <c r="Y14" s="2"/>
      <c r="Z14" s="19">
        <f t="shared" si="3"/>
        <v>-0.9929818344534217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>--6784.83</f>
        <v>6784.83</v>
      </c>
      <c r="I15" s="2"/>
      <c r="J15" s="19"/>
      <c r="K15" s="2"/>
      <c r="L15" s="2">
        <f t="shared" si="0"/>
        <v>-6784.83</v>
      </c>
      <c r="M15" s="2"/>
      <c r="N15" s="19">
        <f t="shared" si="1"/>
        <v>-1</v>
      </c>
      <c r="O15" s="11"/>
      <c r="P15" s="2">
        <f>--7488.47</f>
        <v>7488.47</v>
      </c>
      <c r="Q15" s="2"/>
      <c r="R15" s="19"/>
      <c r="S15" s="2"/>
      <c r="T15" s="2">
        <f>--178128.98</f>
        <v>178128.98</v>
      </c>
      <c r="U15" s="2"/>
      <c r="V15" s="19"/>
      <c r="W15" s="2"/>
      <c r="X15" s="2">
        <f t="shared" si="2"/>
        <v>-170640.51</v>
      </c>
      <c r="Y15" s="2"/>
      <c r="Z15" s="19">
        <f t="shared" si="3"/>
        <v>-0.95796040599345489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19" si="5">IF(D$12=0,0,D17/D$12)</f>
        <v>0</v>
      </c>
      <c r="G17" s="4"/>
      <c r="H17" s="4">
        <f>SUM(OSRRefH16x_0)</f>
        <v>78445.31</v>
      </c>
      <c r="I17" s="4"/>
      <c r="J17" s="12">
        <f t="shared" ref="J17:J19" si="6">IF(H$12=0,0,H17/H$12)</f>
        <v>0.25283187827865117</v>
      </c>
      <c r="K17" s="4"/>
      <c r="L17" s="4">
        <f t="shared" ref="L17:L19" si="7">+D17-H17</f>
        <v>-78445.31</v>
      </c>
      <c r="M17" s="4"/>
      <c r="N17" s="12">
        <f t="shared" ref="N17:N19" si="8">IF(H17=0,0,L17/H17)</f>
        <v>-1</v>
      </c>
      <c r="O17" s="10"/>
      <c r="P17" s="4">
        <f>SUM(OSRRefP16x_0)</f>
        <v>25322.92</v>
      </c>
      <c r="Q17" s="4"/>
      <c r="R17" s="12">
        <f t="shared" ref="R17:R19" si="9">IF(P$12=0,0,P17/P$12)</f>
        <v>1.0638934683129067</v>
      </c>
      <c r="S17" s="4"/>
      <c r="T17" s="4">
        <f>SUM(OSRRefT16x_0)</f>
        <v>594016.91999999993</v>
      </c>
      <c r="U17" s="4"/>
      <c r="V17" s="12">
        <f t="shared" ref="V17:V19" si="10">IF(T$12=0,0,T17/T$12)</f>
        <v>0.23860109703249424</v>
      </c>
      <c r="W17" s="4"/>
      <c r="X17" s="4">
        <f t="shared" ref="X17:X19" si="11">+P17-T17</f>
        <v>-568693.99999999988</v>
      </c>
      <c r="Y17" s="4"/>
      <c r="Z17" s="12">
        <f t="shared" ref="Z17:Z19" si="12">IF(T17=0,0,X17/T17)</f>
        <v>-0.95737003585689096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5"/>
        <v>0</v>
      </c>
      <c r="G18" s="2"/>
      <c r="H18" s="2">
        <v>78445.31</v>
      </c>
      <c r="I18" s="2"/>
      <c r="J18" s="19">
        <f t="shared" si="6"/>
        <v>0.25283187827865117</v>
      </c>
      <c r="K18" s="2"/>
      <c r="L18" s="2">
        <f t="shared" si="7"/>
        <v>-78445.31</v>
      </c>
      <c r="M18" s="2"/>
      <c r="N18" s="19">
        <f t="shared" si="8"/>
        <v>-1</v>
      </c>
      <c r="O18" s="11"/>
      <c r="P18" s="2">
        <v>14410.92</v>
      </c>
      <c r="Q18" s="2"/>
      <c r="R18" s="19">
        <f t="shared" si="9"/>
        <v>0.60544690977106241</v>
      </c>
      <c r="S18" s="2"/>
      <c r="T18" s="2">
        <v>591909.91999999993</v>
      </c>
      <c r="U18" s="2"/>
      <c r="V18" s="19">
        <f t="shared" si="10"/>
        <v>0.23775477011061552</v>
      </c>
      <c r="W18" s="2"/>
      <c r="X18" s="2">
        <f t="shared" si="11"/>
        <v>-577498.99999999988</v>
      </c>
      <c r="Y18" s="2"/>
      <c r="Z18" s="19">
        <f t="shared" si="12"/>
        <v>-0.9756535251174705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10912</v>
      </c>
      <c r="Q19" s="2"/>
      <c r="R19" s="19">
        <f t="shared" si="9"/>
        <v>0.45844655854184418</v>
      </c>
      <c r="S19" s="2"/>
      <c r="T19" s="2">
        <v>2107</v>
      </c>
      <c r="U19" s="2"/>
      <c r="V19" s="19">
        <f t="shared" si="10"/>
        <v>8.4632692187869903E-4</v>
      </c>
      <c r="W19" s="2"/>
      <c r="X19" s="2">
        <f t="shared" si="11"/>
        <v>8805</v>
      </c>
      <c r="Y19" s="2"/>
      <c r="Z19" s="19">
        <f t="shared" si="12"/>
        <v>4.1789273849074515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0</v>
      </c>
      <c r="E21" s="14"/>
      <c r="F21" s="21">
        <f>IF(D$12=0,0,D21/D$12)</f>
        <v>0</v>
      </c>
      <c r="G21" s="14"/>
      <c r="H21" s="20">
        <f>H12-H17</f>
        <v>231821.38</v>
      </c>
      <c r="I21" s="14"/>
      <c r="J21" s="21">
        <f>IF(H$12=0,0,H21/H$12)</f>
        <v>0.74716812172134883</v>
      </c>
      <c r="K21" s="15"/>
      <c r="L21" s="20">
        <f>+D21-H21</f>
        <v>-231821.38</v>
      </c>
      <c r="M21" s="15"/>
      <c r="N21" s="21">
        <f>IF(H21=0,0,L21/H21)</f>
        <v>-1</v>
      </c>
      <c r="O21" s="29"/>
      <c r="P21" s="20">
        <f>P12-P17</f>
        <v>-1520.7999999999993</v>
      </c>
      <c r="Q21" s="14"/>
      <c r="R21" s="21">
        <f>IF(P$12=0,0,P21/P$12)</f>
        <v>-6.3893468312906557E-2</v>
      </c>
      <c r="S21" s="14"/>
      <c r="T21" s="20">
        <f>T12-T17</f>
        <v>1895564.7599999998</v>
      </c>
      <c r="U21" s="14"/>
      <c r="V21" s="21">
        <f>IF(T$12=0,0,T21/T$12)</f>
        <v>0.76139890296750579</v>
      </c>
      <c r="W21" s="15"/>
      <c r="X21" s="20">
        <f>+P21-T21</f>
        <v>-1897085.5599999998</v>
      </c>
      <c r="Y21" s="15"/>
      <c r="Z21" s="21">
        <f>IF(T21=0,0,X21/T21)</f>
        <v>-1.0008022938767864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2">
        <f>SUM(OSRRefD22x_0)</f>
        <v>46482.100000000013</v>
      </c>
      <c r="E23" s="22"/>
      <c r="F23" s="36">
        <f t="shared" ref="F23:F33" si="13">IF(D$12=0,0,D23/D$12)</f>
        <v>0</v>
      </c>
      <c r="G23" s="22"/>
      <c r="H23" s="22">
        <f>SUM(OSRRefH22x_0)</f>
        <v>146464.72999999995</v>
      </c>
      <c r="I23" s="22"/>
      <c r="J23" s="36">
        <f t="shared" ref="J23:J33" si="14">IF(H$12=0,0,H23/H$12)</f>
        <v>0.47206076166281319</v>
      </c>
      <c r="K23" s="4"/>
      <c r="L23" s="22">
        <f t="shared" ref="L23:L33" si="15">+D23-H23</f>
        <v>-99982.629999999946</v>
      </c>
      <c r="M23" s="4"/>
      <c r="N23" s="36">
        <f t="shared" ref="N23:N33" si="16">IF(H23=0,0,L23/H23)</f>
        <v>-0.68263963617725565</v>
      </c>
      <c r="O23" s="10"/>
      <c r="P23" s="22">
        <f>SUM(OSRRefP22x_0)</f>
        <v>317084.25999999995</v>
      </c>
      <c r="Q23" s="22"/>
      <c r="R23" s="36">
        <f t="shared" ref="R23:R33" si="17">IF(P$12=0,0,P23/P$12)</f>
        <v>13.32168143005749</v>
      </c>
      <c r="S23" s="22"/>
      <c r="T23" s="22">
        <f>SUM(OSRRefT22x_0)</f>
        <v>1017844.9800000001</v>
      </c>
      <c r="U23" s="22"/>
      <c r="V23" s="36">
        <f t="shared" ref="V23:V33" si="18">IF(T$12=0,0,T23/T$12)</f>
        <v>0.40884176975466829</v>
      </c>
      <c r="W23" s="4"/>
      <c r="X23" s="22">
        <f t="shared" ref="X23:X33" si="19">+P23-T23</f>
        <v>-700760.7200000002</v>
      </c>
      <c r="Y23" s="4"/>
      <c r="Z23" s="36">
        <f t="shared" ref="Z23:Z33" si="20">IF(T23=0,0,X23/T23)</f>
        <v>-0.688474899193392</v>
      </c>
    </row>
    <row r="24" spans="1:26" s="25" customFormat="1" outlineLevel="1" collapsed="1" x14ac:dyDescent="0.25">
      <c r="A24" s="26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20699.210000000003</v>
      </c>
      <c r="E24" s="1"/>
      <c r="F24" s="5">
        <f t="shared" si="13"/>
        <v>0</v>
      </c>
      <c r="G24" s="1"/>
      <c r="H24" s="1">
        <f>SUM(OSRRefH22_0x_0)</f>
        <v>28502.87</v>
      </c>
      <c r="I24" s="1"/>
      <c r="J24" s="5">
        <f t="shared" si="14"/>
        <v>9.1865710753545604E-2</v>
      </c>
      <c r="K24" s="1"/>
      <c r="L24" s="1">
        <f t="shared" si="15"/>
        <v>-7803.6599999999962</v>
      </c>
      <c r="M24" s="1"/>
      <c r="N24" s="5">
        <f t="shared" si="16"/>
        <v>-0.2737850609429856</v>
      </c>
      <c r="O24" s="13"/>
      <c r="P24" s="1">
        <f>SUM(OSRRefP22_0x_0)</f>
        <v>126268.62999999999</v>
      </c>
      <c r="Q24" s="1"/>
      <c r="R24" s="5">
        <f t="shared" si="17"/>
        <v>5.3049320816801186</v>
      </c>
      <c r="S24" s="1"/>
      <c r="T24" s="1">
        <f>SUM(OSRRefT22_0x_0)</f>
        <v>168836.25</v>
      </c>
      <c r="U24" s="1"/>
      <c r="V24" s="5">
        <f t="shared" si="18"/>
        <v>6.7817116167082345E-2</v>
      </c>
      <c r="W24" s="1"/>
      <c r="X24" s="1">
        <f t="shared" si="19"/>
        <v>-42567.62000000001</v>
      </c>
      <c r="Y24" s="1"/>
      <c r="Z24" s="5">
        <f t="shared" si="20"/>
        <v>-0.25212369973865217</v>
      </c>
    </row>
    <row r="25" spans="1:26" s="24" customFormat="1" hidden="1" outlineLevel="2" x14ac:dyDescent="0.25">
      <c r="A25" s="27"/>
      <c r="B25" s="11" t="str">
        <f>CONCATENATE("          ", "6111", " - ", "F.I.C.A.")</f>
        <v xml:space="preserve">          6111 - F.I.C.A.</v>
      </c>
      <c r="C25" s="11"/>
      <c r="D25" s="7">
        <v>1725.14</v>
      </c>
      <c r="E25" s="2"/>
      <c r="F25" s="6">
        <f t="shared" si="13"/>
        <v>0</v>
      </c>
      <c r="G25" s="2"/>
      <c r="H25" s="7">
        <v>3905.2</v>
      </c>
      <c r="I25" s="2"/>
      <c r="J25" s="6">
        <f t="shared" si="14"/>
        <v>1.2586591232207362E-2</v>
      </c>
      <c r="K25" s="2"/>
      <c r="L25" s="7">
        <f t="shared" si="15"/>
        <v>-2180.0599999999995</v>
      </c>
      <c r="M25" s="2"/>
      <c r="N25" s="6">
        <f t="shared" si="16"/>
        <v>-0.55824541636791958</v>
      </c>
      <c r="O25" s="11"/>
      <c r="P25" s="7">
        <v>12526.82</v>
      </c>
      <c r="Q25" s="2"/>
      <c r="R25" s="6">
        <f t="shared" si="17"/>
        <v>0.52629009516799341</v>
      </c>
      <c r="S25" s="2"/>
      <c r="T25" s="7">
        <v>27713.5</v>
      </c>
      <c r="U25" s="2"/>
      <c r="V25" s="6">
        <f t="shared" si="18"/>
        <v>1.1131789819404521E-2</v>
      </c>
      <c r="W25" s="2"/>
      <c r="X25" s="7">
        <f t="shared" si="19"/>
        <v>-15186.68</v>
      </c>
      <c r="Y25" s="2"/>
      <c r="Z25" s="6">
        <f t="shared" si="20"/>
        <v>-0.54798852544788645</v>
      </c>
    </row>
    <row r="26" spans="1:26" s="24" customFormat="1" hidden="1" outlineLevel="2" x14ac:dyDescent="0.25">
      <c r="A26" s="27"/>
      <c r="B26" s="11" t="str">
        <f>CONCATENATE("          ", "6112", " - ", "COMPENSATION INSURANCE")</f>
        <v xml:space="preserve">          6112 - COMPENSATION INSURANCE</v>
      </c>
      <c r="C26" s="11"/>
      <c r="D26" s="7">
        <v>1717.48</v>
      </c>
      <c r="E26" s="2"/>
      <c r="F26" s="6">
        <f t="shared" si="13"/>
        <v>0</v>
      </c>
      <c r="G26" s="2"/>
      <c r="H26" s="7">
        <v>4628.33</v>
      </c>
      <c r="I26" s="2"/>
      <c r="J26" s="6">
        <f t="shared" si="14"/>
        <v>1.4917263596681938E-2</v>
      </c>
      <c r="K26" s="2"/>
      <c r="L26" s="7">
        <f t="shared" si="15"/>
        <v>-2910.85</v>
      </c>
      <c r="M26" s="2"/>
      <c r="N26" s="6">
        <f t="shared" si="16"/>
        <v>-0.62892015046463845</v>
      </c>
      <c r="O26" s="11"/>
      <c r="P26" s="7">
        <v>7809.15</v>
      </c>
      <c r="Q26" s="2"/>
      <c r="R26" s="6">
        <f t="shared" si="17"/>
        <v>0.32808632172260288</v>
      </c>
      <c r="S26" s="2"/>
      <c r="T26" s="7">
        <v>16055.26</v>
      </c>
      <c r="U26" s="2"/>
      <c r="V26" s="6">
        <f t="shared" si="18"/>
        <v>6.4489790108031332E-3</v>
      </c>
      <c r="W26" s="2"/>
      <c r="X26" s="7">
        <f t="shared" si="19"/>
        <v>-8246.11</v>
      </c>
      <c r="Y26" s="2"/>
      <c r="Z26" s="6">
        <f t="shared" si="20"/>
        <v>-0.51360800136528473</v>
      </c>
    </row>
    <row r="27" spans="1:26" s="24" customFormat="1" hidden="1" outlineLevel="2" x14ac:dyDescent="0.25">
      <c r="A27" s="27"/>
      <c r="B27" s="11" t="str">
        <f>CONCATENATE("          ", "6113", " - ", "GROUP INSURANCE")</f>
        <v xml:space="preserve">          6113 - GROUP INSURANCE</v>
      </c>
      <c r="C27" s="11"/>
      <c r="D27" s="7">
        <v>12526.51</v>
      </c>
      <c r="E27" s="2"/>
      <c r="F27" s="6">
        <f t="shared" si="13"/>
        <v>0</v>
      </c>
      <c r="G27" s="2"/>
      <c r="H27" s="7">
        <v>12745.03</v>
      </c>
      <c r="I27" s="2"/>
      <c r="J27" s="6">
        <f t="shared" si="14"/>
        <v>4.1077661285521823E-2</v>
      </c>
      <c r="K27" s="2"/>
      <c r="L27" s="7">
        <f t="shared" si="15"/>
        <v>-218.52000000000044</v>
      </c>
      <c r="M27" s="2"/>
      <c r="N27" s="6">
        <f t="shared" si="16"/>
        <v>-1.7145506915244642E-2</v>
      </c>
      <c r="O27" s="11"/>
      <c r="P27" s="7">
        <v>72459.13</v>
      </c>
      <c r="Q27" s="2"/>
      <c r="R27" s="6">
        <f t="shared" si="17"/>
        <v>3.0442300937899653</v>
      </c>
      <c r="S27" s="2"/>
      <c r="T27" s="7">
        <v>76316.17</v>
      </c>
      <c r="U27" s="2"/>
      <c r="V27" s="6">
        <f t="shared" si="18"/>
        <v>3.0654214165007836E-2</v>
      </c>
      <c r="W27" s="2"/>
      <c r="X27" s="7">
        <f t="shared" si="19"/>
        <v>-3857.0399999999936</v>
      </c>
      <c r="Y27" s="2"/>
      <c r="Z27" s="6">
        <f t="shared" si="20"/>
        <v>-5.0540272133677483E-2</v>
      </c>
    </row>
    <row r="28" spans="1:26" s="24" customFormat="1" hidden="1" outlineLevel="2" x14ac:dyDescent="0.25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3"/>
        <v>0</v>
      </c>
      <c r="G28" s="2"/>
      <c r="H28" s="7">
        <v>310.14999999999998</v>
      </c>
      <c r="I28" s="2"/>
      <c r="J28" s="6">
        <f t="shared" si="14"/>
        <v>9.9962390419674118E-4</v>
      </c>
      <c r="K28" s="2"/>
      <c r="L28" s="7">
        <f t="shared" si="15"/>
        <v>-310.14999999999998</v>
      </c>
      <c r="M28" s="2"/>
      <c r="N28" s="6">
        <f t="shared" si="16"/>
        <v>-1</v>
      </c>
      <c r="O28" s="11"/>
      <c r="P28" s="7">
        <v>369.19</v>
      </c>
      <c r="Q28" s="2"/>
      <c r="R28" s="6">
        <f t="shared" si="17"/>
        <v>1.5510803239375317E-2</v>
      </c>
      <c r="S28" s="2"/>
      <c r="T28" s="7">
        <v>1387.08</v>
      </c>
      <c r="U28" s="2"/>
      <c r="V28" s="6">
        <f t="shared" si="18"/>
        <v>5.5715384280944746E-4</v>
      </c>
      <c r="W28" s="2"/>
      <c r="X28" s="7">
        <f t="shared" si="19"/>
        <v>-1017.8899999999999</v>
      </c>
      <c r="Y28" s="2"/>
      <c r="Z28" s="6">
        <f t="shared" si="20"/>
        <v>-0.73383654872105419</v>
      </c>
    </row>
    <row r="29" spans="1:26" s="24" customFormat="1" hidden="1" outlineLevel="2" x14ac:dyDescent="0.25">
      <c r="A29" s="27"/>
      <c r="B29" s="11" t="str">
        <f>CONCATENATE("          ", "6115", " - ", "P.E.R.S.")</f>
        <v xml:space="preserve">          6115 - P.E.R.S.</v>
      </c>
      <c r="C29" s="11"/>
      <c r="D29" s="7">
        <v>868.56</v>
      </c>
      <c r="E29" s="2"/>
      <c r="F29" s="6">
        <f t="shared" si="13"/>
        <v>0</v>
      </c>
      <c r="G29" s="2"/>
      <c r="H29" s="7">
        <v>1217.31</v>
      </c>
      <c r="I29" s="2"/>
      <c r="J29" s="6">
        <f t="shared" si="14"/>
        <v>3.9234311617531359E-3</v>
      </c>
      <c r="K29" s="2"/>
      <c r="L29" s="7">
        <f t="shared" si="15"/>
        <v>-348.75</v>
      </c>
      <c r="M29" s="2"/>
      <c r="N29" s="6">
        <f t="shared" si="16"/>
        <v>-0.286492347881805</v>
      </c>
      <c r="O29" s="11"/>
      <c r="P29" s="7">
        <v>6337.18</v>
      </c>
      <c r="Q29" s="2"/>
      <c r="R29" s="6">
        <f t="shared" si="17"/>
        <v>0.26624435134349378</v>
      </c>
      <c r="S29" s="2"/>
      <c r="T29" s="7">
        <v>7717.34</v>
      </c>
      <c r="U29" s="2"/>
      <c r="V29" s="6">
        <f t="shared" si="18"/>
        <v>3.0998541088236163E-3</v>
      </c>
      <c r="W29" s="2"/>
      <c r="X29" s="7">
        <f t="shared" si="19"/>
        <v>-1380.1599999999999</v>
      </c>
      <c r="Y29" s="2"/>
      <c r="Z29" s="6">
        <f t="shared" si="20"/>
        <v>-0.17883882270315934</v>
      </c>
    </row>
    <row r="30" spans="1:26" s="24" customFormat="1" hidden="1" outlineLevel="2" x14ac:dyDescent="0.25">
      <c r="A30" s="27"/>
      <c r="B30" s="11" t="str">
        <f>CONCATENATE("          ", "6117", " - ", "RETIREMENT STAFF HOURLY")</f>
        <v xml:space="preserve">          6117 - RETIREMENT STAFF HOURLY</v>
      </c>
      <c r="C30" s="11"/>
      <c r="D30" s="7">
        <v>374.72</v>
      </c>
      <c r="E30" s="2"/>
      <c r="F30" s="6">
        <f t="shared" si="13"/>
        <v>0</v>
      </c>
      <c r="G30" s="2"/>
      <c r="H30" s="7">
        <v>731.23</v>
      </c>
      <c r="I30" s="2"/>
      <c r="J30" s="6">
        <f t="shared" si="14"/>
        <v>2.3567789375005099E-3</v>
      </c>
      <c r="K30" s="2"/>
      <c r="L30" s="7">
        <f t="shared" si="15"/>
        <v>-356.51</v>
      </c>
      <c r="M30" s="2"/>
      <c r="N30" s="6">
        <f t="shared" si="16"/>
        <v>-0.48754837739151835</v>
      </c>
      <c r="O30" s="11"/>
      <c r="P30" s="7">
        <v>2389.09</v>
      </c>
      <c r="Q30" s="2"/>
      <c r="R30" s="6">
        <f t="shared" si="17"/>
        <v>0.10037299198558784</v>
      </c>
      <c r="S30" s="2"/>
      <c r="T30" s="7">
        <v>2935.17</v>
      </c>
      <c r="U30" s="2"/>
      <c r="V30" s="6">
        <f t="shared" si="18"/>
        <v>1.1789812013719512E-3</v>
      </c>
      <c r="W30" s="2"/>
      <c r="X30" s="7">
        <f t="shared" si="19"/>
        <v>-546.07999999999993</v>
      </c>
      <c r="Y30" s="2"/>
      <c r="Z30" s="6">
        <f t="shared" si="20"/>
        <v>-0.18604714548050025</v>
      </c>
    </row>
    <row r="31" spans="1:26" s="24" customFormat="1" hidden="1" outlineLevel="2" x14ac:dyDescent="0.25">
      <c r="A31" s="27"/>
      <c r="B31" s="11" t="str">
        <f>CONCATENATE("          ", "6118", " - ", "VACATION")</f>
        <v xml:space="preserve">          6118 - VACATION</v>
      </c>
      <c r="C31" s="11"/>
      <c r="D31" s="7">
        <v>1768.02</v>
      </c>
      <c r="E31" s="2"/>
      <c r="F31" s="6">
        <f t="shared" si="13"/>
        <v>0</v>
      </c>
      <c r="G31" s="2"/>
      <c r="H31" s="7">
        <v>2178.1</v>
      </c>
      <c r="I31" s="2"/>
      <c r="J31" s="6">
        <f t="shared" si="14"/>
        <v>7.0200897170108719E-3</v>
      </c>
      <c r="K31" s="2"/>
      <c r="L31" s="7">
        <f t="shared" si="15"/>
        <v>-410.07999999999993</v>
      </c>
      <c r="M31" s="2"/>
      <c r="N31" s="6">
        <f t="shared" si="16"/>
        <v>-0.18827418392176665</v>
      </c>
      <c r="O31" s="11"/>
      <c r="P31" s="7">
        <v>11852.65</v>
      </c>
      <c r="Q31" s="2"/>
      <c r="R31" s="6">
        <f t="shared" si="17"/>
        <v>0.49796614755324314</v>
      </c>
      <c r="S31" s="2"/>
      <c r="T31" s="7">
        <v>15816.369999999999</v>
      </c>
      <c r="U31" s="2"/>
      <c r="V31" s="6">
        <f t="shared" si="18"/>
        <v>6.3530231311792109E-3</v>
      </c>
      <c r="W31" s="2"/>
      <c r="X31" s="7">
        <f t="shared" si="19"/>
        <v>-3963.7199999999993</v>
      </c>
      <c r="Y31" s="2"/>
      <c r="Z31" s="6">
        <f t="shared" si="20"/>
        <v>-0.25060870477865654</v>
      </c>
    </row>
    <row r="32" spans="1:26" s="24" customFormat="1" hidden="1" outlineLevel="2" x14ac:dyDescent="0.25">
      <c r="A32" s="27"/>
      <c r="B32" s="11" t="str">
        <f>CONCATENATE("          ", "6119", " - ", "SICK LEAVE")</f>
        <v xml:space="preserve">          6119 - SICK LEAVE</v>
      </c>
      <c r="C32" s="11"/>
      <c r="D32" s="7">
        <v>1214.78</v>
      </c>
      <c r="E32" s="2"/>
      <c r="F32" s="6">
        <f t="shared" si="13"/>
        <v>0</v>
      </c>
      <c r="G32" s="2"/>
      <c r="H32" s="7">
        <v>1522.22</v>
      </c>
      <c r="I32" s="2"/>
      <c r="J32" s="6">
        <f t="shared" si="14"/>
        <v>4.9061663693256924E-3</v>
      </c>
      <c r="K32" s="2"/>
      <c r="L32" s="7">
        <f t="shared" si="15"/>
        <v>-307.44000000000005</v>
      </c>
      <c r="M32" s="2"/>
      <c r="N32" s="6">
        <f t="shared" si="16"/>
        <v>-0.20196817805573442</v>
      </c>
      <c r="O32" s="11"/>
      <c r="P32" s="7">
        <v>7759.91</v>
      </c>
      <c r="Q32" s="2"/>
      <c r="R32" s="6">
        <f t="shared" si="17"/>
        <v>0.32601759843240857</v>
      </c>
      <c r="S32" s="2"/>
      <c r="T32" s="7">
        <v>14597.88</v>
      </c>
      <c r="U32" s="2"/>
      <c r="V32" s="6">
        <f t="shared" si="18"/>
        <v>5.8635874923372673E-3</v>
      </c>
      <c r="W32" s="2"/>
      <c r="X32" s="7">
        <f t="shared" si="19"/>
        <v>-6837.9699999999993</v>
      </c>
      <c r="Y32" s="2"/>
      <c r="Z32" s="6">
        <f t="shared" si="20"/>
        <v>-0.4684221270485851</v>
      </c>
    </row>
    <row r="33" spans="1:26" s="24" customFormat="1" hidden="1" outlineLevel="2" x14ac:dyDescent="0.25">
      <c r="A33" s="27"/>
      <c r="B33" s="11" t="str">
        <f>CONCATENATE("          ", "6156", " - ", "EMPLOYEE MEALS")</f>
        <v xml:space="preserve">          6156 - EMPLOYEE MEALS</v>
      </c>
      <c r="C33" s="11"/>
      <c r="D33" s="7">
        <v>504</v>
      </c>
      <c r="E33" s="2"/>
      <c r="F33" s="6">
        <f t="shared" si="13"/>
        <v>0</v>
      </c>
      <c r="G33" s="2"/>
      <c r="H33" s="7">
        <v>1265.3</v>
      </c>
      <c r="I33" s="2"/>
      <c r="J33" s="6">
        <f t="shared" si="14"/>
        <v>4.0781045493475301E-3</v>
      </c>
      <c r="K33" s="2"/>
      <c r="L33" s="7">
        <f t="shared" si="15"/>
        <v>-761.3</v>
      </c>
      <c r="M33" s="2"/>
      <c r="N33" s="6">
        <f t="shared" si="16"/>
        <v>-0.60167549197818693</v>
      </c>
      <c r="O33" s="11"/>
      <c r="P33" s="7">
        <v>4765.51</v>
      </c>
      <c r="Q33" s="2"/>
      <c r="R33" s="6">
        <f t="shared" si="17"/>
        <v>0.20021367844544941</v>
      </c>
      <c r="S33" s="2"/>
      <c r="T33" s="7">
        <v>6297.48</v>
      </c>
      <c r="U33" s="2"/>
      <c r="V33" s="6">
        <f t="shared" si="18"/>
        <v>2.5295333953453581E-3</v>
      </c>
      <c r="W33" s="2"/>
      <c r="X33" s="7">
        <f t="shared" si="19"/>
        <v>-1531.9699999999993</v>
      </c>
      <c r="Y33" s="2"/>
      <c r="Z33" s="6">
        <f t="shared" si="20"/>
        <v>-0.24326714812909281</v>
      </c>
    </row>
    <row r="34" spans="1:26" s="25" customFormat="1" outlineLevel="1" collapsed="1" x14ac:dyDescent="0.25">
      <c r="A34" s="26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17998.71</v>
      </c>
      <c r="E34" s="1"/>
      <c r="F34" s="5">
        <f t="shared" ref="F34:F40" si="21">IF(D$12=0,0,D34/D$12)</f>
        <v>0</v>
      </c>
      <c r="G34" s="1"/>
      <c r="H34" s="1">
        <f>SUM(OSRRefH22_1x_0)</f>
        <v>74528.709999999992</v>
      </c>
      <c r="I34" s="1"/>
      <c r="J34" s="5">
        <f t="shared" ref="J34:J40" si="22">IF(H$12=0,0,H34/H$12)</f>
        <v>0.24020854446218506</v>
      </c>
      <c r="K34" s="1"/>
      <c r="L34" s="1">
        <f t="shared" ref="L34:L40" si="23">+D34-H34</f>
        <v>-56529.999999999993</v>
      </c>
      <c r="M34" s="1"/>
      <c r="N34" s="5">
        <f t="shared" ref="N34:N40" si="24">IF(H34=0,0,L34/H34)</f>
        <v>-0.75849964396270908</v>
      </c>
      <c r="O34" s="13"/>
      <c r="P34" s="1">
        <f>SUM(OSRRefP22_1x_0)</f>
        <v>135120.26</v>
      </c>
      <c r="Q34" s="1"/>
      <c r="R34" s="5">
        <f t="shared" ref="R34:R40" si="25">IF(P$12=0,0,P34/P$12)</f>
        <v>5.6768161827601915</v>
      </c>
      <c r="S34" s="1"/>
      <c r="T34" s="1">
        <f>SUM(OSRRefT22_1x_0)</f>
        <v>514350.91000000003</v>
      </c>
      <c r="U34" s="1"/>
      <c r="V34" s="5">
        <f t="shared" ref="V34:V40" si="26">IF(T$12=0,0,T34/T$12)</f>
        <v>0.20660133954713231</v>
      </c>
      <c r="W34" s="1"/>
      <c r="X34" s="1">
        <f t="shared" ref="X34:X40" si="27">+P34-T34</f>
        <v>-379230.65</v>
      </c>
      <c r="Y34" s="1"/>
      <c r="Z34" s="5">
        <f t="shared" ref="Z34:Z40" si="28">IF(T34=0,0,X34/T34)</f>
        <v>-0.7372994635121769</v>
      </c>
    </row>
    <row r="35" spans="1:26" s="24" customFormat="1" hidden="1" outlineLevel="2" x14ac:dyDescent="0.25">
      <c r="A35" s="27"/>
      <c r="B35" s="11" t="str">
        <f>CONCATENATE("          ", "6002", " - ", "STAFF SALARIES")</f>
        <v xml:space="preserve">          6002 - STAFF SALARIES</v>
      </c>
      <c r="C35" s="11"/>
      <c r="D35" s="7">
        <v>6284.92</v>
      </c>
      <c r="E35" s="2"/>
      <c r="F35" s="6">
        <f t="shared" si="21"/>
        <v>0</v>
      </c>
      <c r="G35" s="2"/>
      <c r="H35" s="7">
        <v>12777.77</v>
      </c>
      <c r="I35" s="2"/>
      <c r="J35" s="6">
        <f t="shared" si="22"/>
        <v>4.1183183409085909E-2</v>
      </c>
      <c r="K35" s="2"/>
      <c r="L35" s="7">
        <f t="shared" si="23"/>
        <v>-6492.85</v>
      </c>
      <c r="M35" s="2"/>
      <c r="N35" s="6">
        <f t="shared" si="24"/>
        <v>-0.50813639625693685</v>
      </c>
      <c r="O35" s="11"/>
      <c r="P35" s="7">
        <v>54750.729999999996</v>
      </c>
      <c r="Q35" s="2"/>
      <c r="R35" s="6">
        <f t="shared" si="25"/>
        <v>2.300245944478895</v>
      </c>
      <c r="S35" s="2"/>
      <c r="T35" s="7">
        <v>88001.900000000009</v>
      </c>
      <c r="U35" s="2"/>
      <c r="V35" s="6">
        <f t="shared" si="26"/>
        <v>3.5348066989310437E-2</v>
      </c>
      <c r="W35" s="2"/>
      <c r="X35" s="7">
        <f t="shared" si="27"/>
        <v>-33251.170000000013</v>
      </c>
      <c r="Y35" s="2"/>
      <c r="Z35" s="6">
        <f t="shared" si="28"/>
        <v>-0.37784604650581416</v>
      </c>
    </row>
    <row r="36" spans="1:26" s="24" customFormat="1" hidden="1" outlineLevel="2" x14ac:dyDescent="0.25">
      <c r="A36" s="27"/>
      <c r="B36" s="11" t="str">
        <f>CONCATENATE("          ", "6004", " - ", "STAFF HOURLY")</f>
        <v xml:space="preserve">          6004 - STAFF HOURLY</v>
      </c>
      <c r="C36" s="11"/>
      <c r="D36" s="7">
        <v>11713.79</v>
      </c>
      <c r="E36" s="2"/>
      <c r="F36" s="6">
        <f t="shared" si="21"/>
        <v>0</v>
      </c>
      <c r="G36" s="2"/>
      <c r="H36" s="7">
        <v>20394.21</v>
      </c>
      <c r="I36" s="2"/>
      <c r="J36" s="6">
        <f t="shared" si="22"/>
        <v>6.5731226255709235E-2</v>
      </c>
      <c r="K36" s="2"/>
      <c r="L36" s="7">
        <f t="shared" si="23"/>
        <v>-8680.4199999999983</v>
      </c>
      <c r="M36" s="2"/>
      <c r="N36" s="6">
        <f t="shared" si="24"/>
        <v>-0.42563158857342348</v>
      </c>
      <c r="O36" s="11"/>
      <c r="P36" s="7">
        <v>80369.53</v>
      </c>
      <c r="Q36" s="2"/>
      <c r="R36" s="6">
        <f t="shared" si="25"/>
        <v>3.3765702382812961</v>
      </c>
      <c r="S36" s="2"/>
      <c r="T36" s="7">
        <v>111178.41</v>
      </c>
      <c r="U36" s="2"/>
      <c r="V36" s="6">
        <f t="shared" si="26"/>
        <v>4.4657466309761737E-2</v>
      </c>
      <c r="W36" s="2"/>
      <c r="X36" s="7">
        <f t="shared" si="27"/>
        <v>-30808.880000000005</v>
      </c>
      <c r="Y36" s="2"/>
      <c r="Z36" s="6">
        <f t="shared" si="28"/>
        <v>-0.27711207598669563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1"/>
        <v>0</v>
      </c>
      <c r="G37" s="2"/>
      <c r="H37" s="7">
        <v>12088.79</v>
      </c>
      <c r="I37" s="2"/>
      <c r="J37" s="6">
        <f t="shared" si="22"/>
        <v>3.8962577645702157E-2</v>
      </c>
      <c r="K37" s="2"/>
      <c r="L37" s="7">
        <f t="shared" si="23"/>
        <v>-12088.79</v>
      </c>
      <c r="M37" s="2"/>
      <c r="N37" s="6">
        <f t="shared" si="24"/>
        <v>-1</v>
      </c>
      <c r="O37" s="11"/>
      <c r="P37" s="7"/>
      <c r="Q37" s="2"/>
      <c r="R37" s="6">
        <f t="shared" si="25"/>
        <v>0</v>
      </c>
      <c r="S37" s="2"/>
      <c r="T37" s="7">
        <v>88958.34</v>
      </c>
      <c r="U37" s="2"/>
      <c r="V37" s="6">
        <f t="shared" si="26"/>
        <v>3.5732243980844208E-2</v>
      </c>
      <c r="W37" s="2"/>
      <c r="X37" s="7">
        <f t="shared" si="27"/>
        <v>-88958.34</v>
      </c>
      <c r="Y37" s="2"/>
      <c r="Z37" s="6">
        <f t="shared" si="28"/>
        <v>-1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1"/>
        <v>0</v>
      </c>
      <c r="G38" s="2"/>
      <c r="H38" s="7">
        <v>660</v>
      </c>
      <c r="I38" s="2"/>
      <c r="J38" s="6">
        <f t="shared" si="22"/>
        <v>2.1272022465576306E-3</v>
      </c>
      <c r="K38" s="2"/>
      <c r="L38" s="7">
        <f t="shared" si="23"/>
        <v>-660</v>
      </c>
      <c r="M38" s="2"/>
      <c r="N38" s="6">
        <f t="shared" si="24"/>
        <v>-1</v>
      </c>
      <c r="O38" s="11"/>
      <c r="P38" s="7"/>
      <c r="Q38" s="2"/>
      <c r="R38" s="6">
        <f t="shared" si="25"/>
        <v>0</v>
      </c>
      <c r="S38" s="2"/>
      <c r="T38" s="7">
        <v>10133.07</v>
      </c>
      <c r="U38" s="2"/>
      <c r="V38" s="6">
        <f t="shared" si="26"/>
        <v>4.0701898159854711E-3</v>
      </c>
      <c r="W38" s="2"/>
      <c r="X38" s="7">
        <f t="shared" si="27"/>
        <v>-10133.07</v>
      </c>
      <c r="Y38" s="2"/>
      <c r="Z38" s="6">
        <f t="shared" si="28"/>
        <v>-1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1"/>
        <v>0</v>
      </c>
      <c r="G39" s="2"/>
      <c r="H39" s="7">
        <v>25717.439999999999</v>
      </c>
      <c r="I39" s="2"/>
      <c r="J39" s="6">
        <f t="shared" si="22"/>
        <v>8.2888175975319806E-2</v>
      </c>
      <c r="K39" s="2"/>
      <c r="L39" s="7">
        <f t="shared" si="23"/>
        <v>-25717.439999999999</v>
      </c>
      <c r="M39" s="2"/>
      <c r="N39" s="6">
        <f t="shared" si="24"/>
        <v>-1</v>
      </c>
      <c r="O39" s="11"/>
      <c r="P39" s="7">
        <v>0</v>
      </c>
      <c r="Q39" s="2"/>
      <c r="R39" s="6">
        <f t="shared" si="25"/>
        <v>0</v>
      </c>
      <c r="S39" s="2"/>
      <c r="T39" s="7">
        <v>197939.69</v>
      </c>
      <c r="U39" s="2"/>
      <c r="V39" s="6">
        <f t="shared" si="26"/>
        <v>7.95072086166701E-2</v>
      </c>
      <c r="W39" s="2"/>
      <c r="X39" s="7">
        <f t="shared" si="27"/>
        <v>-197939.69</v>
      </c>
      <c r="Y39" s="2"/>
      <c r="Z39" s="6">
        <f t="shared" si="28"/>
        <v>-1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1"/>
        <v>0</v>
      </c>
      <c r="G40" s="2"/>
      <c r="H40" s="7">
        <v>2890.5</v>
      </c>
      <c r="I40" s="2"/>
      <c r="J40" s="6">
        <f t="shared" si="22"/>
        <v>9.3161789298103516E-3</v>
      </c>
      <c r="K40" s="2"/>
      <c r="L40" s="7">
        <f t="shared" si="23"/>
        <v>-2890.5</v>
      </c>
      <c r="M40" s="2"/>
      <c r="N40" s="6">
        <f t="shared" si="24"/>
        <v>-1</v>
      </c>
      <c r="O40" s="11"/>
      <c r="P40" s="7"/>
      <c r="Q40" s="2"/>
      <c r="R40" s="6">
        <f t="shared" si="25"/>
        <v>0</v>
      </c>
      <c r="S40" s="2"/>
      <c r="T40" s="7">
        <v>18139.5</v>
      </c>
      <c r="U40" s="2"/>
      <c r="V40" s="6">
        <f t="shared" si="26"/>
        <v>7.2861638345603514E-3</v>
      </c>
      <c r="W40" s="2"/>
      <c r="X40" s="7">
        <f t="shared" si="27"/>
        <v>-18139.5</v>
      </c>
      <c r="Y40" s="2"/>
      <c r="Z40" s="6">
        <f t="shared" si="28"/>
        <v>-1</v>
      </c>
    </row>
    <row r="41" spans="1:26" s="25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2" si="29">IF(D$12=0,0,D41/D$12)</f>
        <v>0</v>
      </c>
      <c r="G41" s="1"/>
      <c r="H41" s="1">
        <f>SUM(OSRRefH22_2x_0)</f>
        <v>0</v>
      </c>
      <c r="I41" s="1"/>
      <c r="J41" s="5">
        <f t="shared" ref="J41:J62" si="30">IF(H$12=0,0,H41/H$12)</f>
        <v>0</v>
      </c>
      <c r="K41" s="1"/>
      <c r="L41" s="1">
        <f t="shared" ref="L41:L62" si="31">+D41-H41</f>
        <v>0</v>
      </c>
      <c r="M41" s="1"/>
      <c r="N41" s="5">
        <f t="shared" ref="N41:N62" si="32">IF(H41=0,0,L41/H41)</f>
        <v>0</v>
      </c>
      <c r="O41" s="13"/>
      <c r="P41" s="1">
        <f>SUM(OSRRefP22_2x_0)</f>
        <v>204.75</v>
      </c>
      <c r="Q41" s="1"/>
      <c r="R41" s="5">
        <f t="shared" ref="R41:R62" si="33">IF(P$12=0,0,P41/P$12)</f>
        <v>8.6021749323169534E-3</v>
      </c>
      <c r="S41" s="1"/>
      <c r="T41" s="1">
        <f>SUM(OSRRefT22_2x_0)</f>
        <v>2683.18</v>
      </c>
      <c r="U41" s="1"/>
      <c r="V41" s="5">
        <f t="shared" ref="V41:V62" si="34">IF(T$12=0,0,T41/T$12)</f>
        <v>1.0777633935673886E-3</v>
      </c>
      <c r="W41" s="1"/>
      <c r="X41" s="1">
        <f t="shared" ref="X41:X62" si="35">+P41-T41</f>
        <v>-2478.4299999999998</v>
      </c>
      <c r="Y41" s="1"/>
      <c r="Z41" s="5">
        <f t="shared" ref="Z41:Z62" si="36">IF(T41=0,0,X41/T41)</f>
        <v>-0.92369129167629449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9"/>
        <v>0</v>
      </c>
      <c r="G42" s="2"/>
      <c r="H42" s="7"/>
      <c r="I42" s="2"/>
      <c r="J42" s="6">
        <f t="shared" si="30"/>
        <v>0</v>
      </c>
      <c r="K42" s="2"/>
      <c r="L42" s="7">
        <f t="shared" si="31"/>
        <v>0</v>
      </c>
      <c r="M42" s="2"/>
      <c r="N42" s="6">
        <f t="shared" si="32"/>
        <v>0</v>
      </c>
      <c r="O42" s="11"/>
      <c r="P42" s="7">
        <v>204.75</v>
      </c>
      <c r="Q42" s="2"/>
      <c r="R42" s="6">
        <f t="shared" si="33"/>
        <v>8.6021749323169534E-3</v>
      </c>
      <c r="S42" s="2"/>
      <c r="T42" s="7">
        <v>2683.18</v>
      </c>
      <c r="U42" s="2"/>
      <c r="V42" s="6">
        <f t="shared" si="34"/>
        <v>1.0777633935673886E-3</v>
      </c>
      <c r="W42" s="2"/>
      <c r="X42" s="7">
        <f t="shared" si="35"/>
        <v>-2478.4299999999998</v>
      </c>
      <c r="Y42" s="2"/>
      <c r="Z42" s="6">
        <f t="shared" si="36"/>
        <v>-0.92369129167629449</v>
      </c>
    </row>
    <row r="43" spans="1:26" s="25" customFormat="1" outlineLevel="1" collapsed="1" x14ac:dyDescent="0.25">
      <c r="A43" s="26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9"/>
        <v>0</v>
      </c>
      <c r="G43" s="1"/>
      <c r="H43" s="1">
        <f>SUM(OSRRefH22_3x_0)</f>
        <v>0</v>
      </c>
      <c r="I43" s="1"/>
      <c r="J43" s="5">
        <f t="shared" si="30"/>
        <v>0</v>
      </c>
      <c r="K43" s="1"/>
      <c r="L43" s="1">
        <f t="shared" si="31"/>
        <v>0</v>
      </c>
      <c r="M43" s="1"/>
      <c r="N43" s="5">
        <f t="shared" si="32"/>
        <v>0</v>
      </c>
      <c r="O43" s="13"/>
      <c r="P43" s="1">
        <f>SUM(OSRRefP22_3x_0)</f>
        <v>0</v>
      </c>
      <c r="Q43" s="1"/>
      <c r="R43" s="5">
        <f t="shared" si="33"/>
        <v>0</v>
      </c>
      <c r="S43" s="1"/>
      <c r="T43" s="1">
        <f>SUM(OSRRefT22_3x_0)</f>
        <v>1.05</v>
      </c>
      <c r="U43" s="1"/>
      <c r="V43" s="5">
        <f t="shared" si="34"/>
        <v>4.217576022651324E-7</v>
      </c>
      <c r="W43" s="1"/>
      <c r="X43" s="1">
        <f t="shared" si="35"/>
        <v>-1.05</v>
      </c>
      <c r="Y43" s="1"/>
      <c r="Z43" s="5">
        <f t="shared" si="36"/>
        <v>-1</v>
      </c>
    </row>
    <row r="44" spans="1:26" s="24" customFormat="1" hidden="1" outlineLevel="2" x14ac:dyDescent="0.25">
      <c r="A44" s="27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29"/>
        <v>0</v>
      </c>
      <c r="G44" s="2"/>
      <c r="H44" s="7"/>
      <c r="I44" s="2"/>
      <c r="J44" s="6">
        <f t="shared" si="30"/>
        <v>0</v>
      </c>
      <c r="K44" s="2"/>
      <c r="L44" s="7">
        <f t="shared" si="31"/>
        <v>0</v>
      </c>
      <c r="M44" s="2"/>
      <c r="N44" s="6">
        <f t="shared" si="32"/>
        <v>0</v>
      </c>
      <c r="O44" s="11"/>
      <c r="P44" s="7"/>
      <c r="Q44" s="2"/>
      <c r="R44" s="6">
        <f t="shared" si="33"/>
        <v>0</v>
      </c>
      <c r="S44" s="2"/>
      <c r="T44" s="7">
        <v>1.05</v>
      </c>
      <c r="U44" s="2"/>
      <c r="V44" s="6">
        <f t="shared" si="34"/>
        <v>4.217576022651324E-7</v>
      </c>
      <c r="W44" s="2"/>
      <c r="X44" s="7">
        <f t="shared" si="35"/>
        <v>-1.05</v>
      </c>
      <c r="Y44" s="2"/>
      <c r="Z44" s="6">
        <f t="shared" si="36"/>
        <v>-1</v>
      </c>
    </row>
    <row r="45" spans="1:26" s="25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0</v>
      </c>
      <c r="E45" s="1"/>
      <c r="F45" s="5">
        <f t="shared" si="29"/>
        <v>0</v>
      </c>
      <c r="G45" s="1"/>
      <c r="H45" s="1">
        <f>SUM(OSRRefH22_4x_0)</f>
        <v>133.88</v>
      </c>
      <c r="I45" s="1"/>
      <c r="J45" s="5">
        <f t="shared" si="30"/>
        <v>4.3149975268050848E-4</v>
      </c>
      <c r="K45" s="1"/>
      <c r="L45" s="1">
        <f t="shared" si="31"/>
        <v>-133.88</v>
      </c>
      <c r="M45" s="1"/>
      <c r="N45" s="5">
        <f t="shared" si="32"/>
        <v>-1</v>
      </c>
      <c r="O45" s="13"/>
      <c r="P45" s="1">
        <f>SUM(OSRRefP22_4x_0)</f>
        <v>0</v>
      </c>
      <c r="Q45" s="1"/>
      <c r="R45" s="5">
        <f t="shared" si="33"/>
        <v>0</v>
      </c>
      <c r="S45" s="1"/>
      <c r="T45" s="1">
        <f>SUM(OSRRefT22_4x_0)</f>
        <v>1529</v>
      </c>
      <c r="U45" s="1"/>
      <c r="V45" s="5">
        <f t="shared" si="34"/>
        <v>6.1415940367941658E-4</v>
      </c>
      <c r="W45" s="1"/>
      <c r="X45" s="1">
        <f t="shared" si="35"/>
        <v>-1529</v>
      </c>
      <c r="Y45" s="1"/>
      <c r="Z45" s="5">
        <f t="shared" si="36"/>
        <v>-1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29"/>
        <v>0</v>
      </c>
      <c r="G46" s="2"/>
      <c r="H46" s="7">
        <v>133.88</v>
      </c>
      <c r="I46" s="2"/>
      <c r="J46" s="6">
        <f t="shared" si="30"/>
        <v>4.3149975268050848E-4</v>
      </c>
      <c r="K46" s="2"/>
      <c r="L46" s="7">
        <f t="shared" si="31"/>
        <v>-133.88</v>
      </c>
      <c r="M46" s="2"/>
      <c r="N46" s="6">
        <f t="shared" si="32"/>
        <v>-1</v>
      </c>
      <c r="O46" s="11"/>
      <c r="P46" s="7"/>
      <c r="Q46" s="2"/>
      <c r="R46" s="6">
        <f t="shared" si="33"/>
        <v>0</v>
      </c>
      <c r="S46" s="2"/>
      <c r="T46" s="7">
        <v>1529</v>
      </c>
      <c r="U46" s="2"/>
      <c r="V46" s="6">
        <f t="shared" si="34"/>
        <v>6.1415940367941658E-4</v>
      </c>
      <c r="W46" s="2"/>
      <c r="X46" s="7">
        <f t="shared" si="35"/>
        <v>-1529</v>
      </c>
      <c r="Y46" s="2"/>
      <c r="Z46" s="6">
        <f t="shared" si="36"/>
        <v>-1</v>
      </c>
    </row>
    <row r="47" spans="1:26" s="25" customFormat="1" outlineLevel="1" collapsed="1" x14ac:dyDescent="0.25">
      <c r="A47" s="26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272.74</v>
      </c>
      <c r="E47" s="1"/>
      <c r="F47" s="5">
        <f t="shared" si="29"/>
        <v>0</v>
      </c>
      <c r="G47" s="1"/>
      <c r="H47" s="1">
        <f>SUM(OSRRefH22_5x_0)</f>
        <v>0</v>
      </c>
      <c r="I47" s="1"/>
      <c r="J47" s="5">
        <f t="shared" si="30"/>
        <v>0</v>
      </c>
      <c r="K47" s="1"/>
      <c r="L47" s="1">
        <f t="shared" si="31"/>
        <v>272.74</v>
      </c>
      <c r="M47" s="1"/>
      <c r="N47" s="5">
        <f t="shared" si="32"/>
        <v>0</v>
      </c>
      <c r="O47" s="13"/>
      <c r="P47" s="1">
        <f>SUM(OSRRefP22_5x_0)</f>
        <v>1372.22</v>
      </c>
      <c r="Q47" s="1"/>
      <c r="R47" s="5">
        <f t="shared" si="33"/>
        <v>5.7651167206954679E-2</v>
      </c>
      <c r="S47" s="1"/>
      <c r="T47" s="1">
        <f>SUM(OSRRefT22_5x_0)</f>
        <v>0</v>
      </c>
      <c r="U47" s="1"/>
      <c r="V47" s="5">
        <f t="shared" si="34"/>
        <v>0</v>
      </c>
      <c r="W47" s="1"/>
      <c r="X47" s="1">
        <f t="shared" si="35"/>
        <v>1372.22</v>
      </c>
      <c r="Y47" s="1"/>
      <c r="Z47" s="5">
        <f t="shared" si="36"/>
        <v>0</v>
      </c>
    </row>
    <row r="48" spans="1:26" s="24" customFormat="1" hidden="1" outlineLevel="2" x14ac:dyDescent="0.25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272.74</v>
      </c>
      <c r="E48" s="2"/>
      <c r="F48" s="6">
        <f t="shared" si="29"/>
        <v>0</v>
      </c>
      <c r="G48" s="2"/>
      <c r="H48" s="7"/>
      <c r="I48" s="2"/>
      <c r="J48" s="6">
        <f t="shared" si="30"/>
        <v>0</v>
      </c>
      <c r="K48" s="2"/>
      <c r="L48" s="7">
        <f t="shared" si="31"/>
        <v>272.74</v>
      </c>
      <c r="M48" s="2"/>
      <c r="N48" s="6">
        <f t="shared" si="32"/>
        <v>0</v>
      </c>
      <c r="O48" s="11"/>
      <c r="P48" s="7">
        <v>1372.22</v>
      </c>
      <c r="Q48" s="2"/>
      <c r="R48" s="6">
        <f t="shared" si="33"/>
        <v>5.7651167206954679E-2</v>
      </c>
      <c r="S48" s="2"/>
      <c r="T48" s="7"/>
      <c r="U48" s="2"/>
      <c r="V48" s="6">
        <f t="shared" si="34"/>
        <v>0</v>
      </c>
      <c r="W48" s="2"/>
      <c r="X48" s="7">
        <f t="shared" si="35"/>
        <v>1372.22</v>
      </c>
      <c r="Y48" s="2"/>
      <c r="Z48" s="6">
        <f t="shared" si="36"/>
        <v>0</v>
      </c>
    </row>
    <row r="49" spans="1:26" s="25" customFormat="1" outlineLevel="1" collapsed="1" x14ac:dyDescent="0.25">
      <c r="A49" s="26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SUM(OSRRefD22_6x_0)</f>
        <v>0</v>
      </c>
      <c r="E49" s="1"/>
      <c r="F49" s="5">
        <f t="shared" si="29"/>
        <v>0</v>
      </c>
      <c r="G49" s="1"/>
      <c r="H49" s="1">
        <f>SUM(OSRRefH22_6x_0)</f>
        <v>6677.17</v>
      </c>
      <c r="I49" s="1"/>
      <c r="J49" s="5">
        <f t="shared" si="30"/>
        <v>2.1520743976738206E-2</v>
      </c>
      <c r="K49" s="1"/>
      <c r="L49" s="1">
        <f t="shared" si="31"/>
        <v>-6677.17</v>
      </c>
      <c r="M49" s="1"/>
      <c r="N49" s="5">
        <f t="shared" si="32"/>
        <v>-1</v>
      </c>
      <c r="O49" s="13"/>
      <c r="P49" s="1">
        <f>SUM(OSRRefP22_6x_0)</f>
        <v>0</v>
      </c>
      <c r="Q49" s="1"/>
      <c r="R49" s="5">
        <f t="shared" si="33"/>
        <v>0</v>
      </c>
      <c r="S49" s="1"/>
      <c r="T49" s="1">
        <f>SUM(OSRRefT22_6x_0)</f>
        <v>46247.68</v>
      </c>
      <c r="U49" s="1"/>
      <c r="V49" s="5">
        <f t="shared" si="34"/>
        <v>1.8576486311547732E-2</v>
      </c>
      <c r="W49" s="1"/>
      <c r="X49" s="1">
        <f t="shared" si="35"/>
        <v>-46247.68</v>
      </c>
      <c r="Y49" s="1"/>
      <c r="Z49" s="5">
        <f t="shared" si="36"/>
        <v>-1</v>
      </c>
    </row>
    <row r="50" spans="1:26" s="24" customFormat="1" hidden="1" outlineLevel="2" x14ac:dyDescent="0.25">
      <c r="A50" s="27"/>
      <c r="B50" s="11" t="str">
        <f>CONCATENATE("          ", "6399", " - ", "DONATION-ON CAMPUS")</f>
        <v xml:space="preserve">          6399 - DONATION-ON CAMPUS</v>
      </c>
      <c r="C50" s="11"/>
      <c r="D50" s="7"/>
      <c r="E50" s="2"/>
      <c r="F50" s="6">
        <f t="shared" si="29"/>
        <v>0</v>
      </c>
      <c r="G50" s="2"/>
      <c r="H50" s="7">
        <v>6677.17</v>
      </c>
      <c r="I50" s="2"/>
      <c r="J50" s="6">
        <f t="shared" si="30"/>
        <v>2.1520743976738206E-2</v>
      </c>
      <c r="K50" s="2"/>
      <c r="L50" s="7">
        <f t="shared" si="31"/>
        <v>-6677.17</v>
      </c>
      <c r="M50" s="2"/>
      <c r="N50" s="6">
        <f t="shared" si="32"/>
        <v>-1</v>
      </c>
      <c r="O50" s="11"/>
      <c r="P50" s="7"/>
      <c r="Q50" s="2"/>
      <c r="R50" s="6">
        <f t="shared" si="33"/>
        <v>0</v>
      </c>
      <c r="S50" s="2"/>
      <c r="T50" s="7">
        <v>46247.68</v>
      </c>
      <c r="U50" s="2"/>
      <c r="V50" s="6">
        <f t="shared" si="34"/>
        <v>1.8576486311547732E-2</v>
      </c>
      <c r="W50" s="2"/>
      <c r="X50" s="7">
        <f t="shared" si="35"/>
        <v>-46247.68</v>
      </c>
      <c r="Y50" s="2"/>
      <c r="Z50" s="6">
        <f t="shared" si="36"/>
        <v>-1</v>
      </c>
    </row>
    <row r="51" spans="1:26" s="25" customFormat="1" outlineLevel="1" collapsed="1" x14ac:dyDescent="0.25">
      <c r="A51" s="26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SUM(OSRRefD22_7x_0)</f>
        <v>0</v>
      </c>
      <c r="E51" s="1"/>
      <c r="F51" s="5">
        <f t="shared" si="29"/>
        <v>0</v>
      </c>
      <c r="G51" s="1"/>
      <c r="H51" s="1">
        <f>SUM(OSRRefH22_7x_0)</f>
        <v>65.040000000000006</v>
      </c>
      <c r="I51" s="1"/>
      <c r="J51" s="5">
        <f t="shared" si="30"/>
        <v>2.0962611229713381E-4</v>
      </c>
      <c r="K51" s="1"/>
      <c r="L51" s="1">
        <f t="shared" si="31"/>
        <v>-65.040000000000006</v>
      </c>
      <c r="M51" s="1"/>
      <c r="N51" s="5">
        <f t="shared" si="32"/>
        <v>-1</v>
      </c>
      <c r="O51" s="13"/>
      <c r="P51" s="1">
        <f>SUM(OSRRefP22_7x_0)</f>
        <v>0</v>
      </c>
      <c r="Q51" s="1"/>
      <c r="R51" s="5">
        <f t="shared" si="33"/>
        <v>0</v>
      </c>
      <c r="S51" s="1"/>
      <c r="T51" s="1">
        <f>SUM(OSRRefT22_7x_0)</f>
        <v>86.37</v>
      </c>
      <c r="U51" s="1"/>
      <c r="V51" s="5">
        <f t="shared" si="34"/>
        <v>3.4692575340609037E-5</v>
      </c>
      <c r="W51" s="1"/>
      <c r="X51" s="1">
        <f t="shared" si="35"/>
        <v>-86.37</v>
      </c>
      <c r="Y51" s="1"/>
      <c r="Z51" s="5">
        <f t="shared" si="36"/>
        <v>-1</v>
      </c>
    </row>
    <row r="52" spans="1:26" s="24" customFormat="1" hidden="1" outlineLevel="2" x14ac:dyDescent="0.25">
      <c r="A52" s="27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29"/>
        <v>0</v>
      </c>
      <c r="G52" s="2"/>
      <c r="H52" s="7">
        <v>65.040000000000006</v>
      </c>
      <c r="I52" s="2"/>
      <c r="J52" s="6">
        <f t="shared" si="30"/>
        <v>2.0962611229713381E-4</v>
      </c>
      <c r="K52" s="2"/>
      <c r="L52" s="7">
        <f t="shared" si="31"/>
        <v>-65.040000000000006</v>
      </c>
      <c r="M52" s="2"/>
      <c r="N52" s="6">
        <f t="shared" si="32"/>
        <v>-1</v>
      </c>
      <c r="O52" s="11"/>
      <c r="P52" s="7"/>
      <c r="Q52" s="2"/>
      <c r="R52" s="6">
        <f t="shared" si="33"/>
        <v>0</v>
      </c>
      <c r="S52" s="2"/>
      <c r="T52" s="7">
        <v>86.37</v>
      </c>
      <c r="U52" s="2"/>
      <c r="V52" s="6">
        <f t="shared" si="34"/>
        <v>3.4692575340609037E-5</v>
      </c>
      <c r="W52" s="2"/>
      <c r="X52" s="7">
        <f t="shared" si="35"/>
        <v>-86.37</v>
      </c>
      <c r="Y52" s="2"/>
      <c r="Z52" s="6">
        <f t="shared" si="36"/>
        <v>-1</v>
      </c>
    </row>
    <row r="53" spans="1:26" s="25" customFormat="1" outlineLevel="1" collapsed="1" x14ac:dyDescent="0.25">
      <c r="A53" s="26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SUM(OSRRefD22_8x_0)</f>
        <v>276.64999999999998</v>
      </c>
      <c r="E53" s="1"/>
      <c r="F53" s="5">
        <f t="shared" si="29"/>
        <v>0</v>
      </c>
      <c r="G53" s="1"/>
      <c r="H53" s="1">
        <f>SUM(OSRRefH22_8x_0)</f>
        <v>83.78</v>
      </c>
      <c r="I53" s="1"/>
      <c r="J53" s="5">
        <f t="shared" si="30"/>
        <v>2.700257639645429E-4</v>
      </c>
      <c r="K53" s="1"/>
      <c r="L53" s="1">
        <f t="shared" si="31"/>
        <v>192.86999999999998</v>
      </c>
      <c r="M53" s="1"/>
      <c r="N53" s="5">
        <f t="shared" si="32"/>
        <v>2.3021007400334206</v>
      </c>
      <c r="O53" s="13"/>
      <c r="P53" s="1">
        <f>SUM(OSRRefP22_8x_0)</f>
        <v>1386.67</v>
      </c>
      <c r="Q53" s="1"/>
      <c r="R53" s="5">
        <f t="shared" si="33"/>
        <v>5.8258255987281814E-2</v>
      </c>
      <c r="S53" s="1"/>
      <c r="T53" s="1">
        <f>SUM(OSRRefT22_8x_0)</f>
        <v>1280.06</v>
      </c>
      <c r="U53" s="1"/>
      <c r="V53" s="5">
        <f t="shared" si="34"/>
        <v>5.1416670129095753E-4</v>
      </c>
      <c r="W53" s="1"/>
      <c r="X53" s="1">
        <f t="shared" si="35"/>
        <v>106.61000000000013</v>
      </c>
      <c r="Y53" s="1"/>
      <c r="Z53" s="5">
        <f t="shared" si="36"/>
        <v>8.3285158508195026E-2</v>
      </c>
    </row>
    <row r="54" spans="1:26" s="24" customFormat="1" hidden="1" outlineLevel="2" x14ac:dyDescent="0.25">
      <c r="A54" s="27"/>
      <c r="B54" s="11" t="str">
        <f>CONCATENATE("          ", "6351", " - ", "EQUIPMENT RENTAL")</f>
        <v xml:space="preserve">          6351 - EQUIPMENT RENTAL</v>
      </c>
      <c r="C54" s="11"/>
      <c r="D54" s="7">
        <v>276.64999999999998</v>
      </c>
      <c r="E54" s="2"/>
      <c r="F54" s="6">
        <f t="shared" si="29"/>
        <v>0</v>
      </c>
      <c r="G54" s="2"/>
      <c r="H54" s="7">
        <v>83.78</v>
      </c>
      <c r="I54" s="2"/>
      <c r="J54" s="6">
        <f t="shared" si="30"/>
        <v>2.700257639645429E-4</v>
      </c>
      <c r="K54" s="2"/>
      <c r="L54" s="7">
        <f t="shared" si="31"/>
        <v>192.86999999999998</v>
      </c>
      <c r="M54" s="2"/>
      <c r="N54" s="6">
        <f t="shared" si="32"/>
        <v>2.3021007400334206</v>
      </c>
      <c r="O54" s="11"/>
      <c r="P54" s="7">
        <v>1386.67</v>
      </c>
      <c r="Q54" s="2"/>
      <c r="R54" s="6">
        <f t="shared" si="33"/>
        <v>5.8258255987281814E-2</v>
      </c>
      <c r="S54" s="2"/>
      <c r="T54" s="7">
        <v>1280.06</v>
      </c>
      <c r="U54" s="2"/>
      <c r="V54" s="6">
        <f t="shared" si="34"/>
        <v>5.1416670129095753E-4</v>
      </c>
      <c r="W54" s="2"/>
      <c r="X54" s="7">
        <f t="shared" si="35"/>
        <v>106.61000000000013</v>
      </c>
      <c r="Y54" s="2"/>
      <c r="Z54" s="6">
        <f t="shared" si="36"/>
        <v>8.3285158508195026E-2</v>
      </c>
    </row>
    <row r="55" spans="1:26" s="25" customFormat="1" outlineLevel="1" collapsed="1" x14ac:dyDescent="0.25">
      <c r="A55" s="26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290.25</v>
      </c>
      <c r="E55" s="1"/>
      <c r="F55" s="5">
        <f t="shared" si="29"/>
        <v>0</v>
      </c>
      <c r="G55" s="1"/>
      <c r="H55" s="1">
        <f>SUM(OSRRefH22_9x_0)</f>
        <v>351.39</v>
      </c>
      <c r="I55" s="1"/>
      <c r="J55" s="5">
        <f t="shared" si="30"/>
        <v>1.1325418142695239E-3</v>
      </c>
      <c r="K55" s="1"/>
      <c r="L55" s="1">
        <f t="shared" si="31"/>
        <v>-61.139999999999986</v>
      </c>
      <c r="M55" s="1"/>
      <c r="N55" s="5">
        <f t="shared" si="32"/>
        <v>-0.17399470673610515</v>
      </c>
      <c r="O55" s="13"/>
      <c r="P55" s="1">
        <f>SUM(OSRRefP22_9x_0)</f>
        <v>3828.45</v>
      </c>
      <c r="Q55" s="1"/>
      <c r="R55" s="5">
        <f t="shared" si="33"/>
        <v>0.16084491633518358</v>
      </c>
      <c r="S55" s="1"/>
      <c r="T55" s="1">
        <f>SUM(OSRRefT22_9x_0)</f>
        <v>1850.94</v>
      </c>
      <c r="U55" s="1"/>
      <c r="V55" s="5">
        <f t="shared" si="34"/>
        <v>7.4347430127297547E-4</v>
      </c>
      <c r="W55" s="1"/>
      <c r="X55" s="1">
        <f t="shared" si="35"/>
        <v>1977.5099999999998</v>
      </c>
      <c r="Y55" s="1"/>
      <c r="Z55" s="5">
        <f t="shared" si="36"/>
        <v>1.0683814710363382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7">
        <v>290.25</v>
      </c>
      <c r="E56" s="2"/>
      <c r="F56" s="6">
        <f t="shared" si="29"/>
        <v>0</v>
      </c>
      <c r="G56" s="2"/>
      <c r="H56" s="7">
        <v>351.39</v>
      </c>
      <c r="I56" s="2"/>
      <c r="J56" s="6">
        <f t="shared" si="30"/>
        <v>1.1325418142695239E-3</v>
      </c>
      <c r="K56" s="2"/>
      <c r="L56" s="7">
        <f t="shared" si="31"/>
        <v>-61.139999999999986</v>
      </c>
      <c r="M56" s="2"/>
      <c r="N56" s="6">
        <f t="shared" si="32"/>
        <v>-0.17399470673610515</v>
      </c>
      <c r="O56" s="11"/>
      <c r="P56" s="7">
        <v>3828.45</v>
      </c>
      <c r="Q56" s="2"/>
      <c r="R56" s="6">
        <f t="shared" si="33"/>
        <v>0.16084491633518358</v>
      </c>
      <c r="S56" s="2"/>
      <c r="T56" s="7">
        <v>1850.94</v>
      </c>
      <c r="U56" s="2"/>
      <c r="V56" s="6">
        <f t="shared" si="34"/>
        <v>7.4347430127297547E-4</v>
      </c>
      <c r="W56" s="2"/>
      <c r="X56" s="7">
        <f t="shared" si="35"/>
        <v>1977.5099999999998</v>
      </c>
      <c r="Y56" s="2"/>
      <c r="Z56" s="6">
        <f t="shared" si="36"/>
        <v>1.0683814710363382</v>
      </c>
    </row>
    <row r="57" spans="1:26" s="25" customFormat="1" outlineLevel="1" collapsed="1" x14ac:dyDescent="0.25">
      <c r="A57" s="26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0</v>
      </c>
      <c r="E57" s="1"/>
      <c r="F57" s="5">
        <f t="shared" si="29"/>
        <v>0</v>
      </c>
      <c r="G57" s="1"/>
      <c r="H57" s="1">
        <f>SUM(OSRRefH22_10x_0)</f>
        <v>25751.68</v>
      </c>
      <c r="I57" s="1"/>
      <c r="J57" s="5">
        <f t="shared" si="30"/>
        <v>8.2998532649444262E-2</v>
      </c>
      <c r="K57" s="1"/>
      <c r="L57" s="1">
        <f t="shared" si="31"/>
        <v>-25751.68</v>
      </c>
      <c r="M57" s="1"/>
      <c r="N57" s="5">
        <f t="shared" si="32"/>
        <v>-1</v>
      </c>
      <c r="O57" s="13"/>
      <c r="P57" s="1">
        <f>SUM(OSRRefP22_10x_0)</f>
        <v>1912.17</v>
      </c>
      <c r="Q57" s="1"/>
      <c r="R57" s="5">
        <f t="shared" si="33"/>
        <v>8.0336121320285767E-2</v>
      </c>
      <c r="S57" s="1"/>
      <c r="T57" s="1">
        <f>SUM(OSRRefT22_10x_0)</f>
        <v>191505.72</v>
      </c>
      <c r="U57" s="1"/>
      <c r="V57" s="5">
        <f t="shared" si="34"/>
        <v>7.6922850749769345E-2</v>
      </c>
      <c r="W57" s="1"/>
      <c r="X57" s="1">
        <f t="shared" si="35"/>
        <v>-189593.55</v>
      </c>
      <c r="Y57" s="1"/>
      <c r="Z57" s="5">
        <f t="shared" si="36"/>
        <v>-0.99001507631208086</v>
      </c>
    </row>
    <row r="58" spans="1:26" s="24" customFormat="1" hidden="1" outlineLevel="2" x14ac:dyDescent="0.25">
      <c r="A58" s="27"/>
      <c r="B58" s="11" t="str">
        <f>CONCATENATE("          ", "6387", " - ", "COMMISSION DUE HOUSING")</f>
        <v xml:space="preserve">          6387 - COMMISSION DUE HOUSING</v>
      </c>
      <c r="C58" s="11"/>
      <c r="D58" s="7"/>
      <c r="E58" s="2"/>
      <c r="F58" s="6">
        <f t="shared" si="29"/>
        <v>0</v>
      </c>
      <c r="G58" s="2"/>
      <c r="H58" s="7">
        <v>25751.68</v>
      </c>
      <c r="I58" s="2"/>
      <c r="J58" s="6">
        <f t="shared" si="30"/>
        <v>8.2998532649444262E-2</v>
      </c>
      <c r="K58" s="2"/>
      <c r="L58" s="7">
        <f t="shared" si="31"/>
        <v>-25751.68</v>
      </c>
      <c r="M58" s="2"/>
      <c r="N58" s="6">
        <f t="shared" si="32"/>
        <v>-1</v>
      </c>
      <c r="O58" s="11"/>
      <c r="P58" s="7">
        <v>1912.17</v>
      </c>
      <c r="Q58" s="2"/>
      <c r="R58" s="6">
        <f t="shared" si="33"/>
        <v>8.0336121320285767E-2</v>
      </c>
      <c r="S58" s="2"/>
      <c r="T58" s="7">
        <v>191505.72</v>
      </c>
      <c r="U58" s="2"/>
      <c r="V58" s="6">
        <f t="shared" si="34"/>
        <v>7.6922850749769345E-2</v>
      </c>
      <c r="W58" s="2"/>
      <c r="X58" s="7">
        <f t="shared" si="35"/>
        <v>-189593.55</v>
      </c>
      <c r="Y58" s="2"/>
      <c r="Z58" s="6">
        <f t="shared" si="36"/>
        <v>-0.99001507631208086</v>
      </c>
    </row>
    <row r="59" spans="1:26" s="25" customFormat="1" outlineLevel="1" collapsed="1" x14ac:dyDescent="0.25">
      <c r="A59" s="26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84.4</v>
      </c>
      <c r="E59" s="1"/>
      <c r="F59" s="5">
        <f t="shared" si="29"/>
        <v>0</v>
      </c>
      <c r="G59" s="1"/>
      <c r="H59" s="1">
        <f>SUM(OSRRefH22_11x_0)</f>
        <v>71.36</v>
      </c>
      <c r="I59" s="1"/>
      <c r="J59" s="5">
        <f t="shared" si="30"/>
        <v>2.2999568532477657E-4</v>
      </c>
      <c r="K59" s="1"/>
      <c r="L59" s="1">
        <f t="shared" si="31"/>
        <v>13.040000000000006</v>
      </c>
      <c r="M59" s="1"/>
      <c r="N59" s="5">
        <f t="shared" si="32"/>
        <v>0.18273542600896869</v>
      </c>
      <c r="O59" s="13"/>
      <c r="P59" s="1">
        <f>SUM(OSRRefP22_11x_0)</f>
        <v>1241.8499999999999</v>
      </c>
      <c r="Q59" s="1"/>
      <c r="R59" s="5">
        <f t="shared" si="33"/>
        <v>5.2173924003408097E-2</v>
      </c>
      <c r="S59" s="1"/>
      <c r="T59" s="1">
        <f>SUM(OSRRefT22_11x_0)</f>
        <v>8530.3700000000008</v>
      </c>
      <c r="U59" s="1"/>
      <c r="V59" s="5">
        <f t="shared" si="34"/>
        <v>3.426427045366112E-3</v>
      </c>
      <c r="W59" s="1"/>
      <c r="X59" s="1">
        <f t="shared" si="35"/>
        <v>-7288.52</v>
      </c>
      <c r="Y59" s="1"/>
      <c r="Z59" s="5">
        <f t="shared" si="36"/>
        <v>-0.85442014824679346</v>
      </c>
    </row>
    <row r="60" spans="1:26" s="24" customFormat="1" hidden="1" outlineLevel="2" x14ac:dyDescent="0.25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7"/>
      <c r="E60" s="2"/>
      <c r="F60" s="6">
        <f t="shared" si="29"/>
        <v>0</v>
      </c>
      <c r="G60" s="2"/>
      <c r="H60" s="7"/>
      <c r="I60" s="2"/>
      <c r="J60" s="6">
        <f t="shared" si="30"/>
        <v>0</v>
      </c>
      <c r="K60" s="2"/>
      <c r="L60" s="7">
        <f t="shared" si="31"/>
        <v>0</v>
      </c>
      <c r="M60" s="2"/>
      <c r="N60" s="6">
        <f t="shared" si="32"/>
        <v>0</v>
      </c>
      <c r="O60" s="11"/>
      <c r="P60" s="7"/>
      <c r="Q60" s="2"/>
      <c r="R60" s="6">
        <f t="shared" si="33"/>
        <v>0</v>
      </c>
      <c r="S60" s="2"/>
      <c r="T60" s="7">
        <v>8238.75</v>
      </c>
      <c r="U60" s="2"/>
      <c r="V60" s="6">
        <f t="shared" si="34"/>
        <v>3.3092909006303423E-3</v>
      </c>
      <c r="W60" s="2"/>
      <c r="X60" s="7">
        <f t="shared" si="35"/>
        <v>-8238.75</v>
      </c>
      <c r="Y60" s="2"/>
      <c r="Z60" s="6">
        <f t="shared" si="36"/>
        <v>-1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7">
        <v>84.4</v>
      </c>
      <c r="E61" s="2"/>
      <c r="F61" s="6">
        <f t="shared" si="29"/>
        <v>0</v>
      </c>
      <c r="G61" s="2"/>
      <c r="H61" s="7">
        <v>71.36</v>
      </c>
      <c r="I61" s="2"/>
      <c r="J61" s="6">
        <f t="shared" si="30"/>
        <v>2.2999568532477657E-4</v>
      </c>
      <c r="K61" s="2"/>
      <c r="L61" s="7">
        <f t="shared" si="31"/>
        <v>13.040000000000006</v>
      </c>
      <c r="M61" s="2"/>
      <c r="N61" s="6">
        <f t="shared" si="32"/>
        <v>0.18273542600896869</v>
      </c>
      <c r="O61" s="11"/>
      <c r="P61" s="7">
        <v>1241.8499999999999</v>
      </c>
      <c r="Q61" s="2"/>
      <c r="R61" s="6">
        <f t="shared" si="33"/>
        <v>5.2173924003408097E-2</v>
      </c>
      <c r="S61" s="2"/>
      <c r="T61" s="7">
        <v>139.84</v>
      </c>
      <c r="U61" s="2"/>
      <c r="V61" s="6">
        <f t="shared" si="34"/>
        <v>5.6170079143577257E-5</v>
      </c>
      <c r="W61" s="2"/>
      <c r="X61" s="7">
        <f t="shared" si="35"/>
        <v>1102.01</v>
      </c>
      <c r="Y61" s="2"/>
      <c r="Z61" s="6">
        <f t="shared" si="36"/>
        <v>7.880506292906178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7"/>
      <c r="E62" s="2"/>
      <c r="F62" s="6">
        <f t="shared" si="29"/>
        <v>0</v>
      </c>
      <c r="G62" s="2"/>
      <c r="H62" s="7"/>
      <c r="I62" s="2"/>
      <c r="J62" s="6">
        <f t="shared" si="30"/>
        <v>0</v>
      </c>
      <c r="K62" s="2"/>
      <c r="L62" s="7">
        <f t="shared" si="31"/>
        <v>0</v>
      </c>
      <c r="M62" s="2"/>
      <c r="N62" s="6">
        <f t="shared" si="32"/>
        <v>0</v>
      </c>
      <c r="O62" s="11"/>
      <c r="P62" s="7"/>
      <c r="Q62" s="2"/>
      <c r="R62" s="6">
        <f t="shared" si="33"/>
        <v>0</v>
      </c>
      <c r="S62" s="2"/>
      <c r="T62" s="7">
        <v>151.78</v>
      </c>
      <c r="U62" s="2"/>
      <c r="V62" s="6">
        <f t="shared" si="34"/>
        <v>6.0966065592192185E-5</v>
      </c>
      <c r="W62" s="2"/>
      <c r="X62" s="7">
        <f t="shared" si="35"/>
        <v>-151.78</v>
      </c>
      <c r="Y62" s="2"/>
      <c r="Z62" s="6">
        <f t="shared" si="36"/>
        <v>-1</v>
      </c>
    </row>
    <row r="63" spans="1:26" s="25" customFormat="1" outlineLevel="1" collapsed="1" x14ac:dyDescent="0.25">
      <c r="A63" s="26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5385.85</v>
      </c>
      <c r="E63" s="1"/>
      <c r="F63" s="5">
        <f t="shared" ref="F63:F66" si="37">IF(D$12=0,0,D63/D$12)</f>
        <v>0</v>
      </c>
      <c r="G63" s="1"/>
      <c r="H63" s="1">
        <f>SUM(OSRRefH22_12x_0)</f>
        <v>5871.89</v>
      </c>
      <c r="I63" s="1"/>
      <c r="J63" s="5">
        <f t="shared" ref="J63:J66" si="38">IF(H$12=0,0,H63/H$12)</f>
        <v>1.8925299393241345E-2</v>
      </c>
      <c r="K63" s="1"/>
      <c r="L63" s="1">
        <f t="shared" ref="L63:L66" si="39">+D63-H63</f>
        <v>-486.03999999999996</v>
      </c>
      <c r="M63" s="1"/>
      <c r="N63" s="5">
        <f t="shared" ref="N63:N66" si="40">IF(H63=0,0,L63/H63)</f>
        <v>-8.2774030167458851E-2</v>
      </c>
      <c r="O63" s="13"/>
      <c r="P63" s="1">
        <f>SUM(OSRRefP22_12x_0)</f>
        <v>35507.58</v>
      </c>
      <c r="Q63" s="1"/>
      <c r="R63" s="5">
        <f t="shared" ref="R63:R66" si="41">IF(P$12=0,0,P63/P$12)</f>
        <v>1.491782244606783</v>
      </c>
      <c r="S63" s="1"/>
      <c r="T63" s="1">
        <f>SUM(OSRRefT22_12x_0)</f>
        <v>38108.210000000006</v>
      </c>
      <c r="U63" s="1"/>
      <c r="V63" s="5">
        <f t="shared" ref="V63:V66" si="42">IF(T$12=0,0,T63/T$12)</f>
        <v>1.5307073596396327E-2</v>
      </c>
      <c r="W63" s="1"/>
      <c r="X63" s="1">
        <f t="shared" ref="X63:X66" si="43">+P63-T63</f>
        <v>-2600.6300000000047</v>
      </c>
      <c r="Y63" s="1"/>
      <c r="Z63" s="5">
        <f t="shared" ref="Z63:Z66" si="44">IF(T63=0,0,X63/T63)</f>
        <v>-6.8243299803375818E-2</v>
      </c>
    </row>
    <row r="64" spans="1:26" s="24" customFormat="1" hidden="1" outlineLevel="2" x14ac:dyDescent="0.25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792.32</v>
      </c>
      <c r="E64" s="2"/>
      <c r="F64" s="6">
        <f t="shared" si="37"/>
        <v>0</v>
      </c>
      <c r="G64" s="2"/>
      <c r="H64" s="7">
        <v>834.64</v>
      </c>
      <c r="I64" s="2"/>
      <c r="J64" s="6">
        <f t="shared" si="38"/>
        <v>2.6900728531316074E-3</v>
      </c>
      <c r="K64" s="2"/>
      <c r="L64" s="7">
        <f t="shared" si="39"/>
        <v>-42.319999999999936</v>
      </c>
      <c r="M64" s="2"/>
      <c r="N64" s="6">
        <f t="shared" si="40"/>
        <v>-5.0704495351289104E-2</v>
      </c>
      <c r="O64" s="11"/>
      <c r="P64" s="7">
        <v>1757.66</v>
      </c>
      <c r="Q64" s="2"/>
      <c r="R64" s="6">
        <f t="shared" si="41"/>
        <v>7.3844682742545631E-2</v>
      </c>
      <c r="S64" s="2"/>
      <c r="T64" s="7">
        <v>3041.24</v>
      </c>
      <c r="U64" s="2"/>
      <c r="V64" s="6">
        <f t="shared" si="42"/>
        <v>1.2215867526788678E-3</v>
      </c>
      <c r="W64" s="2"/>
      <c r="X64" s="7">
        <f t="shared" si="43"/>
        <v>-1283.5799999999997</v>
      </c>
      <c r="Y64" s="2"/>
      <c r="Z64" s="6">
        <f t="shared" si="44"/>
        <v>-0.42205810787705006</v>
      </c>
    </row>
    <row r="65" spans="1:26" s="24" customFormat="1" hidden="1" outlineLevel="2" x14ac:dyDescent="0.25">
      <c r="A65" s="27"/>
      <c r="B65" s="11" t="str">
        <f>CONCATENATE("          ", "6285", " - ", "JANITORIAL SERVICES")</f>
        <v xml:space="preserve">          6285 - JANITORIAL SERVICES</v>
      </c>
      <c r="C65" s="11"/>
      <c r="D65" s="7">
        <v>4157.05</v>
      </c>
      <c r="E65" s="2"/>
      <c r="F65" s="6">
        <f t="shared" si="37"/>
        <v>0</v>
      </c>
      <c r="G65" s="2"/>
      <c r="H65" s="7">
        <v>3882.07</v>
      </c>
      <c r="I65" s="2"/>
      <c r="J65" s="6">
        <f t="shared" si="38"/>
        <v>1.2512042462566639E-2</v>
      </c>
      <c r="K65" s="2"/>
      <c r="L65" s="7">
        <f t="shared" si="39"/>
        <v>274.98</v>
      </c>
      <c r="M65" s="2"/>
      <c r="N65" s="6">
        <f t="shared" si="40"/>
        <v>7.0833344066438778E-2</v>
      </c>
      <c r="O65" s="11"/>
      <c r="P65" s="7">
        <v>29099.350000000002</v>
      </c>
      <c r="Q65" s="2"/>
      <c r="R65" s="6">
        <f t="shared" si="41"/>
        <v>1.2225528650389126</v>
      </c>
      <c r="S65" s="2"/>
      <c r="T65" s="7">
        <v>24549.38</v>
      </c>
      <c r="U65" s="2"/>
      <c r="V65" s="6">
        <f t="shared" si="42"/>
        <v>9.860845377043426E-3</v>
      </c>
      <c r="W65" s="2"/>
      <c r="X65" s="7">
        <f t="shared" si="43"/>
        <v>4549.9700000000012</v>
      </c>
      <c r="Y65" s="2"/>
      <c r="Z65" s="6">
        <f t="shared" si="44"/>
        <v>0.18533950755579168</v>
      </c>
    </row>
    <row r="66" spans="1:26" s="24" customFormat="1" hidden="1" outlineLevel="2" x14ac:dyDescent="0.25">
      <c r="A66" s="27"/>
      <c r="B66" s="11" t="str">
        <f>CONCATENATE("          ", "6286", " - ", "LAUNDRY EXPENSE")</f>
        <v xml:space="preserve">          6286 - LAUNDRY EXPENSE</v>
      </c>
      <c r="C66" s="11"/>
      <c r="D66" s="7">
        <v>436.48</v>
      </c>
      <c r="E66" s="2"/>
      <c r="F66" s="6">
        <f t="shared" si="37"/>
        <v>0</v>
      </c>
      <c r="G66" s="2"/>
      <c r="H66" s="7">
        <v>1155.18</v>
      </c>
      <c r="I66" s="2"/>
      <c r="J66" s="6">
        <f t="shared" si="38"/>
        <v>3.723184077543097E-3</v>
      </c>
      <c r="K66" s="2"/>
      <c r="L66" s="7">
        <f t="shared" si="39"/>
        <v>-718.7</v>
      </c>
      <c r="M66" s="2"/>
      <c r="N66" s="6">
        <f t="shared" si="40"/>
        <v>-0.62215412316695229</v>
      </c>
      <c r="O66" s="11"/>
      <c r="P66" s="7">
        <v>4650.57</v>
      </c>
      <c r="Q66" s="2"/>
      <c r="R66" s="6">
        <f t="shared" si="41"/>
        <v>0.19538469682532481</v>
      </c>
      <c r="S66" s="2"/>
      <c r="T66" s="7">
        <v>10517.59</v>
      </c>
      <c r="U66" s="2"/>
      <c r="V66" s="6">
        <f t="shared" si="42"/>
        <v>4.2246414666740322E-3</v>
      </c>
      <c r="W66" s="2"/>
      <c r="X66" s="7">
        <f t="shared" si="43"/>
        <v>-5867.02</v>
      </c>
      <c r="Y66" s="2"/>
      <c r="Z66" s="6">
        <f t="shared" si="44"/>
        <v>-0.55782931260868696</v>
      </c>
    </row>
    <row r="67" spans="1:26" s="25" customFormat="1" outlineLevel="1" collapsed="1" x14ac:dyDescent="0.25">
      <c r="A67" s="26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1335.29</v>
      </c>
      <c r="E67" s="1"/>
      <c r="F67" s="5">
        <f t="shared" ref="F67:F75" si="45">IF(D$12=0,0,D67/D$12)</f>
        <v>0</v>
      </c>
      <c r="G67" s="1"/>
      <c r="H67" s="1">
        <f>SUM(OSRRefH22_13x_0)</f>
        <v>4237.66</v>
      </c>
      <c r="I67" s="1"/>
      <c r="J67" s="5">
        <f t="shared" ref="J67:J75" si="46">IF(H$12=0,0,H67/H$12)</f>
        <v>1.3658121018405165E-2</v>
      </c>
      <c r="K67" s="1"/>
      <c r="L67" s="1">
        <f t="shared" ref="L67:L75" si="47">+D67-H67</f>
        <v>-2902.37</v>
      </c>
      <c r="M67" s="1"/>
      <c r="N67" s="5">
        <f t="shared" ref="N67:N75" si="48">IF(H67=0,0,L67/H67)</f>
        <v>-0.68489921324504566</v>
      </c>
      <c r="O67" s="13"/>
      <c r="P67" s="1">
        <f>SUM(OSRRefP22_13x_0)</f>
        <v>9321.68</v>
      </c>
      <c r="Q67" s="1"/>
      <c r="R67" s="5">
        <f t="shared" ref="R67:R75" si="49">IF(P$12=0,0,P67/P$12)</f>
        <v>0.39163234199306618</v>
      </c>
      <c r="S67" s="1"/>
      <c r="T67" s="1">
        <f>SUM(OSRRefT22_13x_0)</f>
        <v>39664.76</v>
      </c>
      <c r="U67" s="1"/>
      <c r="V67" s="5">
        <f t="shared" ref="V67:V75" si="50">IF(T$12=0,0,T67/T$12)</f>
        <v>1.5932299116211364E-2</v>
      </c>
      <c r="W67" s="1"/>
      <c r="X67" s="1">
        <f t="shared" ref="X67:X75" si="51">+P67-T67</f>
        <v>-30343.08</v>
      </c>
      <c r="Y67" s="1"/>
      <c r="Z67" s="5">
        <f t="shared" ref="Z67:Z75" si="52">IF(T67=0,0,X67/T67)</f>
        <v>-0.7649883675080853</v>
      </c>
    </row>
    <row r="68" spans="1:26" s="24" customFormat="1" hidden="1" outlineLevel="2" x14ac:dyDescent="0.25">
      <c r="A68" s="27"/>
      <c r="B68" s="11" t="str">
        <f>CONCATENATE("          ", "6235", " - ", "COVID-19 EXPENSES")</f>
        <v xml:space="preserve">          6235 - COVID-19 EXPENSES</v>
      </c>
      <c r="C68" s="11"/>
      <c r="D68" s="7"/>
      <c r="E68" s="2"/>
      <c r="F68" s="6">
        <f t="shared" si="45"/>
        <v>0</v>
      </c>
      <c r="G68" s="2"/>
      <c r="H68" s="7"/>
      <c r="I68" s="2"/>
      <c r="J68" s="6">
        <f t="shared" si="46"/>
        <v>0</v>
      </c>
      <c r="K68" s="2"/>
      <c r="L68" s="7">
        <f t="shared" si="47"/>
        <v>0</v>
      </c>
      <c r="M68" s="2"/>
      <c r="N68" s="6">
        <f t="shared" si="48"/>
        <v>0</v>
      </c>
      <c r="O68" s="11"/>
      <c r="P68" s="7">
        <v>1375.08</v>
      </c>
      <c r="Q68" s="2"/>
      <c r="R68" s="6">
        <f t="shared" si="49"/>
        <v>5.7771324571088627E-2</v>
      </c>
      <c r="S68" s="2"/>
      <c r="T68" s="7"/>
      <c r="U68" s="2"/>
      <c r="V68" s="6">
        <f t="shared" si="50"/>
        <v>0</v>
      </c>
      <c r="W68" s="2"/>
      <c r="X68" s="7">
        <f t="shared" si="51"/>
        <v>1375.08</v>
      </c>
      <c r="Y68" s="2"/>
      <c r="Z68" s="6">
        <f t="shared" si="52"/>
        <v>0</v>
      </c>
    </row>
    <row r="69" spans="1:26" s="24" customFormat="1" hidden="1" outlineLevel="2" x14ac:dyDescent="0.25">
      <c r="A69" s="27"/>
      <c r="B69" s="11" t="str">
        <f>CONCATENATE("          ", "6237", " - ", "JANITORIAL SUPPLIES")</f>
        <v xml:space="preserve">          6237 - JANITORIAL SUPPLIES</v>
      </c>
      <c r="C69" s="11"/>
      <c r="D69" s="7">
        <v>1335.29</v>
      </c>
      <c r="E69" s="2"/>
      <c r="F69" s="6">
        <f t="shared" si="45"/>
        <v>0</v>
      </c>
      <c r="G69" s="2"/>
      <c r="H69" s="7">
        <v>2414.9</v>
      </c>
      <c r="I69" s="2"/>
      <c r="J69" s="6">
        <f t="shared" si="46"/>
        <v>7.7833040988060948E-3</v>
      </c>
      <c r="K69" s="2"/>
      <c r="L69" s="7">
        <f t="shared" si="47"/>
        <v>-1079.6100000000001</v>
      </c>
      <c r="M69" s="2"/>
      <c r="N69" s="6">
        <f t="shared" si="48"/>
        <v>-0.44706199014451947</v>
      </c>
      <c r="O69" s="11"/>
      <c r="P69" s="7">
        <v>3886.28</v>
      </c>
      <c r="Q69" s="2"/>
      <c r="R69" s="6">
        <f t="shared" si="49"/>
        <v>0.16327453184842361</v>
      </c>
      <c r="S69" s="2"/>
      <c r="T69" s="7">
        <v>18289.47</v>
      </c>
      <c r="U69" s="2"/>
      <c r="V69" s="6">
        <f t="shared" si="50"/>
        <v>7.3464028703810209E-3</v>
      </c>
      <c r="W69" s="2"/>
      <c r="X69" s="7">
        <f t="shared" si="51"/>
        <v>-14403.19</v>
      </c>
      <c r="Y69" s="2"/>
      <c r="Z69" s="6">
        <f t="shared" si="52"/>
        <v>-0.78751270539824281</v>
      </c>
    </row>
    <row r="70" spans="1:26" s="24" customFormat="1" hidden="1" outlineLevel="2" x14ac:dyDescent="0.25">
      <c r="A70" s="27"/>
      <c r="B70" s="11" t="str">
        <f>CONCATENATE("          ", "6239", " - ", "KITCHEN SUPPLIES")</f>
        <v xml:space="preserve">          6239 - KITCHEN SUPPLIES</v>
      </c>
      <c r="C70" s="11"/>
      <c r="D70" s="7"/>
      <c r="E70" s="2"/>
      <c r="F70" s="6">
        <f t="shared" si="45"/>
        <v>0</v>
      </c>
      <c r="G70" s="2"/>
      <c r="H70" s="7">
        <v>76.61</v>
      </c>
      <c r="I70" s="2"/>
      <c r="J70" s="6">
        <f t="shared" si="46"/>
        <v>2.4691661228603044E-4</v>
      </c>
      <c r="K70" s="2"/>
      <c r="L70" s="7">
        <f t="shared" si="47"/>
        <v>-76.61</v>
      </c>
      <c r="M70" s="2"/>
      <c r="N70" s="6">
        <f t="shared" si="48"/>
        <v>-1</v>
      </c>
      <c r="O70" s="11"/>
      <c r="P70" s="7">
        <v>1031.07</v>
      </c>
      <c r="Q70" s="2"/>
      <c r="R70" s="6">
        <f t="shared" si="49"/>
        <v>4.3318410292864672E-2</v>
      </c>
      <c r="S70" s="2"/>
      <c r="T70" s="7">
        <v>3195.7</v>
      </c>
      <c r="U70" s="2"/>
      <c r="V70" s="6">
        <f t="shared" si="50"/>
        <v>1.2836293043416035E-3</v>
      </c>
      <c r="W70" s="2"/>
      <c r="X70" s="7">
        <f t="shared" si="51"/>
        <v>-2164.63</v>
      </c>
      <c r="Y70" s="2"/>
      <c r="Z70" s="6">
        <f t="shared" si="52"/>
        <v>-0.67735707356760655</v>
      </c>
    </row>
    <row r="71" spans="1:26" s="24" customFormat="1" hidden="1" outlineLevel="2" x14ac:dyDescent="0.25">
      <c r="A71" s="27"/>
      <c r="B71" s="11" t="str">
        <f>CONCATENATE("          ", "6241", " - ", "OFFICE EXPENSE")</f>
        <v xml:space="preserve">          6241 - OFFICE EXPENSE</v>
      </c>
      <c r="C71" s="11"/>
      <c r="D71" s="7"/>
      <c r="E71" s="2"/>
      <c r="F71" s="6">
        <f t="shared" si="45"/>
        <v>0</v>
      </c>
      <c r="G71" s="2"/>
      <c r="H71" s="7">
        <v>75.650000000000006</v>
      </c>
      <c r="I71" s="2"/>
      <c r="J71" s="6">
        <f t="shared" si="46"/>
        <v>2.4382249992740119E-4</v>
      </c>
      <c r="K71" s="2"/>
      <c r="L71" s="7">
        <f t="shared" si="47"/>
        <v>-75.650000000000006</v>
      </c>
      <c r="M71" s="2"/>
      <c r="N71" s="6">
        <f t="shared" si="48"/>
        <v>-1</v>
      </c>
      <c r="O71" s="11"/>
      <c r="P71" s="7">
        <v>19.7</v>
      </c>
      <c r="Q71" s="2"/>
      <c r="R71" s="6">
        <f t="shared" si="49"/>
        <v>8.2765736833525757E-4</v>
      </c>
      <c r="S71" s="2"/>
      <c r="T71" s="7">
        <v>1415.25</v>
      </c>
      <c r="U71" s="2"/>
      <c r="V71" s="6">
        <f t="shared" si="50"/>
        <v>5.6846899676736063E-4</v>
      </c>
      <c r="W71" s="2"/>
      <c r="X71" s="7">
        <f t="shared" si="51"/>
        <v>-1395.55</v>
      </c>
      <c r="Y71" s="2"/>
      <c r="Z71" s="6">
        <f t="shared" si="52"/>
        <v>-0.98608019784490375</v>
      </c>
    </row>
    <row r="72" spans="1:26" s="24" customFormat="1" hidden="1" outlineLevel="2" x14ac:dyDescent="0.25">
      <c r="A72" s="27"/>
      <c r="B72" s="11" t="str">
        <f>CONCATENATE("          ", "6243", " - ", "PAPER SUPPLIES")</f>
        <v xml:space="preserve">          6243 - PAPER SUPPLIES</v>
      </c>
      <c r="C72" s="11"/>
      <c r="D72" s="7"/>
      <c r="E72" s="2"/>
      <c r="F72" s="6">
        <f t="shared" si="45"/>
        <v>0</v>
      </c>
      <c r="G72" s="2"/>
      <c r="H72" s="7">
        <v>1670.5</v>
      </c>
      <c r="I72" s="2"/>
      <c r="J72" s="6">
        <f t="shared" si="46"/>
        <v>5.3840778073856394E-3</v>
      </c>
      <c r="K72" s="2"/>
      <c r="L72" s="7">
        <f t="shared" si="47"/>
        <v>-1670.5</v>
      </c>
      <c r="M72" s="2"/>
      <c r="N72" s="6">
        <f t="shared" si="48"/>
        <v>-1</v>
      </c>
      <c r="O72" s="11"/>
      <c r="P72" s="7">
        <v>3009.55</v>
      </c>
      <c r="Q72" s="2"/>
      <c r="R72" s="6">
        <f t="shared" si="49"/>
        <v>0.12644041791235403</v>
      </c>
      <c r="S72" s="2"/>
      <c r="T72" s="7">
        <v>15018.42</v>
      </c>
      <c r="U72" s="2"/>
      <c r="V72" s="6">
        <f t="shared" si="50"/>
        <v>6.0325074371530571E-3</v>
      </c>
      <c r="W72" s="2"/>
      <c r="X72" s="7">
        <f t="shared" si="51"/>
        <v>-12008.869999999999</v>
      </c>
      <c r="Y72" s="2"/>
      <c r="Z72" s="6">
        <f t="shared" si="52"/>
        <v>-0.79960941297420096</v>
      </c>
    </row>
    <row r="73" spans="1:26" s="24" customFormat="1" hidden="1" outlineLevel="2" x14ac:dyDescent="0.25">
      <c r="A73" s="27"/>
      <c r="B73" s="11" t="str">
        <f>CONCATENATE("          ", "6245", " - ", "PRINTING")</f>
        <v xml:space="preserve">          6245 - PRINTING</v>
      </c>
      <c r="C73" s="11"/>
      <c r="D73" s="7"/>
      <c r="E73" s="2"/>
      <c r="F73" s="6">
        <f t="shared" si="45"/>
        <v>0</v>
      </c>
      <c r="G73" s="2"/>
      <c r="H73" s="7"/>
      <c r="I73" s="2"/>
      <c r="J73" s="6">
        <f t="shared" si="46"/>
        <v>0</v>
      </c>
      <c r="K73" s="2"/>
      <c r="L73" s="7">
        <f t="shared" si="47"/>
        <v>0</v>
      </c>
      <c r="M73" s="2"/>
      <c r="N73" s="6">
        <f t="shared" si="48"/>
        <v>0</v>
      </c>
      <c r="O73" s="11"/>
      <c r="P73" s="7"/>
      <c r="Q73" s="2"/>
      <c r="R73" s="6">
        <f t="shared" si="49"/>
        <v>0</v>
      </c>
      <c r="S73" s="2"/>
      <c r="T73" s="7">
        <v>441</v>
      </c>
      <c r="U73" s="2"/>
      <c r="V73" s="6">
        <f t="shared" si="50"/>
        <v>1.771381929513556E-4</v>
      </c>
      <c r="W73" s="2"/>
      <c r="X73" s="7">
        <f t="shared" si="51"/>
        <v>-441</v>
      </c>
      <c r="Y73" s="2"/>
      <c r="Z73" s="6">
        <f t="shared" si="52"/>
        <v>-1</v>
      </c>
    </row>
    <row r="74" spans="1:26" s="24" customFormat="1" hidden="1" outlineLevel="2" x14ac:dyDescent="0.25">
      <c r="A74" s="27"/>
      <c r="B74" s="11" t="str">
        <f>CONCATENATE("          ", "6247", " - ", "STORE SUPPLIES")</f>
        <v xml:space="preserve">          6247 - STORE SUPPLIES</v>
      </c>
      <c r="C74" s="11"/>
      <c r="D74" s="7"/>
      <c r="E74" s="2"/>
      <c r="F74" s="6">
        <f t="shared" si="45"/>
        <v>0</v>
      </c>
      <c r="G74" s="2"/>
      <c r="H74" s="7"/>
      <c r="I74" s="2"/>
      <c r="J74" s="6">
        <f t="shared" si="46"/>
        <v>0</v>
      </c>
      <c r="K74" s="2"/>
      <c r="L74" s="7">
        <f t="shared" si="47"/>
        <v>0</v>
      </c>
      <c r="M74" s="2"/>
      <c r="N74" s="6">
        <f t="shared" si="48"/>
        <v>0</v>
      </c>
      <c r="O74" s="11"/>
      <c r="P74" s="7"/>
      <c r="Q74" s="2"/>
      <c r="R74" s="6">
        <f t="shared" si="49"/>
        <v>0</v>
      </c>
      <c r="S74" s="2"/>
      <c r="T74" s="7">
        <v>82.5</v>
      </c>
      <c r="U74" s="2"/>
      <c r="V74" s="6">
        <f t="shared" si="50"/>
        <v>3.3138097320831834E-5</v>
      </c>
      <c r="W74" s="2"/>
      <c r="X74" s="7">
        <f t="shared" si="51"/>
        <v>-82.5</v>
      </c>
      <c r="Y74" s="2"/>
      <c r="Z74" s="6">
        <f t="shared" si="52"/>
        <v>-1</v>
      </c>
    </row>
    <row r="75" spans="1:26" s="24" customFormat="1" hidden="1" outlineLevel="2" x14ac:dyDescent="0.25">
      <c r="A75" s="27"/>
      <c r="B75" s="11" t="str">
        <f>CONCATENATE("          ", "6248", " - ", "UNIFORMS")</f>
        <v xml:space="preserve">          6248 - UNIFORMS</v>
      </c>
      <c r="C75" s="11"/>
      <c r="D75" s="7"/>
      <c r="E75" s="2"/>
      <c r="F75" s="6">
        <f t="shared" si="45"/>
        <v>0</v>
      </c>
      <c r="G75" s="2"/>
      <c r="H75" s="7"/>
      <c r="I75" s="2"/>
      <c r="J75" s="6">
        <f t="shared" si="46"/>
        <v>0</v>
      </c>
      <c r="K75" s="2"/>
      <c r="L75" s="7">
        <f t="shared" si="47"/>
        <v>0</v>
      </c>
      <c r="M75" s="2"/>
      <c r="N75" s="6">
        <f t="shared" si="48"/>
        <v>0</v>
      </c>
      <c r="O75" s="11"/>
      <c r="P75" s="7"/>
      <c r="Q75" s="2"/>
      <c r="R75" s="6">
        <f t="shared" si="49"/>
        <v>0</v>
      </c>
      <c r="S75" s="2"/>
      <c r="T75" s="7">
        <v>1222.42</v>
      </c>
      <c r="U75" s="2"/>
      <c r="V75" s="6">
        <f t="shared" si="50"/>
        <v>4.9101421729613639E-4</v>
      </c>
      <c r="W75" s="2"/>
      <c r="X75" s="7">
        <f t="shared" si="51"/>
        <v>-1222.42</v>
      </c>
      <c r="Y75" s="2"/>
      <c r="Z75" s="6">
        <f t="shared" si="52"/>
        <v>-1</v>
      </c>
    </row>
    <row r="76" spans="1:26" s="25" customFormat="1" outlineLevel="1" collapsed="1" x14ac:dyDescent="0.25">
      <c r="A76" s="26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SUM(OSRRefD22_14x_0)</f>
        <v>139</v>
      </c>
      <c r="E76" s="1"/>
      <c r="F76" s="5">
        <f t="shared" ref="F76:F81" si="53">IF(D$12=0,0,D76/D$12)</f>
        <v>0</v>
      </c>
      <c r="G76" s="1"/>
      <c r="H76" s="1">
        <f>SUM(OSRRefH22_14x_0)</f>
        <v>189.3</v>
      </c>
      <c r="I76" s="1"/>
      <c r="J76" s="5">
        <f t="shared" ref="J76:J81" si="54">IF(H$12=0,0,H76/H$12)</f>
        <v>6.1012028071721143E-4</v>
      </c>
      <c r="K76" s="1"/>
      <c r="L76" s="1">
        <f t="shared" ref="L76:L81" si="55">+D76-H76</f>
        <v>-50.300000000000011</v>
      </c>
      <c r="M76" s="1"/>
      <c r="N76" s="5">
        <f t="shared" ref="N76:N81" si="56">IF(H76=0,0,L76/H76)</f>
        <v>-0.26571579503433707</v>
      </c>
      <c r="O76" s="13"/>
      <c r="P76" s="1">
        <f>SUM(OSRRefP22_14x_0)</f>
        <v>920</v>
      </c>
      <c r="Q76" s="1"/>
      <c r="R76" s="5">
        <f t="shared" ref="R76:R81" si="57">IF(P$12=0,0,P76/P$12)</f>
        <v>3.8652019231900356E-2</v>
      </c>
      <c r="S76" s="1"/>
      <c r="T76" s="1">
        <f>SUM(OSRRefT22_14x_0)</f>
        <v>1123.25</v>
      </c>
      <c r="U76" s="1"/>
      <c r="V76" s="5">
        <f t="shared" ref="V76:V81" si="58">IF(T$12=0,0,T76/T$12)</f>
        <v>4.5118021594696189E-4</v>
      </c>
      <c r="W76" s="1"/>
      <c r="X76" s="1">
        <f t="shared" ref="X76:X81" si="59">+P76-T76</f>
        <v>-203.25</v>
      </c>
      <c r="Y76" s="1"/>
      <c r="Z76" s="5">
        <f t="shared" ref="Z76:Z81" si="60">IF(T76=0,0,X76/T76)</f>
        <v>-0.1809481415535277</v>
      </c>
    </row>
    <row r="77" spans="1:26" s="24" customFormat="1" hidden="1" outlineLevel="2" x14ac:dyDescent="0.25">
      <c r="A77" s="27"/>
      <c r="B77" s="11" t="str">
        <f>CONCATENATE("          ", "6309", " - ", "TELEPHONE")</f>
        <v xml:space="preserve">          6309 - TELEPHONE</v>
      </c>
      <c r="C77" s="11"/>
      <c r="D77" s="7">
        <v>139</v>
      </c>
      <c r="E77" s="2"/>
      <c r="F77" s="6">
        <f t="shared" si="53"/>
        <v>0</v>
      </c>
      <c r="G77" s="2"/>
      <c r="H77" s="7">
        <v>189.3</v>
      </c>
      <c r="I77" s="2"/>
      <c r="J77" s="6">
        <f t="shared" si="54"/>
        <v>6.1012028071721143E-4</v>
      </c>
      <c r="K77" s="2"/>
      <c r="L77" s="7">
        <f t="shared" si="55"/>
        <v>-50.300000000000011</v>
      </c>
      <c r="M77" s="2"/>
      <c r="N77" s="6">
        <f t="shared" si="56"/>
        <v>-0.26571579503433707</v>
      </c>
      <c r="O77" s="11"/>
      <c r="P77" s="7">
        <v>920</v>
      </c>
      <c r="Q77" s="2"/>
      <c r="R77" s="6">
        <f t="shared" si="57"/>
        <v>3.8652019231900356E-2</v>
      </c>
      <c r="S77" s="2"/>
      <c r="T77" s="7">
        <v>1123.25</v>
      </c>
      <c r="U77" s="2"/>
      <c r="V77" s="6">
        <f t="shared" si="58"/>
        <v>4.5118021594696189E-4</v>
      </c>
      <c r="W77" s="2"/>
      <c r="X77" s="7">
        <f t="shared" si="59"/>
        <v>-203.25</v>
      </c>
      <c r="Y77" s="2"/>
      <c r="Z77" s="6">
        <f t="shared" si="60"/>
        <v>-0.1809481415535277</v>
      </c>
    </row>
    <row r="78" spans="1:26" s="25" customFormat="1" outlineLevel="1" collapsed="1" x14ac:dyDescent="0.25">
      <c r="A78" s="26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SUM(OSRRefD22_15x_0)</f>
        <v>0</v>
      </c>
      <c r="E78" s="1"/>
      <c r="F78" s="5">
        <f t="shared" si="53"/>
        <v>0</v>
      </c>
      <c r="G78" s="1"/>
      <c r="H78" s="1">
        <f>SUM(OSRRefH22_15x_0)</f>
        <v>0</v>
      </c>
      <c r="I78" s="1"/>
      <c r="J78" s="5">
        <f t="shared" si="54"/>
        <v>0</v>
      </c>
      <c r="K78" s="1"/>
      <c r="L78" s="1">
        <f t="shared" si="55"/>
        <v>0</v>
      </c>
      <c r="M78" s="1"/>
      <c r="N78" s="5">
        <f t="shared" si="56"/>
        <v>0</v>
      </c>
      <c r="O78" s="13"/>
      <c r="P78" s="1">
        <f>SUM(OSRRefP22_15x_0)</f>
        <v>0</v>
      </c>
      <c r="Q78" s="1"/>
      <c r="R78" s="5">
        <f t="shared" si="57"/>
        <v>0</v>
      </c>
      <c r="S78" s="1"/>
      <c r="T78" s="1">
        <f>SUM(OSRRefT22_15x_0)</f>
        <v>617.37</v>
      </c>
      <c r="U78" s="1"/>
      <c r="V78" s="5">
        <f t="shared" si="58"/>
        <v>2.479814199146903E-4</v>
      </c>
      <c r="W78" s="1"/>
      <c r="X78" s="1">
        <f t="shared" si="59"/>
        <v>-617.37</v>
      </c>
      <c r="Y78" s="1"/>
      <c r="Z78" s="5">
        <f t="shared" si="60"/>
        <v>-1</v>
      </c>
    </row>
    <row r="79" spans="1:26" s="24" customFormat="1" hidden="1" outlineLevel="2" x14ac:dyDescent="0.25">
      <c r="A79" s="27"/>
      <c r="B79" s="11" t="str">
        <f>CONCATENATE("          ", "6376", " - ", "TRAINING")</f>
        <v xml:space="preserve">          6376 - TRAINING</v>
      </c>
      <c r="C79" s="11"/>
      <c r="D79" s="7"/>
      <c r="E79" s="2"/>
      <c r="F79" s="6">
        <f t="shared" si="53"/>
        <v>0</v>
      </c>
      <c r="G79" s="2"/>
      <c r="H79" s="7"/>
      <c r="I79" s="2"/>
      <c r="J79" s="6">
        <f t="shared" si="54"/>
        <v>0</v>
      </c>
      <c r="K79" s="2"/>
      <c r="L79" s="7">
        <f t="shared" si="55"/>
        <v>0</v>
      </c>
      <c r="M79" s="2"/>
      <c r="N79" s="6">
        <f t="shared" si="56"/>
        <v>0</v>
      </c>
      <c r="O79" s="11"/>
      <c r="P79" s="7"/>
      <c r="Q79" s="2"/>
      <c r="R79" s="6">
        <f t="shared" si="57"/>
        <v>0</v>
      </c>
      <c r="S79" s="2"/>
      <c r="T79" s="7">
        <v>617.37</v>
      </c>
      <c r="U79" s="2"/>
      <c r="V79" s="6">
        <f t="shared" si="58"/>
        <v>2.479814199146903E-4</v>
      </c>
      <c r="W79" s="2"/>
      <c r="X79" s="7">
        <f t="shared" si="59"/>
        <v>-617.37</v>
      </c>
      <c r="Y79" s="2"/>
      <c r="Z79" s="6">
        <f t="shared" si="60"/>
        <v>-1</v>
      </c>
    </row>
    <row r="80" spans="1:26" s="25" customFormat="1" outlineLevel="1" collapsed="1" x14ac:dyDescent="0.25">
      <c r="A80" s="26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SUM(OSRRefD22_16x_0)</f>
        <v>0</v>
      </c>
      <c r="E80" s="1"/>
      <c r="F80" s="5">
        <f t="shared" si="53"/>
        <v>0</v>
      </c>
      <c r="G80" s="1"/>
      <c r="H80" s="1">
        <f>SUM(OSRRefH22_16x_0)</f>
        <v>0</v>
      </c>
      <c r="I80" s="1"/>
      <c r="J80" s="5">
        <f t="shared" si="54"/>
        <v>0</v>
      </c>
      <c r="K80" s="1"/>
      <c r="L80" s="1">
        <f t="shared" si="55"/>
        <v>0</v>
      </c>
      <c r="M80" s="1"/>
      <c r="N80" s="5">
        <f t="shared" si="56"/>
        <v>0</v>
      </c>
      <c r="O80" s="13"/>
      <c r="P80" s="1">
        <f>SUM(OSRRefP22_16x_0)</f>
        <v>0</v>
      </c>
      <c r="Q80" s="1"/>
      <c r="R80" s="5">
        <f t="shared" si="57"/>
        <v>0</v>
      </c>
      <c r="S80" s="1"/>
      <c r="T80" s="1">
        <f>SUM(OSRRefT22_16x_0)</f>
        <v>1429.86</v>
      </c>
      <c r="U80" s="1"/>
      <c r="V80" s="5">
        <f t="shared" si="58"/>
        <v>5.7433745254744967E-4</v>
      </c>
      <c r="W80" s="1"/>
      <c r="X80" s="1">
        <f t="shared" si="59"/>
        <v>-1429.86</v>
      </c>
      <c r="Y80" s="1"/>
      <c r="Z80" s="5">
        <f t="shared" si="60"/>
        <v>-1</v>
      </c>
    </row>
    <row r="81" spans="1:26" s="24" customFormat="1" hidden="1" outlineLevel="2" x14ac:dyDescent="0.25">
      <c r="A81" s="27"/>
      <c r="B81" s="11" t="str">
        <f>CONCATENATE("          ", "6292", " - ", "TRAVEL/CONFERENCE")</f>
        <v xml:space="preserve">          6292 - TRAVEL/CONFERENCE</v>
      </c>
      <c r="C81" s="11"/>
      <c r="D81" s="7"/>
      <c r="E81" s="2"/>
      <c r="F81" s="6">
        <f t="shared" si="53"/>
        <v>0</v>
      </c>
      <c r="G81" s="2"/>
      <c r="H81" s="7"/>
      <c r="I81" s="2"/>
      <c r="J81" s="6">
        <f t="shared" si="54"/>
        <v>0</v>
      </c>
      <c r="K81" s="2"/>
      <c r="L81" s="7">
        <f t="shared" si="55"/>
        <v>0</v>
      </c>
      <c r="M81" s="2"/>
      <c r="N81" s="6">
        <f t="shared" si="56"/>
        <v>0</v>
      </c>
      <c r="O81" s="11"/>
      <c r="P81" s="7"/>
      <c r="Q81" s="2"/>
      <c r="R81" s="6">
        <f t="shared" si="57"/>
        <v>0</v>
      </c>
      <c r="S81" s="2"/>
      <c r="T81" s="7">
        <v>1429.86</v>
      </c>
      <c r="U81" s="2"/>
      <c r="V81" s="6">
        <f t="shared" si="58"/>
        <v>5.7433745254744967E-4</v>
      </c>
      <c r="W81" s="2"/>
      <c r="X81" s="7">
        <f t="shared" si="59"/>
        <v>-1429.86</v>
      </c>
      <c r="Y81" s="2"/>
      <c r="Z81" s="6">
        <f t="shared" si="60"/>
        <v>-1</v>
      </c>
    </row>
    <row r="82" spans="1:26" s="55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9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3</v>
      </c>
      <c r="C85" s="28"/>
      <c r="D85" s="20">
        <f>+D21-D23+D83</f>
        <v>-46482.100000000013</v>
      </c>
      <c r="E85" s="14"/>
      <c r="F85" s="21">
        <f>IF(D$12=0,0,D85/D$12)</f>
        <v>0</v>
      </c>
      <c r="G85" s="14"/>
      <c r="H85" s="20">
        <f>+H21-H23+H83</f>
        <v>85356.650000000052</v>
      </c>
      <c r="I85" s="14"/>
      <c r="J85" s="21">
        <f>IF(H$12=0,0,H85/H$12)</f>
        <v>0.27510736005853559</v>
      </c>
      <c r="K85" s="15"/>
      <c r="L85" s="20">
        <f>+D85-H85</f>
        <v>-131838.75000000006</v>
      </c>
      <c r="M85" s="15"/>
      <c r="N85" s="21">
        <f>IF(H85=0,0,L85/H85)</f>
        <v>-1.5445633117044772</v>
      </c>
      <c r="O85" s="29"/>
      <c r="P85" s="20">
        <f>+P21-P23+P83</f>
        <v>-318605.05999999994</v>
      </c>
      <c r="Q85" s="14"/>
      <c r="R85" s="21">
        <f>IF(P$12=0,0,P85/P$12)</f>
        <v>-13.385574898370395</v>
      </c>
      <c r="S85" s="14"/>
      <c r="T85" s="20">
        <f>+T21-T23+T83</f>
        <v>877719.77999999968</v>
      </c>
      <c r="U85" s="14"/>
      <c r="V85" s="21">
        <f>IF(T$12=0,0,T85/T$12)</f>
        <v>0.35255713321283749</v>
      </c>
      <c r="W85" s="15"/>
      <c r="X85" s="20">
        <f>+P85-T85</f>
        <v>-1196324.8399999996</v>
      </c>
      <c r="Y85" s="15"/>
      <c r="Z85" s="21">
        <f>IF(T85=0,0,X85/T85)</f>
        <v>-1.3629917739805295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621.74</v>
      </c>
      <c r="E87" s="4"/>
      <c r="F87" s="12">
        <f>IF(D$12=0,0,D87/D$12)</f>
        <v>0</v>
      </c>
      <c r="G87" s="4"/>
      <c r="H87" s="4">
        <v>38119.279999999999</v>
      </c>
      <c r="I87" s="4"/>
      <c r="J87" s="12">
        <f>IF(H$12=0,0,H87/H$12)</f>
        <v>0.12285972432296872</v>
      </c>
      <c r="K87" s="4"/>
      <c r="L87" s="4">
        <f>+D87-H87</f>
        <v>-37497.54</v>
      </c>
      <c r="M87" s="4"/>
      <c r="N87" s="12">
        <f>IF(H87=0,0,L87/H87)</f>
        <v>-0.98368961848177616</v>
      </c>
      <c r="O87" s="10"/>
      <c r="P87" s="4">
        <v>4403.8999999999996</v>
      </c>
      <c r="Q87" s="4"/>
      <c r="R87" s="12">
        <f>IF(P$12=0,0,P87/P$12)</f>
        <v>0.18502133423409342</v>
      </c>
      <c r="S87" s="4"/>
      <c r="T87" s="4">
        <v>268893.99</v>
      </c>
      <c r="U87" s="4"/>
      <c r="V87" s="12">
        <f>IF(T$12=0,0,T87/T$12)</f>
        <v>0.10800769951038522</v>
      </c>
      <c r="W87" s="4"/>
      <c r="X87" s="4">
        <f>+P87-T87</f>
        <v>-264490.08999999997</v>
      </c>
      <c r="Y87" s="4"/>
      <c r="Z87" s="12">
        <f>IF(T87=0,0,X87/T87)</f>
        <v>-0.98362217020915932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4</v>
      </c>
      <c r="C89" s="28"/>
      <c r="D89" s="33">
        <f>+D85-D87</f>
        <v>-47103.840000000011</v>
      </c>
      <c r="E89" s="14"/>
      <c r="F89" s="34">
        <f>IF(D$12=0,0,D89/D$12)</f>
        <v>0</v>
      </c>
      <c r="G89" s="14"/>
      <c r="H89" s="33">
        <f>+H85-H87</f>
        <v>47237.370000000054</v>
      </c>
      <c r="I89" s="14"/>
      <c r="J89" s="34">
        <f>IF(H$12=0,0,H89/H$12)</f>
        <v>0.15224763573556688</v>
      </c>
      <c r="K89" s="15"/>
      <c r="L89" s="33">
        <f>D89-H89</f>
        <v>-94341.210000000065</v>
      </c>
      <c r="M89" s="15"/>
      <c r="N89" s="34">
        <f>IF(H89=0,0,L89/H89)</f>
        <v>-1.9971732126492214</v>
      </c>
      <c r="O89" s="29"/>
      <c r="P89" s="33">
        <f>+P85-P87</f>
        <v>-323008.95999999996</v>
      </c>
      <c r="Q89" s="14"/>
      <c r="R89" s="34">
        <f>IF(P$12=0,0,P89/P$12)</f>
        <v>-13.57059623260449</v>
      </c>
      <c r="S89" s="14"/>
      <c r="T89" s="33">
        <f>+T85-T87</f>
        <v>608825.78999999969</v>
      </c>
      <c r="U89" s="14"/>
      <c r="V89" s="34">
        <f>IF(T$12=0,0,T89/T$12)</f>
        <v>0.24454943370245227</v>
      </c>
      <c r="W89" s="15"/>
      <c r="X89" s="33">
        <f>P89-T89</f>
        <v>-931834.74999999965</v>
      </c>
      <c r="Y89" s="15"/>
      <c r="Z89" s="34">
        <f>IF(T89=0,0,X89/T89)</f>
        <v>-1.5305441479409079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5</v>
      </c>
      <c r="C92" s="28"/>
      <c r="D92" s="30">
        <f>SUM(D89:D91)</f>
        <v>-47103.840000000011</v>
      </c>
      <c r="E92" s="14"/>
      <c r="F92" s="32">
        <f>IF(D$12=0,0,D92/D$12)</f>
        <v>0</v>
      </c>
      <c r="G92" s="14"/>
      <c r="H92" s="30">
        <f>SUM(H89:H91)</f>
        <v>47237.370000000054</v>
      </c>
      <c r="I92" s="14"/>
      <c r="J92" s="32">
        <f>IF(H$12=0,0,H92/H$12)</f>
        <v>0.15224763573556688</v>
      </c>
      <c r="K92" s="15"/>
      <c r="L92" s="30">
        <f>+D92-H92</f>
        <v>-94341.210000000065</v>
      </c>
      <c r="M92" s="15"/>
      <c r="N92" s="32">
        <f>IF(H92=0,0,L92/H92)</f>
        <v>-1.9971732126492214</v>
      </c>
      <c r="O92" s="29"/>
      <c r="P92" s="30">
        <f>SUM(P89:P91)</f>
        <v>-323008.95999999996</v>
      </c>
      <c r="Q92" s="14"/>
      <c r="R92" s="32">
        <f>IF(P$12=0,0,P92/P$12)</f>
        <v>-13.57059623260449</v>
      </c>
      <c r="S92" s="14"/>
      <c r="T92" s="30">
        <f>SUM(T89:T91)</f>
        <v>608825.78999999969</v>
      </c>
      <c r="U92" s="14"/>
      <c r="V92" s="32">
        <f>IF(T$12=0,0,T92/T$12)</f>
        <v>0.24454943370245227</v>
      </c>
      <c r="W92" s="15"/>
      <c r="X92" s="30">
        <f>+P92-T92</f>
        <v>-931834.74999999965</v>
      </c>
      <c r="Y92" s="15"/>
      <c r="Z92" s="32">
        <f>IF(T92=0,0,X92/T92)</f>
        <v>-1.5305441479409079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8">
        <v>44209.522196909726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61" t="s">
        <v>313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7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4:24" x14ac:dyDescent="0.25"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","435", " - ", "Ground Floor Coffee House")</f>
        <v>Department 435 - Ground Floor Coffee House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871.66000000000008</v>
      </c>
      <c r="I12" s="4"/>
      <c r="J12" s="12"/>
      <c r="K12" s="4"/>
      <c r="L12" s="4">
        <f t="shared" ref="L12:L15" si="0">+D12-H12</f>
        <v>-871.66000000000008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5179.0200000000004</v>
      </c>
      <c r="U12" s="4"/>
      <c r="V12" s="12"/>
      <c r="W12" s="4"/>
      <c r="X12" s="4">
        <f t="shared" ref="X12:X15" si="2">+P12-T12</f>
        <v>-5179.0200000000004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5" si="4">0</f>
        <v>0</v>
      </c>
      <c r="E13" s="2"/>
      <c r="F13" s="19"/>
      <c r="G13" s="2"/>
      <c r="H13" s="2">
        <f>--169.57</f>
        <v>169.57</v>
      </c>
      <c r="I13" s="2"/>
      <c r="J13" s="19"/>
      <c r="K13" s="2"/>
      <c r="L13" s="2">
        <f t="shared" si="0"/>
        <v>-169.57</v>
      </c>
      <c r="M13" s="2"/>
      <c r="N13" s="19">
        <f t="shared" si="1"/>
        <v>-1</v>
      </c>
      <c r="O13" s="11"/>
      <c r="P13" s="2">
        <f t="shared" ref="P13:P15" si="5">0</f>
        <v>0</v>
      </c>
      <c r="Q13" s="2"/>
      <c r="R13" s="19"/>
      <c r="S13" s="2"/>
      <c r="T13" s="2">
        <f>--973.49</f>
        <v>973.49</v>
      </c>
      <c r="U13" s="2"/>
      <c r="V13" s="19"/>
      <c r="W13" s="2"/>
      <c r="X13" s="2">
        <f t="shared" si="2"/>
        <v>-973.49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f>--471.63</f>
        <v>471.63</v>
      </c>
      <c r="U14" s="2"/>
      <c r="V14" s="19"/>
      <c r="W14" s="2"/>
      <c r="X14" s="2">
        <f t="shared" si="2"/>
        <v>-471.63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"4155", " - ", "NON-TAXABLE SALES-FOOD")</f>
        <v xml:space="preserve">          4155 - NON-TAXABLE SALES-FOOD</v>
      </c>
      <c r="C15" s="11"/>
      <c r="D15" s="2">
        <f t="shared" si="4"/>
        <v>0</v>
      </c>
      <c r="E15" s="2"/>
      <c r="F15" s="19"/>
      <c r="G15" s="2"/>
      <c r="H15" s="2">
        <f>--702.09</f>
        <v>702.09</v>
      </c>
      <c r="I15" s="2"/>
      <c r="J15" s="19"/>
      <c r="K15" s="2"/>
      <c r="L15" s="2">
        <f t="shared" si="0"/>
        <v>-702.09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--3733.9</f>
        <v>3733.9</v>
      </c>
      <c r="U15" s="2"/>
      <c r="V15" s="19"/>
      <c r="W15" s="2"/>
      <c r="X15" s="2">
        <f t="shared" si="2"/>
        <v>-3733.9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19" si="6">IF(D$12=0,0,D17/D$12)</f>
        <v>0</v>
      </c>
      <c r="G17" s="4"/>
      <c r="H17" s="4">
        <f>SUM(OSRRefH16x_0)</f>
        <v>383</v>
      </c>
      <c r="I17" s="4"/>
      <c r="J17" s="12">
        <f t="shared" ref="J17:J19" si="7">IF(H$12=0,0,H17/H$12)</f>
        <v>0.43939150586237752</v>
      </c>
      <c r="K17" s="4"/>
      <c r="L17" s="4">
        <f t="shared" ref="L17:L19" si="8">+D17-H17</f>
        <v>-383</v>
      </c>
      <c r="M17" s="4"/>
      <c r="N17" s="12">
        <f t="shared" ref="N17:N19" si="9">IF(H17=0,0,L17/H17)</f>
        <v>-1</v>
      </c>
      <c r="O17" s="10"/>
      <c r="P17" s="4">
        <f>SUM(OSRRefP16x_0)</f>
        <v>0</v>
      </c>
      <c r="Q17" s="4"/>
      <c r="R17" s="12">
        <f t="shared" ref="R17:R19" si="10">IF(P$12=0,0,P17/P$12)</f>
        <v>0</v>
      </c>
      <c r="S17" s="4"/>
      <c r="T17" s="4">
        <f>SUM(OSRRefT16x_0)</f>
        <v>1954.47</v>
      </c>
      <c r="U17" s="4"/>
      <c r="V17" s="12">
        <f t="shared" ref="V17:V19" si="11">IF(T$12=0,0,T17/T$12)</f>
        <v>0.37738220744465167</v>
      </c>
      <c r="W17" s="4"/>
      <c r="X17" s="4">
        <f t="shared" ref="X17:X19" si="12">+P17-T17</f>
        <v>-1954.47</v>
      </c>
      <c r="Y17" s="4"/>
      <c r="Z17" s="12">
        <f t="shared" ref="Z17:Z19" si="13">IF(T17=0,0,X17/T17)</f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/>
      <c r="Q18" s="2"/>
      <c r="R18" s="19">
        <f t="shared" si="10"/>
        <v>0</v>
      </c>
      <c r="S18" s="2"/>
      <c r="T18" s="2">
        <v>3948.48</v>
      </c>
      <c r="U18" s="2"/>
      <c r="V18" s="19">
        <f t="shared" si="11"/>
        <v>0.762399063915567</v>
      </c>
      <c r="W18" s="2"/>
      <c r="X18" s="2">
        <f t="shared" si="12"/>
        <v>-3948.48</v>
      </c>
      <c r="Y18" s="2"/>
      <c r="Z18" s="19">
        <f t="shared" si="13"/>
        <v>-1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6"/>
        <v>0</v>
      </c>
      <c r="G19" s="2"/>
      <c r="H19" s="2">
        <v>383</v>
      </c>
      <c r="I19" s="2"/>
      <c r="J19" s="19">
        <f t="shared" si="7"/>
        <v>0.43939150586237752</v>
      </c>
      <c r="K19" s="2"/>
      <c r="L19" s="2">
        <f t="shared" si="8"/>
        <v>-383</v>
      </c>
      <c r="M19" s="2"/>
      <c r="N19" s="19">
        <f t="shared" si="9"/>
        <v>-1</v>
      </c>
      <c r="O19" s="11"/>
      <c r="P19" s="2"/>
      <c r="Q19" s="2"/>
      <c r="R19" s="19">
        <f t="shared" si="10"/>
        <v>0</v>
      </c>
      <c r="S19" s="2"/>
      <c r="T19" s="2">
        <v>-1994.01</v>
      </c>
      <c r="U19" s="2"/>
      <c r="V19" s="19">
        <f t="shared" si="11"/>
        <v>-0.38501685647091533</v>
      </c>
      <c r="W19" s="2"/>
      <c r="X19" s="2">
        <f t="shared" si="12"/>
        <v>1994.01</v>
      </c>
      <c r="Y19" s="2"/>
      <c r="Z19" s="19">
        <f t="shared" si="13"/>
        <v>-1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0</v>
      </c>
      <c r="E21" s="14"/>
      <c r="F21" s="21">
        <f>IF(D$12=0,0,D21/D$12)</f>
        <v>0</v>
      </c>
      <c r="G21" s="14"/>
      <c r="H21" s="20">
        <f>H12-H17</f>
        <v>488.66000000000008</v>
      </c>
      <c r="I21" s="14"/>
      <c r="J21" s="21">
        <f>IF(H$12=0,0,H21/H$12)</f>
        <v>0.56060849413762248</v>
      </c>
      <c r="K21" s="15"/>
      <c r="L21" s="20">
        <f>+D21-H21</f>
        <v>-488.66000000000008</v>
      </c>
      <c r="M21" s="15"/>
      <c r="N21" s="21">
        <f>IF(H21=0,0,L21/H21)</f>
        <v>-1</v>
      </c>
      <c r="O21" s="29"/>
      <c r="P21" s="20">
        <f>P12-P17</f>
        <v>0</v>
      </c>
      <c r="Q21" s="14"/>
      <c r="R21" s="21">
        <f>IF(P$12=0,0,P21/P$12)</f>
        <v>0</v>
      </c>
      <c r="S21" s="14"/>
      <c r="T21" s="20">
        <f>T12-T17</f>
        <v>3224.55</v>
      </c>
      <c r="U21" s="14"/>
      <c r="V21" s="21">
        <f>IF(T$12=0,0,T21/T$12)</f>
        <v>0.62261779255534833</v>
      </c>
      <c r="W21" s="15"/>
      <c r="X21" s="20">
        <f>+P21-T21</f>
        <v>-3224.55</v>
      </c>
      <c r="Y21" s="15"/>
      <c r="Z21" s="21">
        <f>IF(T21=0,0,X21/T21)</f>
        <v>-1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2">
        <f>SUM(OSRRefD22x_0)</f>
        <v>0</v>
      </c>
      <c r="E23" s="22"/>
      <c r="F23" s="36">
        <f t="shared" ref="F23:F27" si="14">IF(D$12=0,0,D23/D$12)</f>
        <v>0</v>
      </c>
      <c r="G23" s="22"/>
      <c r="H23" s="22">
        <f>SUM(OSRRefH22x_0)</f>
        <v>2577.8000000000002</v>
      </c>
      <c r="I23" s="22"/>
      <c r="J23" s="36">
        <f t="shared" ref="J23:J27" si="15">IF(H$12=0,0,H23/H$12)</f>
        <v>2.9573457540784251</v>
      </c>
      <c r="K23" s="4"/>
      <c r="L23" s="22">
        <f t="shared" ref="L23:L27" si="16">+D23-H23</f>
        <v>-2577.8000000000002</v>
      </c>
      <c r="M23" s="4"/>
      <c r="N23" s="36">
        <f t="shared" ref="N23:N27" si="17">IF(H23=0,0,L23/H23)</f>
        <v>-1</v>
      </c>
      <c r="O23" s="10"/>
      <c r="P23" s="22">
        <f>SUM(OSRRefP22x_0)</f>
        <v>178.69</v>
      </c>
      <c r="Q23" s="22"/>
      <c r="R23" s="36">
        <f t="shared" ref="R23:R27" si="18">IF(P$12=0,0,P23/P$12)</f>
        <v>0</v>
      </c>
      <c r="S23" s="22"/>
      <c r="T23" s="22">
        <f>SUM(OSRRefT22x_0)</f>
        <v>15395.689999999999</v>
      </c>
      <c r="U23" s="22"/>
      <c r="V23" s="36">
        <f t="shared" ref="V23:V27" si="19">IF(T$12=0,0,T23/T$12)</f>
        <v>2.9727033299736236</v>
      </c>
      <c r="W23" s="4"/>
      <c r="X23" s="22">
        <f t="shared" ref="X23:X27" si="20">+P23-T23</f>
        <v>-15216.999999999998</v>
      </c>
      <c r="Y23" s="4"/>
      <c r="Z23" s="36">
        <f t="shared" ref="Z23:Z27" si="21">IF(T23=0,0,X23/T23)</f>
        <v>-0.98839350493547218</v>
      </c>
    </row>
    <row r="24" spans="1:26" s="25" customFormat="1" outlineLevel="1" collapsed="1" x14ac:dyDescent="0.25">
      <c r="A24" s="26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0</v>
      </c>
      <c r="E24" s="1"/>
      <c r="F24" s="5">
        <f t="shared" si="14"/>
        <v>0</v>
      </c>
      <c r="G24" s="1"/>
      <c r="H24" s="1">
        <f>SUM(OSRRefH22_0x_0)</f>
        <v>189.89000000000001</v>
      </c>
      <c r="I24" s="1"/>
      <c r="J24" s="5">
        <f t="shared" si="15"/>
        <v>0.21784870247573596</v>
      </c>
      <c r="K24" s="1"/>
      <c r="L24" s="1">
        <f t="shared" si="16"/>
        <v>-189.89000000000001</v>
      </c>
      <c r="M24" s="1"/>
      <c r="N24" s="5">
        <f t="shared" si="17"/>
        <v>-1</v>
      </c>
      <c r="O24" s="13"/>
      <c r="P24" s="1">
        <f>SUM(OSRRefP22_0x_0)</f>
        <v>0</v>
      </c>
      <c r="Q24" s="1"/>
      <c r="R24" s="5">
        <f t="shared" si="18"/>
        <v>0</v>
      </c>
      <c r="S24" s="1"/>
      <c r="T24" s="1">
        <f>SUM(OSRRefT22_0x_0)</f>
        <v>853.08</v>
      </c>
      <c r="U24" s="1"/>
      <c r="V24" s="5">
        <f t="shared" si="19"/>
        <v>0.16471842163189174</v>
      </c>
      <c r="W24" s="1"/>
      <c r="X24" s="1">
        <f t="shared" si="20"/>
        <v>-853.08</v>
      </c>
      <c r="Y24" s="1"/>
      <c r="Z24" s="5">
        <f t="shared" si="21"/>
        <v>-1</v>
      </c>
    </row>
    <row r="25" spans="1:26" s="24" customFormat="1" hidden="1" outlineLevel="2" x14ac:dyDescent="0.25">
      <c r="A25" s="27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4"/>
        <v>0</v>
      </c>
      <c r="G25" s="2"/>
      <c r="H25" s="7">
        <v>123.51</v>
      </c>
      <c r="I25" s="2"/>
      <c r="J25" s="6">
        <f t="shared" si="15"/>
        <v>0.14169515636830873</v>
      </c>
      <c r="K25" s="2"/>
      <c r="L25" s="7">
        <f t="shared" si="16"/>
        <v>-123.51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602.38</v>
      </c>
      <c r="U25" s="2"/>
      <c r="V25" s="6">
        <f t="shared" si="19"/>
        <v>0.11631158018312343</v>
      </c>
      <c r="W25" s="2"/>
      <c r="X25" s="7">
        <f t="shared" si="20"/>
        <v>-602.38</v>
      </c>
      <c r="Y25" s="2"/>
      <c r="Z25" s="6">
        <f t="shared" si="21"/>
        <v>-1</v>
      </c>
    </row>
    <row r="26" spans="1:26" s="24" customFormat="1" hidden="1" outlineLevel="2" x14ac:dyDescent="0.25">
      <c r="A26" s="27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4"/>
        <v>0</v>
      </c>
      <c r="G26" s="2"/>
      <c r="H26" s="7">
        <v>58.39</v>
      </c>
      <c r="I26" s="2"/>
      <c r="J26" s="6">
        <f t="shared" si="15"/>
        <v>6.6987128008627217E-2</v>
      </c>
      <c r="K26" s="2"/>
      <c r="L26" s="7">
        <f t="shared" si="16"/>
        <v>-58.39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216.46</v>
      </c>
      <c r="U26" s="2"/>
      <c r="V26" s="6">
        <f t="shared" si="19"/>
        <v>4.1795552054249646E-2</v>
      </c>
      <c r="W26" s="2"/>
      <c r="X26" s="7">
        <f t="shared" si="20"/>
        <v>-216.46</v>
      </c>
      <c r="Y26" s="2"/>
      <c r="Z26" s="6">
        <f t="shared" si="21"/>
        <v>-1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7.99</v>
      </c>
      <c r="I27" s="2"/>
      <c r="J27" s="6">
        <f t="shared" si="15"/>
        <v>9.1664180987999899E-3</v>
      </c>
      <c r="K27" s="2"/>
      <c r="L27" s="7">
        <f t="shared" si="16"/>
        <v>-7.99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34.24</v>
      </c>
      <c r="U27" s="2"/>
      <c r="V27" s="6">
        <f t="shared" si="19"/>
        <v>6.6112893945186541E-3</v>
      </c>
      <c r="W27" s="2"/>
      <c r="X27" s="7">
        <f t="shared" si="20"/>
        <v>-34.24</v>
      </c>
      <c r="Y27" s="2"/>
      <c r="Z27" s="6">
        <f t="shared" si="21"/>
        <v>-1</v>
      </c>
    </row>
    <row r="28" spans="1:26" s="25" customFormat="1" outlineLevel="1" collapsed="1" x14ac:dyDescent="0.25">
      <c r="A28" s="26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1" si="22">IF(D$12=0,0,D28/D$12)</f>
        <v>0</v>
      </c>
      <c r="G28" s="1"/>
      <c r="H28" s="1">
        <f>SUM(OSRRefH22_1x_0)</f>
        <v>2202.8599999999997</v>
      </c>
      <c r="I28" s="1"/>
      <c r="J28" s="5">
        <f t="shared" ref="J28:J31" si="23">IF(H$12=0,0,H28/H$12)</f>
        <v>2.5272009728563885</v>
      </c>
      <c r="K28" s="1"/>
      <c r="L28" s="1">
        <f t="shared" ref="L28:L31" si="24">+D28-H28</f>
        <v>-2202.8599999999997</v>
      </c>
      <c r="M28" s="1"/>
      <c r="N28" s="5">
        <f t="shared" ref="N28:N31" si="25">IF(H28=0,0,L28/H28)</f>
        <v>-1</v>
      </c>
      <c r="O28" s="13"/>
      <c r="P28" s="1">
        <f>SUM(OSRRefP22_1x_0)</f>
        <v>0</v>
      </c>
      <c r="Q28" s="1"/>
      <c r="R28" s="5">
        <f t="shared" ref="R28:R31" si="26">IF(P$12=0,0,P28/P$12)</f>
        <v>0</v>
      </c>
      <c r="S28" s="1"/>
      <c r="T28" s="1">
        <f>SUM(OSRRefT22_1x_0)</f>
        <v>10914.98</v>
      </c>
      <c r="U28" s="1"/>
      <c r="V28" s="5">
        <f t="shared" ref="V28:V31" si="27">IF(T$12=0,0,T28/T$12)</f>
        <v>2.1075377194913321</v>
      </c>
      <c r="W28" s="1"/>
      <c r="X28" s="1">
        <f t="shared" ref="X28:X31" si="28">+P28-T28</f>
        <v>-10914.98</v>
      </c>
      <c r="Y28" s="1"/>
      <c r="Z28" s="5">
        <f t="shared" ref="Z28:Z31" si="29">IF(T28=0,0,X28/T28)</f>
        <v>-1</v>
      </c>
    </row>
    <row r="29" spans="1:26" s="24" customFormat="1" hidden="1" outlineLevel="2" x14ac:dyDescent="0.25">
      <c r="A29" s="27"/>
      <c r="B29" s="11" t="str">
        <f>CONCATENATE("          ", "6005", " - ", "TEMPORARY WAGES-HOURLY")</f>
        <v xml:space="preserve">          6005 - TEMPORARY WAGES-HOURLY</v>
      </c>
      <c r="C29" s="11"/>
      <c r="D29" s="7"/>
      <c r="E29" s="2"/>
      <c r="F29" s="6">
        <f t="shared" si="22"/>
        <v>0</v>
      </c>
      <c r="G29" s="2"/>
      <c r="H29" s="7">
        <v>1601.55</v>
      </c>
      <c r="I29" s="2"/>
      <c r="J29" s="6">
        <f t="shared" si="23"/>
        <v>1.837356308652456</v>
      </c>
      <c r="K29" s="2"/>
      <c r="L29" s="7">
        <f t="shared" si="24"/>
        <v>-1601.55</v>
      </c>
      <c r="M29" s="2"/>
      <c r="N29" s="6">
        <f t="shared" si="25"/>
        <v>-1</v>
      </c>
      <c r="O29" s="11"/>
      <c r="P29" s="7"/>
      <c r="Q29" s="2"/>
      <c r="R29" s="6">
        <f t="shared" si="26"/>
        <v>0</v>
      </c>
      <c r="S29" s="2"/>
      <c r="T29" s="7">
        <v>7765.17</v>
      </c>
      <c r="U29" s="2"/>
      <c r="V29" s="6">
        <f t="shared" si="27"/>
        <v>1.4993512286108182</v>
      </c>
      <c r="W29" s="2"/>
      <c r="X29" s="7">
        <f t="shared" si="28"/>
        <v>-7765.17</v>
      </c>
      <c r="Y29" s="2"/>
      <c r="Z29" s="6">
        <f t="shared" si="29"/>
        <v>-1</v>
      </c>
    </row>
    <row r="30" spans="1:26" s="24" customFormat="1" hidden="1" outlineLevel="2" x14ac:dyDescent="0.25">
      <c r="A30" s="27"/>
      <c r="B30" s="11" t="str">
        <f>CONCATENATE("          ", "6006", " - ", "TEMPORARY PART TIME")</f>
        <v xml:space="preserve">          6006 - TEMPORARY PART TIME</v>
      </c>
      <c r="C30" s="11"/>
      <c r="D30" s="7"/>
      <c r="E30" s="2"/>
      <c r="F30" s="6">
        <f t="shared" si="22"/>
        <v>0</v>
      </c>
      <c r="G30" s="2"/>
      <c r="H30" s="7">
        <v>73.31</v>
      </c>
      <c r="I30" s="2"/>
      <c r="J30" s="6">
        <f t="shared" si="23"/>
        <v>8.4103893720028453E-2</v>
      </c>
      <c r="K30" s="2"/>
      <c r="L30" s="7">
        <f t="shared" si="24"/>
        <v>-73.31</v>
      </c>
      <c r="M30" s="2"/>
      <c r="N30" s="6">
        <f t="shared" si="25"/>
        <v>-1</v>
      </c>
      <c r="O30" s="11"/>
      <c r="P30" s="7"/>
      <c r="Q30" s="2"/>
      <c r="R30" s="6">
        <f t="shared" si="26"/>
        <v>0</v>
      </c>
      <c r="S30" s="2"/>
      <c r="T30" s="7">
        <v>73.31</v>
      </c>
      <c r="U30" s="2"/>
      <c r="V30" s="6">
        <f t="shared" si="27"/>
        <v>1.4155187660986054E-2</v>
      </c>
      <c r="W30" s="2"/>
      <c r="X30" s="7">
        <f t="shared" si="28"/>
        <v>-73.31</v>
      </c>
      <c r="Y30" s="2"/>
      <c r="Z30" s="6">
        <f t="shared" si="29"/>
        <v>-1</v>
      </c>
    </row>
    <row r="31" spans="1:26" s="24" customFormat="1" hidden="1" outlineLevel="2" x14ac:dyDescent="0.25">
      <c r="A31" s="27"/>
      <c r="B31" s="11" t="str">
        <f>CONCATENATE("          ", "6007", " - ", "STUDENT HOURLY")</f>
        <v xml:space="preserve">          6007 - STUDENT HOURLY</v>
      </c>
      <c r="C31" s="11"/>
      <c r="D31" s="7"/>
      <c r="E31" s="2"/>
      <c r="F31" s="6">
        <f t="shared" si="22"/>
        <v>0</v>
      </c>
      <c r="G31" s="2"/>
      <c r="H31" s="7">
        <v>528</v>
      </c>
      <c r="I31" s="2"/>
      <c r="J31" s="6">
        <f t="shared" si="23"/>
        <v>0.60574077048390418</v>
      </c>
      <c r="K31" s="2"/>
      <c r="L31" s="7">
        <f t="shared" si="24"/>
        <v>-528</v>
      </c>
      <c r="M31" s="2"/>
      <c r="N31" s="6">
        <f t="shared" si="25"/>
        <v>-1</v>
      </c>
      <c r="O31" s="11"/>
      <c r="P31" s="7"/>
      <c r="Q31" s="2"/>
      <c r="R31" s="6">
        <f t="shared" si="26"/>
        <v>0</v>
      </c>
      <c r="S31" s="2"/>
      <c r="T31" s="7">
        <v>3076.5</v>
      </c>
      <c r="U31" s="2"/>
      <c r="V31" s="6">
        <f t="shared" si="27"/>
        <v>0.59403130321952802</v>
      </c>
      <c r="W31" s="2"/>
      <c r="X31" s="7">
        <f t="shared" si="28"/>
        <v>-3076.5</v>
      </c>
      <c r="Y31" s="2"/>
      <c r="Z31" s="6">
        <f t="shared" si="29"/>
        <v>-1</v>
      </c>
    </row>
    <row r="32" spans="1:26" s="25" customFormat="1" outlineLevel="1" collapsed="1" x14ac:dyDescent="0.25">
      <c r="A32" s="26"/>
      <c r="B32" s="13" t="str">
        <f>CONCATENATE("     ","Bad Debts/Over/Short                              ")</f>
        <v xml:space="preserve">     Bad Debts/Over/Short                              </v>
      </c>
      <c r="C32" s="13"/>
      <c r="D32" s="1">
        <f>SUM(OSRRefD22_2x_0)</f>
        <v>0</v>
      </c>
      <c r="E32" s="1"/>
      <c r="F32" s="5">
        <f t="shared" ref="F32:F43" si="30">IF(D$12=0,0,D32/D$12)</f>
        <v>0</v>
      </c>
      <c r="G32" s="1"/>
      <c r="H32" s="1">
        <f>SUM(OSRRefH22_2x_0)</f>
        <v>-0.45</v>
      </c>
      <c r="I32" s="1"/>
      <c r="J32" s="5">
        <f t="shared" ref="J32:J43" si="31">IF(H$12=0,0,H32/H$12)</f>
        <v>-5.162563384806002E-4</v>
      </c>
      <c r="K32" s="1"/>
      <c r="L32" s="1">
        <f t="shared" ref="L32:L43" si="32">+D32-H32</f>
        <v>0.45</v>
      </c>
      <c r="M32" s="1"/>
      <c r="N32" s="5">
        <f t="shared" ref="N32:N43" si="33">IF(H32=0,0,L32/H32)</f>
        <v>-1</v>
      </c>
      <c r="O32" s="13"/>
      <c r="P32" s="1">
        <f>SUM(OSRRefP22_2x_0)</f>
        <v>0</v>
      </c>
      <c r="Q32" s="1"/>
      <c r="R32" s="5">
        <f t="shared" ref="R32:R43" si="34">IF(P$12=0,0,P32/P$12)</f>
        <v>0</v>
      </c>
      <c r="S32" s="1"/>
      <c r="T32" s="1">
        <f>SUM(OSRRefT22_2x_0)</f>
        <v>-1.41</v>
      </c>
      <c r="U32" s="1"/>
      <c r="V32" s="5">
        <f t="shared" ref="V32:V43" si="35">IF(T$12=0,0,T32/T$12)</f>
        <v>-2.7225227938876463E-4</v>
      </c>
      <c r="W32" s="1"/>
      <c r="X32" s="1">
        <f t="shared" ref="X32:X43" si="36">+P32-T32</f>
        <v>1.41</v>
      </c>
      <c r="Y32" s="1"/>
      <c r="Z32" s="5">
        <f t="shared" ref="Z32:Z43" si="37">IF(T32=0,0,X32/T32)</f>
        <v>-1</v>
      </c>
    </row>
    <row r="33" spans="1:26" s="24" customFormat="1" hidden="1" outlineLevel="2" x14ac:dyDescent="0.25">
      <c r="A33" s="27"/>
      <c r="B33" s="11" t="str">
        <f>CONCATENATE("          ", "6272", " - ", "CASH (OVER/SHORT)")</f>
        <v xml:space="preserve">          6272 - CASH (OVER/SHORT)</v>
      </c>
      <c r="C33" s="11"/>
      <c r="D33" s="7"/>
      <c r="E33" s="2"/>
      <c r="F33" s="6">
        <f t="shared" si="30"/>
        <v>0</v>
      </c>
      <c r="G33" s="2"/>
      <c r="H33" s="7">
        <v>-0.45</v>
      </c>
      <c r="I33" s="2"/>
      <c r="J33" s="6">
        <f t="shared" si="31"/>
        <v>-5.162563384806002E-4</v>
      </c>
      <c r="K33" s="2"/>
      <c r="L33" s="7">
        <f t="shared" si="32"/>
        <v>0.45</v>
      </c>
      <c r="M33" s="2"/>
      <c r="N33" s="6">
        <f t="shared" si="33"/>
        <v>-1</v>
      </c>
      <c r="O33" s="11"/>
      <c r="P33" s="7"/>
      <c r="Q33" s="2"/>
      <c r="R33" s="6">
        <f t="shared" si="34"/>
        <v>0</v>
      </c>
      <c r="S33" s="2"/>
      <c r="T33" s="7">
        <v>-1.41</v>
      </c>
      <c r="U33" s="2"/>
      <c r="V33" s="6">
        <f t="shared" si="35"/>
        <v>-2.7225227938876463E-4</v>
      </c>
      <c r="W33" s="2"/>
      <c r="X33" s="7">
        <f t="shared" si="36"/>
        <v>1.41</v>
      </c>
      <c r="Y33" s="2"/>
      <c r="Z33" s="6">
        <f t="shared" si="37"/>
        <v>-1</v>
      </c>
    </row>
    <row r="34" spans="1:26" s="25" customFormat="1" outlineLevel="1" collapsed="1" x14ac:dyDescent="0.25">
      <c r="A34" s="26"/>
      <c r="B34" s="13" t="str">
        <f>CONCATENATE("     ","Bank/card Fees                                    ")</f>
        <v xml:space="preserve">     Bank/card Fees                                    </v>
      </c>
      <c r="C34" s="13"/>
      <c r="D34" s="1">
        <f>SUM(OSRRefD22_3x_0)</f>
        <v>0</v>
      </c>
      <c r="E34" s="1"/>
      <c r="F34" s="5">
        <f t="shared" si="30"/>
        <v>0</v>
      </c>
      <c r="G34" s="1"/>
      <c r="H34" s="1">
        <f>SUM(OSRRefH22_3x_0)</f>
        <v>18.309999999999999</v>
      </c>
      <c r="I34" s="1"/>
      <c r="J34" s="5">
        <f t="shared" si="31"/>
        <v>2.1005896794621753E-2</v>
      </c>
      <c r="K34" s="1"/>
      <c r="L34" s="1">
        <f t="shared" si="32"/>
        <v>-18.309999999999999</v>
      </c>
      <c r="M34" s="1"/>
      <c r="N34" s="5">
        <f t="shared" si="33"/>
        <v>-1</v>
      </c>
      <c r="O34" s="13"/>
      <c r="P34" s="1">
        <f>SUM(OSRRefP22_3x_0)</f>
        <v>0</v>
      </c>
      <c r="Q34" s="1"/>
      <c r="R34" s="5">
        <f t="shared" si="34"/>
        <v>0</v>
      </c>
      <c r="S34" s="1"/>
      <c r="T34" s="1">
        <f>SUM(OSRRefT22_3x_0)</f>
        <v>125.26</v>
      </c>
      <c r="U34" s="1"/>
      <c r="V34" s="5">
        <f t="shared" si="35"/>
        <v>2.418604291931678E-2</v>
      </c>
      <c r="W34" s="1"/>
      <c r="X34" s="1">
        <f t="shared" si="36"/>
        <v>-125.26</v>
      </c>
      <c r="Y34" s="1"/>
      <c r="Z34" s="5">
        <f t="shared" si="37"/>
        <v>-1</v>
      </c>
    </row>
    <row r="35" spans="1:26" s="24" customFormat="1" hidden="1" outlineLevel="2" x14ac:dyDescent="0.25">
      <c r="A35" s="27"/>
      <c r="B35" s="11" t="str">
        <f>CONCATENATE("          ", "6381", " - ", "BANK/CREDIT CARD FEES")</f>
        <v xml:space="preserve">          6381 - BANK/CREDIT CARD FEES</v>
      </c>
      <c r="C35" s="11"/>
      <c r="D35" s="7"/>
      <c r="E35" s="2"/>
      <c r="F35" s="6">
        <f t="shared" si="30"/>
        <v>0</v>
      </c>
      <c r="G35" s="2"/>
      <c r="H35" s="7">
        <v>18.309999999999999</v>
      </c>
      <c r="I35" s="2"/>
      <c r="J35" s="6">
        <f t="shared" si="31"/>
        <v>2.1005896794621753E-2</v>
      </c>
      <c r="K35" s="2"/>
      <c r="L35" s="7">
        <f t="shared" si="32"/>
        <v>-18.309999999999999</v>
      </c>
      <c r="M35" s="2"/>
      <c r="N35" s="6">
        <f t="shared" si="33"/>
        <v>-1</v>
      </c>
      <c r="O35" s="11"/>
      <c r="P35" s="7"/>
      <c r="Q35" s="2"/>
      <c r="R35" s="6">
        <f t="shared" si="34"/>
        <v>0</v>
      </c>
      <c r="S35" s="2"/>
      <c r="T35" s="7">
        <v>125.26</v>
      </c>
      <c r="U35" s="2"/>
      <c r="V35" s="6">
        <f t="shared" si="35"/>
        <v>2.418604291931678E-2</v>
      </c>
      <c r="W35" s="2"/>
      <c r="X35" s="7">
        <f t="shared" si="36"/>
        <v>-125.26</v>
      </c>
      <c r="Y35" s="2"/>
      <c r="Z35" s="6">
        <f t="shared" si="37"/>
        <v>-1</v>
      </c>
    </row>
    <row r="36" spans="1:26" s="25" customFormat="1" outlineLevel="1" collapsed="1" x14ac:dyDescent="0.25">
      <c r="A36" s="26"/>
      <c r="B36" s="13" t="str">
        <f>CONCATENATE("     ","General                                           ")</f>
        <v xml:space="preserve">     General                                           </v>
      </c>
      <c r="C36" s="13"/>
      <c r="D36" s="1">
        <f>SUM(OSRRefD22_4x_0)</f>
        <v>0</v>
      </c>
      <c r="E36" s="1"/>
      <c r="F36" s="5">
        <f t="shared" si="30"/>
        <v>0</v>
      </c>
      <c r="G36" s="1"/>
      <c r="H36" s="1">
        <f>SUM(OSRRefH22_4x_0)</f>
        <v>0</v>
      </c>
      <c r="I36" s="1"/>
      <c r="J36" s="5">
        <f t="shared" si="31"/>
        <v>0</v>
      </c>
      <c r="K36" s="1"/>
      <c r="L36" s="1">
        <f t="shared" si="32"/>
        <v>0</v>
      </c>
      <c r="M36" s="1"/>
      <c r="N36" s="5">
        <f t="shared" si="33"/>
        <v>0</v>
      </c>
      <c r="O36" s="13"/>
      <c r="P36" s="1">
        <f>SUM(OSRRefP22_4x_0)</f>
        <v>0</v>
      </c>
      <c r="Q36" s="1"/>
      <c r="R36" s="5">
        <f t="shared" si="34"/>
        <v>0</v>
      </c>
      <c r="S36" s="1"/>
      <c r="T36" s="1">
        <f>SUM(OSRRefT22_4x_0)</f>
        <v>1154.05</v>
      </c>
      <c r="U36" s="1"/>
      <c r="V36" s="5">
        <f t="shared" si="35"/>
        <v>0.22283173264439987</v>
      </c>
      <c r="W36" s="1"/>
      <c r="X36" s="1">
        <f t="shared" si="36"/>
        <v>-1154.05</v>
      </c>
      <c r="Y36" s="1"/>
      <c r="Z36" s="5">
        <f t="shared" si="37"/>
        <v>-1</v>
      </c>
    </row>
    <row r="37" spans="1:26" s="24" customFormat="1" hidden="1" outlineLevel="2" x14ac:dyDescent="0.25">
      <c r="A37" s="27"/>
      <c r="B37" s="11" t="str">
        <f>CONCATENATE("          ", "6279", " - ", "GENERAL EXPENSE")</f>
        <v xml:space="preserve">          6279 - GENERAL EXPENSE</v>
      </c>
      <c r="C37" s="11"/>
      <c r="D37" s="7"/>
      <c r="E37" s="2"/>
      <c r="F37" s="6">
        <f t="shared" si="30"/>
        <v>0</v>
      </c>
      <c r="G37" s="2"/>
      <c r="H37" s="7"/>
      <c r="I37" s="2"/>
      <c r="J37" s="6">
        <f t="shared" si="31"/>
        <v>0</v>
      </c>
      <c r="K37" s="2"/>
      <c r="L37" s="7">
        <f t="shared" si="32"/>
        <v>0</v>
      </c>
      <c r="M37" s="2"/>
      <c r="N37" s="6">
        <f t="shared" si="33"/>
        <v>0</v>
      </c>
      <c r="O37" s="11"/>
      <c r="P37" s="7"/>
      <c r="Q37" s="2"/>
      <c r="R37" s="6">
        <f t="shared" si="34"/>
        <v>0</v>
      </c>
      <c r="S37" s="2"/>
      <c r="T37" s="7">
        <v>1154.05</v>
      </c>
      <c r="U37" s="2"/>
      <c r="V37" s="6">
        <f t="shared" si="35"/>
        <v>0.22283173264439987</v>
      </c>
      <c r="W37" s="2"/>
      <c r="X37" s="7">
        <f t="shared" si="36"/>
        <v>-1154.05</v>
      </c>
      <c r="Y37" s="2"/>
      <c r="Z37" s="6">
        <f t="shared" si="37"/>
        <v>-1</v>
      </c>
    </row>
    <row r="38" spans="1:26" s="25" customFormat="1" outlineLevel="1" collapsed="1" x14ac:dyDescent="0.25">
      <c r="A38" s="26"/>
      <c r="B38" s="13" t="str">
        <f>CONCATENATE("     ","R/H Commissions                                   ")</f>
        <v xml:space="preserve">     R/H Commissions                                   </v>
      </c>
      <c r="C38" s="13"/>
      <c r="D38" s="1">
        <f>SUM(OSRRefD22_5x_0)</f>
        <v>0</v>
      </c>
      <c r="E38" s="1"/>
      <c r="F38" s="5">
        <f t="shared" si="30"/>
        <v>0</v>
      </c>
      <c r="G38" s="1"/>
      <c r="H38" s="1">
        <f>SUM(OSRRefH22_5x_0)</f>
        <v>83.32</v>
      </c>
      <c r="I38" s="1"/>
      <c r="J38" s="5">
        <f t="shared" si="31"/>
        <v>9.5587729160452453E-2</v>
      </c>
      <c r="K38" s="1"/>
      <c r="L38" s="1">
        <f t="shared" si="32"/>
        <v>-83.32</v>
      </c>
      <c r="M38" s="1"/>
      <c r="N38" s="5">
        <f t="shared" si="33"/>
        <v>-1</v>
      </c>
      <c r="O38" s="13"/>
      <c r="P38" s="1">
        <f>SUM(OSRRefP22_5x_0)</f>
        <v>0</v>
      </c>
      <c r="Q38" s="1"/>
      <c r="R38" s="5">
        <f t="shared" si="34"/>
        <v>0</v>
      </c>
      <c r="S38" s="1"/>
      <c r="T38" s="1">
        <f>SUM(OSRRefT22_5x_0)</f>
        <v>344.59</v>
      </c>
      <c r="U38" s="1"/>
      <c r="V38" s="5">
        <f t="shared" si="35"/>
        <v>6.6535753868492489E-2</v>
      </c>
      <c r="W38" s="1"/>
      <c r="X38" s="1">
        <f t="shared" si="36"/>
        <v>-344.59</v>
      </c>
      <c r="Y38" s="1"/>
      <c r="Z38" s="5">
        <f t="shared" si="37"/>
        <v>-1</v>
      </c>
    </row>
    <row r="39" spans="1:26" s="24" customFormat="1" hidden="1" outlineLevel="2" x14ac:dyDescent="0.25">
      <c r="A39" s="27"/>
      <c r="B39" s="11" t="str">
        <f>CONCATENATE("          ", "6387", " - ", "COMMISSION DUE HOUSING")</f>
        <v xml:space="preserve">          6387 - COMMISSION DUE HOUSING</v>
      </c>
      <c r="C39" s="11"/>
      <c r="D39" s="7"/>
      <c r="E39" s="2"/>
      <c r="F39" s="6">
        <f t="shared" si="30"/>
        <v>0</v>
      </c>
      <c r="G39" s="2"/>
      <c r="H39" s="7">
        <v>83.32</v>
      </c>
      <c r="I39" s="2"/>
      <c r="J39" s="6">
        <f t="shared" si="31"/>
        <v>9.5587729160452453E-2</v>
      </c>
      <c r="K39" s="2"/>
      <c r="L39" s="7">
        <f t="shared" si="32"/>
        <v>-83.32</v>
      </c>
      <c r="M39" s="2"/>
      <c r="N39" s="6">
        <f t="shared" si="33"/>
        <v>-1</v>
      </c>
      <c r="O39" s="11"/>
      <c r="P39" s="7"/>
      <c r="Q39" s="2"/>
      <c r="R39" s="6">
        <f t="shared" si="34"/>
        <v>0</v>
      </c>
      <c r="S39" s="2"/>
      <c r="T39" s="7">
        <v>344.59</v>
      </c>
      <c r="U39" s="2"/>
      <c r="V39" s="6">
        <f t="shared" si="35"/>
        <v>6.6535753868492489E-2</v>
      </c>
      <c r="W39" s="2"/>
      <c r="X39" s="7">
        <f t="shared" si="36"/>
        <v>-344.59</v>
      </c>
      <c r="Y39" s="2"/>
      <c r="Z39" s="6">
        <f t="shared" si="37"/>
        <v>-1</v>
      </c>
    </row>
    <row r="40" spans="1:26" s="25" customFormat="1" outlineLevel="1" collapsed="1" x14ac:dyDescent="0.25">
      <c r="A40" s="26"/>
      <c r="B40" s="13" t="str">
        <f>CONCATENATE("     ","Supplies                                          ")</f>
        <v xml:space="preserve">     Supplies                                          </v>
      </c>
      <c r="C40" s="13"/>
      <c r="D40" s="1">
        <f>SUM(OSRRefD22_6x_0)</f>
        <v>0</v>
      </c>
      <c r="E40" s="1"/>
      <c r="F40" s="5">
        <f t="shared" si="30"/>
        <v>0</v>
      </c>
      <c r="G40" s="1"/>
      <c r="H40" s="1">
        <f>SUM(OSRRefH22_6x_0)</f>
        <v>8.3699999999999992</v>
      </c>
      <c r="I40" s="1"/>
      <c r="J40" s="5">
        <f t="shared" si="31"/>
        <v>9.6023678957391622E-3</v>
      </c>
      <c r="K40" s="1"/>
      <c r="L40" s="1">
        <f t="shared" si="32"/>
        <v>-8.3699999999999992</v>
      </c>
      <c r="M40" s="1"/>
      <c r="N40" s="5">
        <f t="shared" si="33"/>
        <v>-1</v>
      </c>
      <c r="O40" s="13"/>
      <c r="P40" s="1">
        <f>SUM(OSRRefP22_6x_0)</f>
        <v>0</v>
      </c>
      <c r="Q40" s="1"/>
      <c r="R40" s="5">
        <f t="shared" si="34"/>
        <v>0</v>
      </c>
      <c r="S40" s="1"/>
      <c r="T40" s="1">
        <f>SUM(OSRRefT22_6x_0)</f>
        <v>1592.1399999999999</v>
      </c>
      <c r="U40" s="1"/>
      <c r="V40" s="5">
        <f t="shared" si="35"/>
        <v>0.30742109511065796</v>
      </c>
      <c r="W40" s="1"/>
      <c r="X40" s="1">
        <f t="shared" si="36"/>
        <v>-1592.1399999999999</v>
      </c>
      <c r="Y40" s="1"/>
      <c r="Z40" s="5">
        <f t="shared" si="37"/>
        <v>-1</v>
      </c>
    </row>
    <row r="41" spans="1:26" s="24" customFormat="1" hidden="1" outlineLevel="2" x14ac:dyDescent="0.25">
      <c r="A41" s="27"/>
      <c r="B41" s="11" t="str">
        <f>CONCATENATE("          ", "6237", " - ", "JANITORIAL SUPPLIES")</f>
        <v xml:space="preserve">          6237 - JANITORIAL SUPPLIES</v>
      </c>
      <c r="C41" s="11"/>
      <c r="D41" s="7"/>
      <c r="E41" s="2"/>
      <c r="F41" s="6">
        <f t="shared" si="30"/>
        <v>0</v>
      </c>
      <c r="G41" s="2"/>
      <c r="H41" s="7"/>
      <c r="I41" s="2"/>
      <c r="J41" s="6">
        <f t="shared" si="31"/>
        <v>0</v>
      </c>
      <c r="K41" s="2"/>
      <c r="L41" s="7">
        <f t="shared" si="32"/>
        <v>0</v>
      </c>
      <c r="M41" s="2"/>
      <c r="N41" s="6">
        <f t="shared" si="33"/>
        <v>0</v>
      </c>
      <c r="O41" s="11"/>
      <c r="P41" s="7"/>
      <c r="Q41" s="2"/>
      <c r="R41" s="6">
        <f t="shared" si="34"/>
        <v>0</v>
      </c>
      <c r="S41" s="2"/>
      <c r="T41" s="7">
        <v>47.13</v>
      </c>
      <c r="U41" s="2"/>
      <c r="V41" s="6">
        <f t="shared" si="35"/>
        <v>9.1001772536116864E-3</v>
      </c>
      <c r="W41" s="2"/>
      <c r="X41" s="7">
        <f t="shared" si="36"/>
        <v>-47.13</v>
      </c>
      <c r="Y41" s="2"/>
      <c r="Z41" s="6">
        <f t="shared" si="37"/>
        <v>-1</v>
      </c>
    </row>
    <row r="42" spans="1:26" s="24" customFormat="1" hidden="1" outlineLevel="2" x14ac:dyDescent="0.25">
      <c r="A42" s="27"/>
      <c r="B42" s="11" t="str">
        <f>CONCATENATE("          ", "6247", " - ", "STORE SUPPLIES")</f>
        <v xml:space="preserve">          6247 - STORE SUPPLIES</v>
      </c>
      <c r="C42" s="11"/>
      <c r="D42" s="7"/>
      <c r="E42" s="2"/>
      <c r="F42" s="6">
        <f t="shared" si="30"/>
        <v>0</v>
      </c>
      <c r="G42" s="2"/>
      <c r="H42" s="7">
        <v>8.3699999999999992</v>
      </c>
      <c r="I42" s="2"/>
      <c r="J42" s="6">
        <f t="shared" si="31"/>
        <v>9.6023678957391622E-3</v>
      </c>
      <c r="K42" s="2"/>
      <c r="L42" s="7">
        <f t="shared" si="32"/>
        <v>-8.3699999999999992</v>
      </c>
      <c r="M42" s="2"/>
      <c r="N42" s="6">
        <f t="shared" si="33"/>
        <v>-1</v>
      </c>
      <c r="O42" s="11"/>
      <c r="P42" s="7"/>
      <c r="Q42" s="2"/>
      <c r="R42" s="6">
        <f t="shared" si="34"/>
        <v>0</v>
      </c>
      <c r="S42" s="2"/>
      <c r="T42" s="7">
        <v>431.41</v>
      </c>
      <c r="U42" s="2"/>
      <c r="V42" s="6">
        <f t="shared" si="35"/>
        <v>8.3299543156813455E-2</v>
      </c>
      <c r="W42" s="2"/>
      <c r="X42" s="7">
        <f t="shared" si="36"/>
        <v>-431.41</v>
      </c>
      <c r="Y42" s="2"/>
      <c r="Z42" s="6">
        <f t="shared" si="37"/>
        <v>-1</v>
      </c>
    </row>
    <row r="43" spans="1:26" s="24" customFormat="1" hidden="1" outlineLevel="2" x14ac:dyDescent="0.25">
      <c r="A43" s="27"/>
      <c r="B43" s="11" t="str">
        <f>CONCATENATE("          ", "6248", " - ", "UNIFORMS")</f>
        <v xml:space="preserve">          6248 - UNIFORMS</v>
      </c>
      <c r="C43" s="11"/>
      <c r="D43" s="7"/>
      <c r="E43" s="2"/>
      <c r="F43" s="6">
        <f t="shared" si="30"/>
        <v>0</v>
      </c>
      <c r="G43" s="2"/>
      <c r="H43" s="7"/>
      <c r="I43" s="2"/>
      <c r="J43" s="6">
        <f t="shared" si="31"/>
        <v>0</v>
      </c>
      <c r="K43" s="2"/>
      <c r="L43" s="7">
        <f t="shared" si="32"/>
        <v>0</v>
      </c>
      <c r="M43" s="2"/>
      <c r="N43" s="6">
        <f t="shared" si="33"/>
        <v>0</v>
      </c>
      <c r="O43" s="11"/>
      <c r="P43" s="7"/>
      <c r="Q43" s="2"/>
      <c r="R43" s="6">
        <f t="shared" si="34"/>
        <v>0</v>
      </c>
      <c r="S43" s="2"/>
      <c r="T43" s="7">
        <v>1113.5999999999999</v>
      </c>
      <c r="U43" s="2"/>
      <c r="V43" s="6">
        <f t="shared" si="35"/>
        <v>0.21502137470023283</v>
      </c>
      <c r="W43" s="2"/>
      <c r="X43" s="7">
        <f t="shared" si="36"/>
        <v>-1113.5999999999999</v>
      </c>
      <c r="Y43" s="2"/>
      <c r="Z43" s="6">
        <f t="shared" si="37"/>
        <v>-1</v>
      </c>
    </row>
    <row r="44" spans="1:26" s="25" customFormat="1" outlineLevel="1" collapsed="1" x14ac:dyDescent="0.25">
      <c r="A44" s="26"/>
      <c r="B44" s="13" t="str">
        <f>CONCATENATE("     ","Telephone/Data Lines                              ")</f>
        <v xml:space="preserve">     Telephone/Data Lines                              </v>
      </c>
      <c r="C44" s="13"/>
      <c r="D44" s="1">
        <f>SUM(OSRRefD22_7x_0)</f>
        <v>0</v>
      </c>
      <c r="E44" s="1"/>
      <c r="F44" s="5">
        <f t="shared" ref="F44:F45" si="38">IF(D$12=0,0,D44/D$12)</f>
        <v>0</v>
      </c>
      <c r="G44" s="1"/>
      <c r="H44" s="1">
        <f>SUM(OSRRefH22_7x_0)</f>
        <v>75.5</v>
      </c>
      <c r="I44" s="1"/>
      <c r="J44" s="5">
        <f t="shared" ref="J44:J45" si="39">IF(H$12=0,0,H44/H$12)</f>
        <v>8.6616341233967359E-2</v>
      </c>
      <c r="K44" s="1"/>
      <c r="L44" s="1">
        <f t="shared" ref="L44:L45" si="40">+D44-H44</f>
        <v>-75.5</v>
      </c>
      <c r="M44" s="1"/>
      <c r="N44" s="5">
        <f t="shared" ref="N44:N45" si="41">IF(H44=0,0,L44/H44)</f>
        <v>-1</v>
      </c>
      <c r="O44" s="13"/>
      <c r="P44" s="1">
        <f>SUM(OSRRefP22_7x_0)</f>
        <v>178.69</v>
      </c>
      <c r="Q44" s="1"/>
      <c r="R44" s="5">
        <f t="shared" ref="R44:R45" si="42">IF(P$12=0,0,P44/P$12)</f>
        <v>0</v>
      </c>
      <c r="S44" s="1"/>
      <c r="T44" s="1">
        <f>SUM(OSRRefT22_7x_0)</f>
        <v>413</v>
      </c>
      <c r="U44" s="1"/>
      <c r="V44" s="5">
        <f t="shared" ref="V44:V45" si="43">IF(T$12=0,0,T44/T$12)</f>
        <v>7.9744816586921841E-2</v>
      </c>
      <c r="W44" s="1"/>
      <c r="X44" s="1">
        <f t="shared" ref="X44:X45" si="44">+P44-T44</f>
        <v>-234.31</v>
      </c>
      <c r="Y44" s="1"/>
      <c r="Z44" s="5">
        <f t="shared" ref="Z44:Z45" si="45">IF(T44=0,0,X44/T44)</f>
        <v>-0.56733656174334146</v>
      </c>
    </row>
    <row r="45" spans="1:26" s="24" customFormat="1" hidden="1" outlineLevel="2" x14ac:dyDescent="0.25">
      <c r="A45" s="27"/>
      <c r="B45" s="11" t="str">
        <f>CONCATENATE("          ", "6309", " - ", "TELEPHONE")</f>
        <v xml:space="preserve">          6309 - TELEPHONE</v>
      </c>
      <c r="C45" s="11"/>
      <c r="D45" s="7"/>
      <c r="E45" s="2"/>
      <c r="F45" s="6">
        <f t="shared" si="38"/>
        <v>0</v>
      </c>
      <c r="G45" s="2"/>
      <c r="H45" s="7">
        <v>75.5</v>
      </c>
      <c r="I45" s="2"/>
      <c r="J45" s="6">
        <f t="shared" si="39"/>
        <v>8.6616341233967359E-2</v>
      </c>
      <c r="K45" s="2"/>
      <c r="L45" s="7">
        <f t="shared" si="40"/>
        <v>-75.5</v>
      </c>
      <c r="M45" s="2"/>
      <c r="N45" s="6">
        <f t="shared" si="41"/>
        <v>-1</v>
      </c>
      <c r="O45" s="11"/>
      <c r="P45" s="7">
        <v>178.69</v>
      </c>
      <c r="Q45" s="2"/>
      <c r="R45" s="6">
        <f t="shared" si="42"/>
        <v>0</v>
      </c>
      <c r="S45" s="2"/>
      <c r="T45" s="7">
        <v>413</v>
      </c>
      <c r="U45" s="2"/>
      <c r="V45" s="6">
        <f t="shared" si="43"/>
        <v>7.9744816586921841E-2</v>
      </c>
      <c r="W45" s="2"/>
      <c r="X45" s="7">
        <f t="shared" si="44"/>
        <v>-234.31</v>
      </c>
      <c r="Y45" s="2"/>
      <c r="Z45" s="6">
        <f t="shared" si="45"/>
        <v>-0.56733656174334146</v>
      </c>
    </row>
    <row r="46" spans="1:26" s="55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9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8" t="s">
        <v>3</v>
      </c>
      <c r="C49" s="28"/>
      <c r="D49" s="20">
        <f>+D21-D23+D47</f>
        <v>0</v>
      </c>
      <c r="E49" s="14"/>
      <c r="F49" s="21">
        <f>IF(D$12=0,0,D49/D$12)</f>
        <v>0</v>
      </c>
      <c r="G49" s="14"/>
      <c r="H49" s="20">
        <f>+H21-H23+H47</f>
        <v>-2089.1400000000003</v>
      </c>
      <c r="I49" s="14"/>
      <c r="J49" s="21">
        <f>IF(H$12=0,0,H49/H$12)</f>
        <v>-2.3967372599408026</v>
      </c>
      <c r="K49" s="15"/>
      <c r="L49" s="20">
        <f>+D49-H49</f>
        <v>2089.1400000000003</v>
      </c>
      <c r="M49" s="15"/>
      <c r="N49" s="21">
        <f>IF(H49=0,0,L49/H49)</f>
        <v>-1</v>
      </c>
      <c r="O49" s="29"/>
      <c r="P49" s="20">
        <f>+P21-P23+P47</f>
        <v>-178.69</v>
      </c>
      <c r="Q49" s="14"/>
      <c r="R49" s="21">
        <f>IF(P$12=0,0,P49/P$12)</f>
        <v>0</v>
      </c>
      <c r="S49" s="14"/>
      <c r="T49" s="20">
        <f>+T21-T23+T47</f>
        <v>-12171.14</v>
      </c>
      <c r="U49" s="14"/>
      <c r="V49" s="21">
        <f>IF(T$12=0,0,T49/T$12)</f>
        <v>-2.3500855374182756</v>
      </c>
      <c r="W49" s="15"/>
      <c r="X49" s="20">
        <f>+P49-T49</f>
        <v>11992.449999999999</v>
      </c>
      <c r="Y49" s="15"/>
      <c r="Z49" s="21">
        <f>IF(T49=0,0,X49/T49)</f>
        <v>-0.98531854863225621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1"/>
      <c r="B51" s="10" t="s">
        <v>13</v>
      </c>
      <c r="C51" s="10"/>
      <c r="D51" s="4"/>
      <c r="E51" s="4"/>
      <c r="F51" s="12">
        <f>IF(D$12=0,0,D51/D$12)</f>
        <v>0</v>
      </c>
      <c r="G51" s="4"/>
      <c r="H51" s="4">
        <v>103.25</v>
      </c>
      <c r="I51" s="4"/>
      <c r="J51" s="12">
        <f>IF(H$12=0,0,H51/H$12)</f>
        <v>0.11845214877360438</v>
      </c>
      <c r="K51" s="4"/>
      <c r="L51" s="4">
        <f>+D51-H51</f>
        <v>-103.25</v>
      </c>
      <c r="M51" s="4"/>
      <c r="N51" s="12">
        <f>IF(H51=0,0,L51/H51)</f>
        <v>-1</v>
      </c>
      <c r="O51" s="10"/>
      <c r="P51" s="4"/>
      <c r="Q51" s="4"/>
      <c r="R51" s="12">
        <f>IF(P$12=0,0,P51/P$12)</f>
        <v>0</v>
      </c>
      <c r="S51" s="4"/>
      <c r="T51" s="4">
        <v>559.37</v>
      </c>
      <c r="U51" s="4"/>
      <c r="V51" s="12">
        <f>IF(T$12=0,0,T51/T$12)</f>
        <v>0.10800692022815127</v>
      </c>
      <c r="W51" s="4"/>
      <c r="X51" s="4">
        <f>+P51-T51</f>
        <v>-559.37</v>
      </c>
      <c r="Y51" s="4"/>
      <c r="Z51" s="12">
        <f>IF(T51=0,0,X51/T51)</f>
        <v>-1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4</v>
      </c>
      <c r="C53" s="28"/>
      <c r="D53" s="33">
        <f>+D49-D51</f>
        <v>0</v>
      </c>
      <c r="E53" s="14"/>
      <c r="F53" s="34">
        <f>IF(D$12=0,0,D53/D$12)</f>
        <v>0</v>
      </c>
      <c r="G53" s="14"/>
      <c r="H53" s="33">
        <f>+H49-H51</f>
        <v>-2192.3900000000003</v>
      </c>
      <c r="I53" s="14"/>
      <c r="J53" s="34">
        <f>IF(H$12=0,0,H53/H$12)</f>
        <v>-2.5151894087144071</v>
      </c>
      <c r="K53" s="15"/>
      <c r="L53" s="33">
        <f>D53-H53</f>
        <v>2192.3900000000003</v>
      </c>
      <c r="M53" s="15"/>
      <c r="N53" s="34">
        <f>IF(H53=0,0,L53/H53)</f>
        <v>-1</v>
      </c>
      <c r="O53" s="29"/>
      <c r="P53" s="33">
        <f>+P49-P51</f>
        <v>-178.69</v>
      </c>
      <c r="Q53" s="14"/>
      <c r="R53" s="34">
        <f>IF(P$12=0,0,P53/P$12)</f>
        <v>0</v>
      </c>
      <c r="S53" s="14"/>
      <c r="T53" s="33">
        <f>+T49-T51</f>
        <v>-12730.51</v>
      </c>
      <c r="U53" s="14"/>
      <c r="V53" s="34">
        <f>IF(T$12=0,0,T53/T$12)</f>
        <v>-2.4580924576464271</v>
      </c>
      <c r="W53" s="15"/>
      <c r="X53" s="33">
        <f>P53-T53</f>
        <v>12551.82</v>
      </c>
      <c r="Y53" s="15"/>
      <c r="Z53" s="34">
        <f>IF(T53=0,0,X53/T53)</f>
        <v>-0.98596364167657069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8" t="s">
        <v>5</v>
      </c>
      <c r="C56" s="28"/>
      <c r="D56" s="30">
        <f>SUM(D53:D55)</f>
        <v>0</v>
      </c>
      <c r="E56" s="14"/>
      <c r="F56" s="32">
        <f>IF(D$12=0,0,D56/D$12)</f>
        <v>0</v>
      </c>
      <c r="G56" s="14"/>
      <c r="H56" s="30">
        <f>SUM(H53:H55)</f>
        <v>-2192.3900000000003</v>
      </c>
      <c r="I56" s="14"/>
      <c r="J56" s="32">
        <f>IF(H$12=0,0,H56/H$12)</f>
        <v>-2.5151894087144071</v>
      </c>
      <c r="K56" s="15"/>
      <c r="L56" s="30">
        <f>+D56-H56</f>
        <v>2192.3900000000003</v>
      </c>
      <c r="M56" s="15"/>
      <c r="N56" s="32">
        <f>IF(H56=0,0,L56/H56)</f>
        <v>-1</v>
      </c>
      <c r="O56" s="29"/>
      <c r="P56" s="30">
        <f>SUM(P53:P55)</f>
        <v>-178.69</v>
      </c>
      <c r="Q56" s="14"/>
      <c r="R56" s="32">
        <f>IF(P$12=0,0,P56/P$12)</f>
        <v>0</v>
      </c>
      <c r="S56" s="14"/>
      <c r="T56" s="30">
        <f>SUM(T53:T55)</f>
        <v>-12730.51</v>
      </c>
      <c r="U56" s="14"/>
      <c r="V56" s="32">
        <f>IF(T$12=0,0,T56/T$12)</f>
        <v>-2.4580924576464271</v>
      </c>
      <c r="W56" s="15"/>
      <c r="X56" s="30">
        <f>+P56-T56</f>
        <v>12551.82</v>
      </c>
      <c r="Y56" s="15"/>
      <c r="Z56" s="32">
        <f>IF(T56=0,0,X56/T56)</f>
        <v>-0.98596364167657069</v>
      </c>
    </row>
    <row r="57" spans="1:26" ht="15.75" thickTop="1" x14ac:dyDescent="0.25">
      <c r="A57" s="9"/>
      <c r="C57" s="9"/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A58" s="9"/>
      <c r="B58" s="58">
        <v>44209.522211145835</v>
      </c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25">
      <c r="A59" s="9"/>
      <c r="B59" s="61" t="s">
        <v>313</v>
      </c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25">
      <c r="A60" s="9"/>
      <c r="B60" s="57"/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  <row r="61" spans="1:26" x14ac:dyDescent="0.25"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","444", " - ", "Parkside Dining Hall")</f>
        <v>Department 444 - Parkside Dining Hall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85078.92</v>
      </c>
      <c r="E12" s="4"/>
      <c r="F12" s="12"/>
      <c r="G12" s="4"/>
      <c r="H12" s="4">
        <f>SUM(OSRRefH13x_0)</f>
        <v>297574.2</v>
      </c>
      <c r="I12" s="4"/>
      <c r="J12" s="12"/>
      <c r="K12" s="4"/>
      <c r="L12" s="4">
        <f t="shared" ref="L12:L15" si="0">+D12-H12</f>
        <v>-212495.28000000003</v>
      </c>
      <c r="M12" s="4"/>
      <c r="N12" s="12">
        <f t="shared" ref="N12:N15" si="1">IF(H12=0,0,L12/H12)</f>
        <v>-0.71409174585699975</v>
      </c>
      <c r="O12" s="10"/>
      <c r="P12" s="4">
        <f>SUM(OSRRefP13x_0)</f>
        <v>612697.74000000011</v>
      </c>
      <c r="Q12" s="4"/>
      <c r="R12" s="12"/>
      <c r="S12" s="4"/>
      <c r="T12" s="4">
        <f>SUM(OSRRefT13x_0)</f>
        <v>2294675.5299999998</v>
      </c>
      <c r="U12" s="4"/>
      <c r="V12" s="12"/>
      <c r="W12" s="4"/>
      <c r="X12" s="4">
        <f t="shared" ref="X12:X15" si="2">+P12-T12</f>
        <v>-1681977.7899999996</v>
      </c>
      <c r="Y12" s="4"/>
      <c r="Z12" s="12">
        <f t="shared" ref="Z12:Z15" si="3">IF(T12=0,0,X12/T12)</f>
        <v>-0.73299155719850284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--38.05</f>
        <v>38.049999999999997</v>
      </c>
      <c r="E13" s="2"/>
      <c r="F13" s="19"/>
      <c r="G13" s="2"/>
      <c r="H13" s="2">
        <f>--241.27</f>
        <v>241.27</v>
      </c>
      <c r="I13" s="2"/>
      <c r="J13" s="19"/>
      <c r="K13" s="2"/>
      <c r="L13" s="2">
        <f t="shared" si="0"/>
        <v>-203.22000000000003</v>
      </c>
      <c r="M13" s="2"/>
      <c r="N13" s="19">
        <f t="shared" si="1"/>
        <v>-0.84229286691258765</v>
      </c>
      <c r="O13" s="11"/>
      <c r="P13" s="2">
        <f>--315.43</f>
        <v>315.43</v>
      </c>
      <c r="Q13" s="2"/>
      <c r="R13" s="19"/>
      <c r="S13" s="2"/>
      <c r="T13" s="2">
        <f>--2227.36</f>
        <v>2227.36</v>
      </c>
      <c r="U13" s="2"/>
      <c r="V13" s="19"/>
      <c r="W13" s="2"/>
      <c r="X13" s="2">
        <f t="shared" si="2"/>
        <v>-1911.93</v>
      </c>
      <c r="Y13" s="2"/>
      <c r="Z13" s="19">
        <f t="shared" si="3"/>
        <v>-0.85838391638531708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--81403.33</f>
        <v>81403.33</v>
      </c>
      <c r="E14" s="2"/>
      <c r="F14" s="19"/>
      <c r="G14" s="2"/>
      <c r="H14" s="2">
        <f>--294714.6</f>
        <v>294714.59999999998</v>
      </c>
      <c r="I14" s="2"/>
      <c r="J14" s="19"/>
      <c r="K14" s="2"/>
      <c r="L14" s="2">
        <f t="shared" si="0"/>
        <v>-213311.26999999996</v>
      </c>
      <c r="M14" s="2"/>
      <c r="N14" s="19">
        <f t="shared" si="1"/>
        <v>-0.72378928631292772</v>
      </c>
      <c r="O14" s="11"/>
      <c r="P14" s="2">
        <f>--590109.38</f>
        <v>590109.38</v>
      </c>
      <c r="Q14" s="2"/>
      <c r="R14" s="19"/>
      <c r="S14" s="2"/>
      <c r="T14" s="2">
        <f>--2254584.8</f>
        <v>2254584.7999999998</v>
      </c>
      <c r="U14" s="2"/>
      <c r="V14" s="19"/>
      <c r="W14" s="2"/>
      <c r="X14" s="2">
        <f t="shared" si="2"/>
        <v>-1664475.42</v>
      </c>
      <c r="Y14" s="2"/>
      <c r="Z14" s="19">
        <f t="shared" si="3"/>
        <v>-0.73826250403178451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--3637.54</f>
        <v>3637.54</v>
      </c>
      <c r="E15" s="2"/>
      <c r="F15" s="19"/>
      <c r="G15" s="2"/>
      <c r="H15" s="2">
        <f>--2618.33</f>
        <v>2618.33</v>
      </c>
      <c r="I15" s="2"/>
      <c r="J15" s="19"/>
      <c r="K15" s="2"/>
      <c r="L15" s="2">
        <f t="shared" si="0"/>
        <v>1019.21</v>
      </c>
      <c r="M15" s="2"/>
      <c r="N15" s="19">
        <f t="shared" si="1"/>
        <v>0.38925956621205121</v>
      </c>
      <c r="O15" s="11"/>
      <c r="P15" s="2">
        <f>--22272.93</f>
        <v>22272.93</v>
      </c>
      <c r="Q15" s="2"/>
      <c r="R15" s="19"/>
      <c r="S15" s="2"/>
      <c r="T15" s="2">
        <f>--37863.37</f>
        <v>37863.370000000003</v>
      </c>
      <c r="U15" s="2"/>
      <c r="V15" s="19"/>
      <c r="W15" s="2"/>
      <c r="X15" s="2">
        <f t="shared" si="2"/>
        <v>-15590.440000000002</v>
      </c>
      <c r="Y15" s="2"/>
      <c r="Z15" s="19">
        <f t="shared" si="3"/>
        <v>-0.41175521354808092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34611.79</v>
      </c>
      <c r="E17" s="4"/>
      <c r="F17" s="12">
        <f t="shared" ref="F17:F19" si="4">IF(D$12=0,0,D17/D$12)</f>
        <v>0.40681980918422567</v>
      </c>
      <c r="G17" s="4"/>
      <c r="H17" s="4">
        <f>SUM(OSRRefH16x_0)</f>
        <v>63760.89</v>
      </c>
      <c r="I17" s="4"/>
      <c r="J17" s="12">
        <f t="shared" ref="J17:J19" si="5">IF(H$12=0,0,H17/H$12)</f>
        <v>0.21426887814871046</v>
      </c>
      <c r="K17" s="4"/>
      <c r="L17" s="4">
        <f t="shared" ref="L17:L19" si="6">+D17-H17</f>
        <v>-29149.1</v>
      </c>
      <c r="M17" s="4"/>
      <c r="N17" s="12">
        <f t="shared" ref="N17:N19" si="7">IF(H17=0,0,L17/H17)</f>
        <v>-0.45716269016947536</v>
      </c>
      <c r="O17" s="10"/>
      <c r="P17" s="4">
        <f>SUM(OSRRefP16x_0)</f>
        <v>225541.89</v>
      </c>
      <c r="Q17" s="4"/>
      <c r="R17" s="12">
        <f t="shared" ref="R17:R19" si="8">IF(P$12=0,0,P17/P$12)</f>
        <v>0.36811281530106504</v>
      </c>
      <c r="S17" s="4"/>
      <c r="T17" s="4">
        <f>SUM(OSRRefT16x_0)</f>
        <v>570350.51</v>
      </c>
      <c r="U17" s="4"/>
      <c r="V17" s="12">
        <f t="shared" ref="V17:V19" si="9">IF(T$12=0,0,T17/T$12)</f>
        <v>0.24855388160259853</v>
      </c>
      <c r="W17" s="4"/>
      <c r="X17" s="4">
        <f t="shared" ref="X17:X19" si="10">+P17-T17</f>
        <v>-344808.62</v>
      </c>
      <c r="Y17" s="4"/>
      <c r="Z17" s="12">
        <f t="shared" ref="Z17:Z19" si="11">IF(T17=0,0,X17/T17)</f>
        <v>-0.60455564421253871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32717.79</v>
      </c>
      <c r="E18" s="2"/>
      <c r="F18" s="19">
        <f t="shared" si="4"/>
        <v>0.38455812556153746</v>
      </c>
      <c r="G18" s="2"/>
      <c r="H18" s="2">
        <v>56157.89</v>
      </c>
      <c r="I18" s="2"/>
      <c r="J18" s="19">
        <f t="shared" si="5"/>
        <v>0.18871894808084841</v>
      </c>
      <c r="K18" s="2"/>
      <c r="L18" s="2">
        <f t="shared" si="6"/>
        <v>-23440.1</v>
      </c>
      <c r="M18" s="2"/>
      <c r="N18" s="19">
        <f t="shared" si="7"/>
        <v>-0.41739638009903862</v>
      </c>
      <c r="O18" s="11"/>
      <c r="P18" s="2">
        <v>241917.57</v>
      </c>
      <c r="Q18" s="2"/>
      <c r="R18" s="19">
        <f t="shared" si="8"/>
        <v>0.39483999075955456</v>
      </c>
      <c r="S18" s="2"/>
      <c r="T18" s="2">
        <v>563400.76</v>
      </c>
      <c r="U18" s="2"/>
      <c r="V18" s="19">
        <f t="shared" si="9"/>
        <v>0.24552523990178257</v>
      </c>
      <c r="W18" s="2"/>
      <c r="X18" s="2">
        <f t="shared" si="10"/>
        <v>-321483.19</v>
      </c>
      <c r="Y18" s="2"/>
      <c r="Z18" s="19">
        <f t="shared" si="11"/>
        <v>-0.57061192107728076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1894</v>
      </c>
      <c r="E19" s="2"/>
      <c r="F19" s="19">
        <f t="shared" si="4"/>
        <v>2.2261683622688207E-2</v>
      </c>
      <c r="G19" s="2"/>
      <c r="H19" s="2">
        <v>7603</v>
      </c>
      <c r="I19" s="2"/>
      <c r="J19" s="19">
        <f t="shared" si="5"/>
        <v>2.5549930067862065E-2</v>
      </c>
      <c r="K19" s="2"/>
      <c r="L19" s="2">
        <f t="shared" si="6"/>
        <v>-5709</v>
      </c>
      <c r="M19" s="2"/>
      <c r="N19" s="19">
        <f t="shared" si="7"/>
        <v>-0.75088780744442984</v>
      </c>
      <c r="O19" s="11"/>
      <c r="P19" s="2">
        <v>-16375.68</v>
      </c>
      <c r="Q19" s="2"/>
      <c r="R19" s="19">
        <f t="shared" si="8"/>
        <v>-2.6727175458489526E-2</v>
      </c>
      <c r="S19" s="2"/>
      <c r="T19" s="2">
        <v>6949.75</v>
      </c>
      <c r="U19" s="2"/>
      <c r="V19" s="19">
        <f t="shared" si="9"/>
        <v>3.0286417008159759E-3</v>
      </c>
      <c r="W19" s="2"/>
      <c r="X19" s="2">
        <f t="shared" si="10"/>
        <v>-23325.43</v>
      </c>
      <c r="Y19" s="2"/>
      <c r="Z19" s="19">
        <f t="shared" si="11"/>
        <v>-3.3562977085506671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50467.13</v>
      </c>
      <c r="E21" s="14"/>
      <c r="F21" s="21">
        <f>IF(D$12=0,0,D21/D$12)</f>
        <v>0.59318019081577433</v>
      </c>
      <c r="G21" s="14"/>
      <c r="H21" s="20">
        <f>H12-H17</f>
        <v>233813.31</v>
      </c>
      <c r="I21" s="14"/>
      <c r="J21" s="21">
        <f>IF(H$12=0,0,H21/H$12)</f>
        <v>0.78573112185128946</v>
      </c>
      <c r="K21" s="15"/>
      <c r="L21" s="20">
        <f>+D21-H21</f>
        <v>-183346.18</v>
      </c>
      <c r="M21" s="15"/>
      <c r="N21" s="21">
        <f>IF(H21=0,0,L21/H21)</f>
        <v>-0.78415629974187528</v>
      </c>
      <c r="O21" s="29"/>
      <c r="P21" s="20">
        <f>P12-P17</f>
        <v>387155.85000000009</v>
      </c>
      <c r="Q21" s="14"/>
      <c r="R21" s="21">
        <f>IF(P$12=0,0,P21/P$12)</f>
        <v>0.6318871846989349</v>
      </c>
      <c r="S21" s="14"/>
      <c r="T21" s="20">
        <f>T12-T17</f>
        <v>1724325.0199999998</v>
      </c>
      <c r="U21" s="14"/>
      <c r="V21" s="21">
        <f>IF(T$12=0,0,T21/T$12)</f>
        <v>0.7514461183974015</v>
      </c>
      <c r="W21" s="15"/>
      <c r="X21" s="20">
        <f>+P21-T21</f>
        <v>-1337169.1699999997</v>
      </c>
      <c r="Y21" s="15"/>
      <c r="Z21" s="21">
        <f>IF(T21=0,0,X21/T21)</f>
        <v>-0.77547397067868318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2">
        <f>SUM(OSRRefD22x_0)</f>
        <v>146486.13</v>
      </c>
      <c r="E23" s="22"/>
      <c r="F23" s="36">
        <f t="shared" ref="F23:F33" si="12">IF(D$12=0,0,D23/D$12)</f>
        <v>1.7217676246948128</v>
      </c>
      <c r="G23" s="22"/>
      <c r="H23" s="22">
        <f>SUM(OSRRefH22x_0)</f>
        <v>145697.87000000005</v>
      </c>
      <c r="I23" s="22"/>
      <c r="J23" s="36">
        <f t="shared" ref="J23:J33" si="13">IF(H$12=0,0,H23/H$12)</f>
        <v>0.48961862285104035</v>
      </c>
      <c r="K23" s="4"/>
      <c r="L23" s="22">
        <f t="shared" ref="L23:L33" si="14">+D23-H23</f>
        <v>788.25999999995111</v>
      </c>
      <c r="M23" s="4"/>
      <c r="N23" s="36">
        <f t="shared" ref="N23:N33" si="15">IF(H23=0,0,L23/H23)</f>
        <v>5.410236951301696E-3</v>
      </c>
      <c r="O23" s="10"/>
      <c r="P23" s="22">
        <f>SUM(OSRRefP22x_0)</f>
        <v>739505.34999999986</v>
      </c>
      <c r="Q23" s="22"/>
      <c r="R23" s="36">
        <f t="shared" ref="R23:R33" si="16">IF(P$12=0,0,P23/P$12)</f>
        <v>1.2069660155756405</v>
      </c>
      <c r="S23" s="22"/>
      <c r="T23" s="22">
        <f>SUM(OSRRefT22x_0)</f>
        <v>1072301.4400000002</v>
      </c>
      <c r="U23" s="22"/>
      <c r="V23" s="36">
        <f t="shared" ref="V23:V33" si="17">IF(T$12=0,0,T23/T$12)</f>
        <v>0.46729981035706614</v>
      </c>
      <c r="W23" s="4"/>
      <c r="X23" s="22">
        <f t="shared" ref="X23:X33" si="18">+P23-T23</f>
        <v>-332796.09000000032</v>
      </c>
      <c r="Y23" s="4"/>
      <c r="Z23" s="36">
        <f t="shared" ref="Z23:Z33" si="19">IF(T23=0,0,X23/T23)</f>
        <v>-0.31035684331450702</v>
      </c>
    </row>
    <row r="24" spans="1:26" s="25" customFormat="1" outlineLevel="1" collapsed="1" x14ac:dyDescent="0.25">
      <c r="A24" s="26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32282.43</v>
      </c>
      <c r="E24" s="1"/>
      <c r="F24" s="5">
        <f t="shared" si="12"/>
        <v>0.37944099431445533</v>
      </c>
      <c r="G24" s="1"/>
      <c r="H24" s="1">
        <f>SUM(OSRRefH22_0x_0)</f>
        <v>36747.229999999996</v>
      </c>
      <c r="I24" s="1"/>
      <c r="J24" s="5">
        <f t="shared" si="13"/>
        <v>0.12348930115581255</v>
      </c>
      <c r="K24" s="1"/>
      <c r="L24" s="1">
        <f t="shared" si="14"/>
        <v>-4464.7999999999956</v>
      </c>
      <c r="M24" s="1"/>
      <c r="N24" s="5">
        <f t="shared" si="15"/>
        <v>-0.12150031444546966</v>
      </c>
      <c r="O24" s="13"/>
      <c r="P24" s="1">
        <f>SUM(OSRRefP22_0x_0)</f>
        <v>186364.59000000003</v>
      </c>
      <c r="Q24" s="1"/>
      <c r="R24" s="5">
        <f t="shared" si="16"/>
        <v>0.30417051970846176</v>
      </c>
      <c r="S24" s="1"/>
      <c r="T24" s="1">
        <f>SUM(OSRRefT22_0x_0)</f>
        <v>203698.4</v>
      </c>
      <c r="U24" s="1"/>
      <c r="V24" s="5">
        <f t="shared" si="17"/>
        <v>8.8770023184933697E-2</v>
      </c>
      <c r="W24" s="1"/>
      <c r="X24" s="1">
        <f t="shared" si="18"/>
        <v>-17333.809999999969</v>
      </c>
      <c r="Y24" s="1"/>
      <c r="Z24" s="5">
        <f t="shared" si="19"/>
        <v>-8.5095464667370821E-2</v>
      </c>
    </row>
    <row r="25" spans="1:26" s="24" customFormat="1" hidden="1" outlineLevel="2" x14ac:dyDescent="0.25">
      <c r="A25" s="27"/>
      <c r="B25" s="11" t="str">
        <f>CONCATENATE("          ", "6111", " - ", "F.I.C.A.")</f>
        <v xml:space="preserve">          6111 - F.I.C.A.</v>
      </c>
      <c r="C25" s="11"/>
      <c r="D25" s="7">
        <v>3279.27</v>
      </c>
      <c r="E25" s="2"/>
      <c r="F25" s="6">
        <f t="shared" si="12"/>
        <v>3.8543860218253831E-2</v>
      </c>
      <c r="G25" s="2"/>
      <c r="H25" s="7">
        <v>4102.9799999999996</v>
      </c>
      <c r="I25" s="2"/>
      <c r="J25" s="6">
        <f t="shared" si="13"/>
        <v>1.378809049978123E-2</v>
      </c>
      <c r="K25" s="2"/>
      <c r="L25" s="7">
        <f t="shared" si="14"/>
        <v>-823.70999999999958</v>
      </c>
      <c r="M25" s="2"/>
      <c r="N25" s="6">
        <f t="shared" si="15"/>
        <v>-0.20075896056037312</v>
      </c>
      <c r="O25" s="11"/>
      <c r="P25" s="7">
        <v>21652.09</v>
      </c>
      <c r="Q25" s="2"/>
      <c r="R25" s="6">
        <f t="shared" si="16"/>
        <v>3.5338942167470695E-2</v>
      </c>
      <c r="S25" s="2"/>
      <c r="T25" s="7">
        <v>29846.28</v>
      </c>
      <c r="U25" s="2"/>
      <c r="V25" s="6">
        <f t="shared" si="17"/>
        <v>1.3006753943987891E-2</v>
      </c>
      <c r="W25" s="2"/>
      <c r="X25" s="7">
        <f t="shared" si="18"/>
        <v>-8194.1899999999987</v>
      </c>
      <c r="Y25" s="2"/>
      <c r="Z25" s="6">
        <f t="shared" si="19"/>
        <v>-0.27454644263874756</v>
      </c>
    </row>
    <row r="26" spans="1:26" s="24" customFormat="1" hidden="1" outlineLevel="2" x14ac:dyDescent="0.25">
      <c r="A26" s="27"/>
      <c r="B26" s="11" t="str">
        <f>CONCATENATE("          ", "6112", " - ", "COMPENSATION INSURANCE")</f>
        <v xml:space="preserve">          6112 - COMPENSATION INSURANCE</v>
      </c>
      <c r="C26" s="11"/>
      <c r="D26" s="7">
        <v>4448.62</v>
      </c>
      <c r="E26" s="2"/>
      <c r="F26" s="6">
        <f t="shared" si="12"/>
        <v>5.2288157865661669E-2</v>
      </c>
      <c r="G26" s="2"/>
      <c r="H26" s="7">
        <v>4767.33</v>
      </c>
      <c r="I26" s="2"/>
      <c r="J26" s="6">
        <f t="shared" si="13"/>
        <v>1.6020642918640124E-2</v>
      </c>
      <c r="K26" s="2"/>
      <c r="L26" s="7">
        <f t="shared" si="14"/>
        <v>-318.71000000000004</v>
      </c>
      <c r="M26" s="2"/>
      <c r="N26" s="6">
        <f t="shared" si="15"/>
        <v>-6.6852934451779103E-2</v>
      </c>
      <c r="O26" s="11"/>
      <c r="P26" s="7">
        <v>17190.75</v>
      </c>
      <c r="Q26" s="2"/>
      <c r="R26" s="6">
        <f t="shared" si="16"/>
        <v>2.8057472514914118E-2</v>
      </c>
      <c r="S26" s="2"/>
      <c r="T26" s="7">
        <v>17290.02</v>
      </c>
      <c r="U26" s="2"/>
      <c r="V26" s="6">
        <f t="shared" si="17"/>
        <v>7.5348430634112366E-3</v>
      </c>
      <c r="W26" s="2"/>
      <c r="X26" s="7">
        <f t="shared" si="18"/>
        <v>-99.270000000000437</v>
      </c>
      <c r="Y26" s="2"/>
      <c r="Z26" s="6">
        <f t="shared" si="19"/>
        <v>-5.7414624158908106E-3</v>
      </c>
    </row>
    <row r="27" spans="1:26" s="24" customFormat="1" hidden="1" outlineLevel="2" x14ac:dyDescent="0.25">
      <c r="A27" s="27"/>
      <c r="B27" s="11" t="str">
        <f>CONCATENATE("          ", "6113", " - ", "GROUP INSURANCE")</f>
        <v xml:space="preserve">          6113 - GROUP INSURANCE</v>
      </c>
      <c r="C27" s="11"/>
      <c r="D27" s="7">
        <v>17824.95</v>
      </c>
      <c r="E27" s="2"/>
      <c r="F27" s="6">
        <f t="shared" si="12"/>
        <v>0.20951076953021971</v>
      </c>
      <c r="G27" s="2"/>
      <c r="H27" s="7">
        <v>19217.98</v>
      </c>
      <c r="I27" s="2"/>
      <c r="J27" s="6">
        <f t="shared" si="13"/>
        <v>6.4582144554198584E-2</v>
      </c>
      <c r="K27" s="2"/>
      <c r="L27" s="7">
        <f t="shared" si="14"/>
        <v>-1393.0299999999988</v>
      </c>
      <c r="M27" s="2"/>
      <c r="N27" s="6">
        <f t="shared" si="15"/>
        <v>-7.2485765933776536E-2</v>
      </c>
      <c r="O27" s="11"/>
      <c r="P27" s="7">
        <v>103003.8</v>
      </c>
      <c r="Q27" s="2"/>
      <c r="R27" s="6">
        <f t="shared" si="16"/>
        <v>0.16811519494098343</v>
      </c>
      <c r="S27" s="2"/>
      <c r="T27" s="7">
        <v>103280.64</v>
      </c>
      <c r="U27" s="2"/>
      <c r="V27" s="6">
        <f t="shared" si="17"/>
        <v>4.5008820920315482E-2</v>
      </c>
      <c r="W27" s="2"/>
      <c r="X27" s="7">
        <f t="shared" si="18"/>
        <v>-276.83999999999651</v>
      </c>
      <c r="Y27" s="2"/>
      <c r="Z27" s="6">
        <f t="shared" si="19"/>
        <v>-2.6804636377156118E-3</v>
      </c>
    </row>
    <row r="28" spans="1:26" s="24" customFormat="1" hidden="1" outlineLevel="2" x14ac:dyDescent="0.25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2"/>
        <v>0</v>
      </c>
      <c r="G28" s="2"/>
      <c r="H28" s="7">
        <v>321.2</v>
      </c>
      <c r="I28" s="2"/>
      <c r="J28" s="6">
        <f t="shared" si="13"/>
        <v>1.0793946518212936E-3</v>
      </c>
      <c r="K28" s="2"/>
      <c r="L28" s="7">
        <f t="shared" si="14"/>
        <v>-321.2</v>
      </c>
      <c r="M28" s="2"/>
      <c r="N28" s="6">
        <f t="shared" si="15"/>
        <v>-1</v>
      </c>
      <c r="O28" s="11"/>
      <c r="P28" s="7">
        <v>844.37</v>
      </c>
      <c r="Q28" s="2"/>
      <c r="R28" s="6">
        <f t="shared" si="16"/>
        <v>1.3781183524522219E-3</v>
      </c>
      <c r="S28" s="2"/>
      <c r="T28" s="7">
        <v>1536.9</v>
      </c>
      <c r="U28" s="2"/>
      <c r="V28" s="6">
        <f t="shared" si="17"/>
        <v>6.697678952457388E-4</v>
      </c>
      <c r="W28" s="2"/>
      <c r="X28" s="7">
        <f t="shared" si="18"/>
        <v>-692.53000000000009</v>
      </c>
      <c r="Y28" s="2"/>
      <c r="Z28" s="6">
        <f t="shared" si="19"/>
        <v>-0.45060186088880216</v>
      </c>
    </row>
    <row r="29" spans="1:26" s="24" customFormat="1" hidden="1" outlineLevel="2" x14ac:dyDescent="0.25">
      <c r="A29" s="27"/>
      <c r="B29" s="11" t="str">
        <f>CONCATENATE("          ", "6115", " - ", "P.E.R.S.")</f>
        <v xml:space="preserve">          6115 - P.E.R.S.</v>
      </c>
      <c r="C29" s="11"/>
      <c r="D29" s="7">
        <v>1457.5</v>
      </c>
      <c r="E29" s="2"/>
      <c r="F29" s="6">
        <f t="shared" si="12"/>
        <v>1.7131153051778279E-2</v>
      </c>
      <c r="G29" s="2"/>
      <c r="H29" s="7">
        <v>1247.53</v>
      </c>
      <c r="I29" s="2"/>
      <c r="J29" s="6">
        <f t="shared" si="13"/>
        <v>4.1923325342049138E-3</v>
      </c>
      <c r="K29" s="2"/>
      <c r="L29" s="7">
        <f t="shared" si="14"/>
        <v>209.97000000000003</v>
      </c>
      <c r="M29" s="2"/>
      <c r="N29" s="6">
        <f t="shared" si="15"/>
        <v>0.16830857774963331</v>
      </c>
      <c r="O29" s="11"/>
      <c r="P29" s="7">
        <v>9540.31</v>
      </c>
      <c r="Q29" s="2"/>
      <c r="R29" s="6">
        <f t="shared" si="16"/>
        <v>1.5570989375609575E-2</v>
      </c>
      <c r="S29" s="2"/>
      <c r="T29" s="7">
        <v>7891.74</v>
      </c>
      <c r="U29" s="2"/>
      <c r="V29" s="6">
        <f t="shared" si="17"/>
        <v>3.43915289844922E-3</v>
      </c>
      <c r="W29" s="2"/>
      <c r="X29" s="7">
        <f t="shared" si="18"/>
        <v>1648.5699999999997</v>
      </c>
      <c r="Y29" s="2"/>
      <c r="Z29" s="6">
        <f t="shared" si="19"/>
        <v>0.20889816440987663</v>
      </c>
    </row>
    <row r="30" spans="1:26" s="24" customFormat="1" hidden="1" outlineLevel="2" x14ac:dyDescent="0.25">
      <c r="A30" s="27"/>
      <c r="B30" s="11" t="str">
        <f>CONCATENATE("          ", "6117", " - ", "RETIREMENT STAFF HOURLY")</f>
        <v xml:space="preserve">          6117 - RETIREMENT STAFF HOURLY</v>
      </c>
      <c r="C30" s="11"/>
      <c r="D30" s="7">
        <v>427.63</v>
      </c>
      <c r="E30" s="2"/>
      <c r="F30" s="6">
        <f t="shared" si="12"/>
        <v>5.0262744284953311E-3</v>
      </c>
      <c r="G30" s="2"/>
      <c r="H30" s="7">
        <v>936.51</v>
      </c>
      <c r="I30" s="2"/>
      <c r="J30" s="6">
        <f t="shared" si="13"/>
        <v>3.1471478374133239E-3</v>
      </c>
      <c r="K30" s="2"/>
      <c r="L30" s="7">
        <f t="shared" si="14"/>
        <v>-508.88</v>
      </c>
      <c r="M30" s="2"/>
      <c r="N30" s="6">
        <f t="shared" si="15"/>
        <v>-0.54337914170697588</v>
      </c>
      <c r="O30" s="11"/>
      <c r="P30" s="7">
        <v>3195.22</v>
      </c>
      <c r="Q30" s="2"/>
      <c r="R30" s="6">
        <f t="shared" si="16"/>
        <v>5.2150020987510081E-3</v>
      </c>
      <c r="S30" s="2"/>
      <c r="T30" s="7">
        <v>4625.47</v>
      </c>
      <c r="U30" s="2"/>
      <c r="V30" s="6">
        <f t="shared" si="17"/>
        <v>2.015740325604989E-3</v>
      </c>
      <c r="W30" s="2"/>
      <c r="X30" s="7">
        <f t="shared" si="18"/>
        <v>-1430.2500000000005</v>
      </c>
      <c r="Y30" s="2"/>
      <c r="Z30" s="6">
        <f t="shared" si="19"/>
        <v>-0.30921182063660568</v>
      </c>
    </row>
    <row r="31" spans="1:26" s="24" customFormat="1" hidden="1" outlineLevel="2" x14ac:dyDescent="0.25">
      <c r="A31" s="27"/>
      <c r="B31" s="11" t="str">
        <f>CONCATENATE("          ", "6118", " - ", "VACATION")</f>
        <v xml:space="preserve">          6118 - VACATION</v>
      </c>
      <c r="C31" s="11"/>
      <c r="D31" s="7">
        <v>2606.96</v>
      </c>
      <c r="E31" s="2"/>
      <c r="F31" s="6">
        <f t="shared" si="12"/>
        <v>3.0641667759769401E-2</v>
      </c>
      <c r="G31" s="2"/>
      <c r="H31" s="7">
        <v>2978.4</v>
      </c>
      <c r="I31" s="2"/>
      <c r="J31" s="6">
        <f t="shared" si="13"/>
        <v>1.0008932225979268E-2</v>
      </c>
      <c r="K31" s="2"/>
      <c r="L31" s="7">
        <f t="shared" si="14"/>
        <v>-371.44000000000005</v>
      </c>
      <c r="M31" s="2"/>
      <c r="N31" s="6">
        <f t="shared" si="15"/>
        <v>-0.12471125436475962</v>
      </c>
      <c r="O31" s="11"/>
      <c r="P31" s="7">
        <v>16032.94</v>
      </c>
      <c r="Q31" s="2"/>
      <c r="R31" s="6">
        <f t="shared" si="16"/>
        <v>2.6167780543796353E-2</v>
      </c>
      <c r="S31" s="2"/>
      <c r="T31" s="7">
        <v>18304.190000000002</v>
      </c>
      <c r="U31" s="2"/>
      <c r="V31" s="6">
        <f t="shared" si="17"/>
        <v>7.9768096886447398E-3</v>
      </c>
      <c r="W31" s="2"/>
      <c r="X31" s="7">
        <f t="shared" si="18"/>
        <v>-2271.2500000000018</v>
      </c>
      <c r="Y31" s="2"/>
      <c r="Z31" s="6">
        <f t="shared" si="19"/>
        <v>-0.12408361145726751</v>
      </c>
    </row>
    <row r="32" spans="1:26" s="24" customFormat="1" hidden="1" outlineLevel="2" x14ac:dyDescent="0.25">
      <c r="A32" s="27"/>
      <c r="B32" s="11" t="str">
        <f>CONCATENATE("          ", "6119", " - ", "SICK LEAVE")</f>
        <v xml:space="preserve">          6119 - SICK LEAVE</v>
      </c>
      <c r="C32" s="11"/>
      <c r="D32" s="7">
        <v>1633.22</v>
      </c>
      <c r="E32" s="2"/>
      <c r="F32" s="6">
        <f t="shared" si="12"/>
        <v>1.9196529528113428E-2</v>
      </c>
      <c r="G32" s="2"/>
      <c r="H32" s="7">
        <v>1898.95</v>
      </c>
      <c r="I32" s="2"/>
      <c r="J32" s="6">
        <f t="shared" si="13"/>
        <v>6.3814336054671406E-3</v>
      </c>
      <c r="K32" s="2"/>
      <c r="L32" s="7">
        <f t="shared" si="14"/>
        <v>-265.73</v>
      </c>
      <c r="M32" s="2"/>
      <c r="N32" s="6">
        <f t="shared" si="15"/>
        <v>-0.13993522736248981</v>
      </c>
      <c r="O32" s="11"/>
      <c r="P32" s="7">
        <v>10065.76</v>
      </c>
      <c r="Q32" s="2"/>
      <c r="R32" s="6">
        <f t="shared" si="16"/>
        <v>1.642859005812556E-2</v>
      </c>
      <c r="S32" s="2"/>
      <c r="T32" s="7">
        <v>12994.92</v>
      </c>
      <c r="U32" s="2"/>
      <c r="V32" s="6">
        <f t="shared" si="17"/>
        <v>5.6630751625263553E-3</v>
      </c>
      <c r="W32" s="2"/>
      <c r="X32" s="7">
        <f t="shared" si="18"/>
        <v>-2929.16</v>
      </c>
      <c r="Y32" s="2"/>
      <c r="Z32" s="6">
        <f t="shared" si="19"/>
        <v>-0.2254080825430245</v>
      </c>
    </row>
    <row r="33" spans="1:26" s="24" customFormat="1" hidden="1" outlineLevel="2" x14ac:dyDescent="0.25">
      <c r="A33" s="27"/>
      <c r="B33" s="11" t="str">
        <f>CONCATENATE("          ", "6156", " - ", "EMPLOYEE MEALS")</f>
        <v xml:space="preserve">          6156 - EMPLOYEE MEALS</v>
      </c>
      <c r="C33" s="11"/>
      <c r="D33" s="7">
        <v>604.28</v>
      </c>
      <c r="E33" s="2"/>
      <c r="F33" s="6">
        <f t="shared" si="12"/>
        <v>7.1025819321636902E-3</v>
      </c>
      <c r="G33" s="2"/>
      <c r="H33" s="7">
        <v>1276.3499999999999</v>
      </c>
      <c r="I33" s="2"/>
      <c r="J33" s="6">
        <f t="shared" si="13"/>
        <v>4.2891823283066873E-3</v>
      </c>
      <c r="K33" s="2"/>
      <c r="L33" s="7">
        <f t="shared" si="14"/>
        <v>-672.06999999999994</v>
      </c>
      <c r="M33" s="2"/>
      <c r="N33" s="6">
        <f t="shared" si="15"/>
        <v>-0.526556195400948</v>
      </c>
      <c r="O33" s="11"/>
      <c r="P33" s="7">
        <v>4839.3500000000004</v>
      </c>
      <c r="Q33" s="2"/>
      <c r="R33" s="6">
        <f t="shared" si="16"/>
        <v>7.8984296563587766E-3</v>
      </c>
      <c r="S33" s="2"/>
      <c r="T33" s="7">
        <v>7928.24</v>
      </c>
      <c r="U33" s="2"/>
      <c r="V33" s="6">
        <f t="shared" si="17"/>
        <v>3.4550592867480488E-3</v>
      </c>
      <c r="W33" s="2"/>
      <c r="X33" s="7">
        <f t="shared" si="18"/>
        <v>-3088.8899999999994</v>
      </c>
      <c r="Y33" s="2"/>
      <c r="Z33" s="6">
        <f t="shared" si="19"/>
        <v>-0.38960601596318972</v>
      </c>
    </row>
    <row r="34" spans="1:26" s="25" customFormat="1" outlineLevel="1" collapsed="1" x14ac:dyDescent="0.25">
      <c r="A34" s="26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49072.63</v>
      </c>
      <c r="E34" s="1"/>
      <c r="F34" s="5">
        <f t="shared" ref="F34:F40" si="20">IF(D$12=0,0,D34/D$12)</f>
        <v>0.57678952671237482</v>
      </c>
      <c r="G34" s="1"/>
      <c r="H34" s="1">
        <f>SUM(OSRRefH22_1x_0)</f>
        <v>72407.960000000006</v>
      </c>
      <c r="I34" s="1"/>
      <c r="J34" s="5">
        <f t="shared" ref="J34:J40" si="21">IF(H$12=0,0,H34/H$12)</f>
        <v>0.24332741212107772</v>
      </c>
      <c r="K34" s="1"/>
      <c r="L34" s="1">
        <f t="shared" ref="L34:L40" si="22">+D34-H34</f>
        <v>-23335.330000000009</v>
      </c>
      <c r="M34" s="1"/>
      <c r="N34" s="5">
        <f t="shared" ref="N34:N40" si="23">IF(H34=0,0,L34/H34)</f>
        <v>-0.3222757553175094</v>
      </c>
      <c r="O34" s="13"/>
      <c r="P34" s="1">
        <f>SUM(OSRRefP22_1x_0)</f>
        <v>327947.03000000003</v>
      </c>
      <c r="Q34" s="1"/>
      <c r="R34" s="5">
        <f t="shared" ref="R34:R40" si="24">IF(P$12=0,0,P34/P$12)</f>
        <v>0.53525092160450927</v>
      </c>
      <c r="S34" s="1"/>
      <c r="T34" s="1">
        <f>SUM(OSRRefT22_1x_0)</f>
        <v>557407.13</v>
      </c>
      <c r="U34" s="1"/>
      <c r="V34" s="5">
        <f t="shared" ref="V34:V40" si="25">IF(T$12=0,0,T34/T$12)</f>
        <v>0.24291326713193306</v>
      </c>
      <c r="W34" s="1"/>
      <c r="X34" s="1">
        <f t="shared" ref="X34:X40" si="26">+P34-T34</f>
        <v>-229460.09999999998</v>
      </c>
      <c r="Y34" s="1"/>
      <c r="Z34" s="5">
        <f t="shared" ref="Z34:Z40" si="27">IF(T34=0,0,X34/T34)</f>
        <v>-0.41165619822624078</v>
      </c>
    </row>
    <row r="35" spans="1:26" s="24" customFormat="1" hidden="1" outlineLevel="2" x14ac:dyDescent="0.25">
      <c r="A35" s="27"/>
      <c r="B35" s="11" t="str">
        <f>CONCATENATE("          ", "6002", " - ", "STAFF SALARIES")</f>
        <v xml:space="preserve">          6002 - STAFF SALARIES</v>
      </c>
      <c r="C35" s="11"/>
      <c r="D35" s="7">
        <v>14751.16</v>
      </c>
      <c r="E35" s="2"/>
      <c r="F35" s="6">
        <f t="shared" si="20"/>
        <v>0.17338207866296376</v>
      </c>
      <c r="G35" s="2"/>
      <c r="H35" s="7">
        <v>13657.29</v>
      </c>
      <c r="I35" s="2"/>
      <c r="J35" s="6">
        <f t="shared" si="21"/>
        <v>4.5895410287585418E-2</v>
      </c>
      <c r="K35" s="2"/>
      <c r="L35" s="7">
        <f t="shared" si="22"/>
        <v>1093.869999999999</v>
      </c>
      <c r="M35" s="2"/>
      <c r="N35" s="6">
        <f t="shared" si="23"/>
        <v>8.0094220742182295E-2</v>
      </c>
      <c r="O35" s="11"/>
      <c r="P35" s="7">
        <v>88495.23</v>
      </c>
      <c r="Q35" s="2"/>
      <c r="R35" s="6">
        <f t="shared" si="24"/>
        <v>0.14443537852775495</v>
      </c>
      <c r="S35" s="2"/>
      <c r="T35" s="7">
        <v>89878.61</v>
      </c>
      <c r="U35" s="2"/>
      <c r="V35" s="6">
        <f t="shared" si="25"/>
        <v>3.9168330696410056E-2</v>
      </c>
      <c r="W35" s="2"/>
      <c r="X35" s="7">
        <f t="shared" si="26"/>
        <v>-1383.3800000000047</v>
      </c>
      <c r="Y35" s="2"/>
      <c r="Z35" s="6">
        <f t="shared" si="27"/>
        <v>-1.539164880275746E-2</v>
      </c>
    </row>
    <row r="36" spans="1:26" s="24" customFormat="1" hidden="1" outlineLevel="2" x14ac:dyDescent="0.25">
      <c r="A36" s="27"/>
      <c r="B36" s="11" t="str">
        <f>CONCATENATE("          ", "6004", " - ", "STAFF HOURLY")</f>
        <v xml:space="preserve">          6004 - STAFF HOURLY</v>
      </c>
      <c r="C36" s="11"/>
      <c r="D36" s="7">
        <v>10936.34</v>
      </c>
      <c r="E36" s="2"/>
      <c r="F36" s="6">
        <f t="shared" si="20"/>
        <v>0.12854347469384897</v>
      </c>
      <c r="G36" s="2"/>
      <c r="H36" s="7">
        <v>18286.900000000001</v>
      </c>
      <c r="I36" s="2"/>
      <c r="J36" s="6">
        <f t="shared" si="21"/>
        <v>6.1453244266472029E-2</v>
      </c>
      <c r="K36" s="2"/>
      <c r="L36" s="7">
        <f t="shared" si="22"/>
        <v>-7350.5600000000013</v>
      </c>
      <c r="M36" s="2"/>
      <c r="N36" s="6">
        <f t="shared" si="23"/>
        <v>-0.40195768555632727</v>
      </c>
      <c r="O36" s="11"/>
      <c r="P36" s="7">
        <v>97519.76</v>
      </c>
      <c r="Q36" s="2"/>
      <c r="R36" s="6">
        <f t="shared" si="24"/>
        <v>0.15916454988066381</v>
      </c>
      <c r="S36" s="2"/>
      <c r="T36" s="7">
        <v>123664.53</v>
      </c>
      <c r="U36" s="2"/>
      <c r="V36" s="6">
        <f t="shared" si="25"/>
        <v>5.3891946108825244E-2</v>
      </c>
      <c r="W36" s="2"/>
      <c r="X36" s="7">
        <f t="shared" si="26"/>
        <v>-26144.770000000004</v>
      </c>
      <c r="Y36" s="2"/>
      <c r="Z36" s="6">
        <f t="shared" si="27"/>
        <v>-0.21141688728368599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7">
        <v>11620.64</v>
      </c>
      <c r="E37" s="2"/>
      <c r="F37" s="6">
        <f t="shared" si="20"/>
        <v>0.13658659512838198</v>
      </c>
      <c r="G37" s="2"/>
      <c r="H37" s="7">
        <v>10388.27</v>
      </c>
      <c r="I37" s="2"/>
      <c r="J37" s="6">
        <f t="shared" si="21"/>
        <v>3.4909847695129483E-2</v>
      </c>
      <c r="K37" s="2"/>
      <c r="L37" s="7">
        <f t="shared" si="22"/>
        <v>1232.369999999999</v>
      </c>
      <c r="M37" s="2"/>
      <c r="N37" s="6">
        <f t="shared" si="23"/>
        <v>0.11863091737122725</v>
      </c>
      <c r="O37" s="11"/>
      <c r="P37" s="7">
        <v>62163.73</v>
      </c>
      <c r="Q37" s="2"/>
      <c r="R37" s="6">
        <f t="shared" si="24"/>
        <v>0.10145904895944285</v>
      </c>
      <c r="S37" s="2"/>
      <c r="T37" s="7">
        <v>107504.51999999999</v>
      </c>
      <c r="U37" s="2"/>
      <c r="V37" s="6">
        <f t="shared" si="25"/>
        <v>4.6849551753401927E-2</v>
      </c>
      <c r="W37" s="2"/>
      <c r="X37" s="7">
        <f t="shared" si="26"/>
        <v>-45340.789999999986</v>
      </c>
      <c r="Y37" s="2"/>
      <c r="Z37" s="6">
        <f t="shared" si="27"/>
        <v>-0.42175705728466106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0"/>
        <v>0</v>
      </c>
      <c r="G38" s="2"/>
      <c r="H38" s="7">
        <v>894</v>
      </c>
      <c r="I38" s="2"/>
      <c r="J38" s="6">
        <f t="shared" si="21"/>
        <v>3.0042927108600141E-3</v>
      </c>
      <c r="K38" s="2"/>
      <c r="L38" s="7">
        <f t="shared" si="22"/>
        <v>-894</v>
      </c>
      <c r="M38" s="2"/>
      <c r="N38" s="6">
        <f t="shared" si="23"/>
        <v>-1</v>
      </c>
      <c r="O38" s="11"/>
      <c r="P38" s="7"/>
      <c r="Q38" s="2"/>
      <c r="R38" s="6">
        <f t="shared" si="24"/>
        <v>0</v>
      </c>
      <c r="S38" s="2"/>
      <c r="T38" s="7">
        <v>8961</v>
      </c>
      <c r="U38" s="2"/>
      <c r="V38" s="6">
        <f t="shared" si="25"/>
        <v>3.9051272752274485E-3</v>
      </c>
      <c r="W38" s="2"/>
      <c r="X38" s="7">
        <f t="shared" si="26"/>
        <v>-8961</v>
      </c>
      <c r="Y38" s="2"/>
      <c r="Z38" s="6">
        <f t="shared" si="27"/>
        <v>-1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7">
        <v>10668.46</v>
      </c>
      <c r="E39" s="2"/>
      <c r="F39" s="6">
        <f t="shared" si="20"/>
        <v>0.12539486867017116</v>
      </c>
      <c r="G39" s="2"/>
      <c r="H39" s="7">
        <v>22887.5</v>
      </c>
      <c r="I39" s="2"/>
      <c r="J39" s="6">
        <f t="shared" si="21"/>
        <v>7.6913589955043146E-2</v>
      </c>
      <c r="K39" s="2"/>
      <c r="L39" s="7">
        <f t="shared" si="22"/>
        <v>-12219.04</v>
      </c>
      <c r="M39" s="2"/>
      <c r="N39" s="6">
        <f t="shared" si="23"/>
        <v>-0.53387394866193338</v>
      </c>
      <c r="O39" s="11"/>
      <c r="P39" s="7">
        <v>69137.430000000008</v>
      </c>
      <c r="Q39" s="2"/>
      <c r="R39" s="6">
        <f t="shared" si="24"/>
        <v>0.11284100705186213</v>
      </c>
      <c r="S39" s="2"/>
      <c r="T39" s="7">
        <v>170041.47</v>
      </c>
      <c r="U39" s="2"/>
      <c r="V39" s="6">
        <f t="shared" si="25"/>
        <v>7.4102620512975101E-2</v>
      </c>
      <c r="W39" s="2"/>
      <c r="X39" s="7">
        <f t="shared" si="26"/>
        <v>-100904.04</v>
      </c>
      <c r="Y39" s="2"/>
      <c r="Z39" s="6">
        <f t="shared" si="27"/>
        <v>-0.59340841972255354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7">
        <v>1096.03</v>
      </c>
      <c r="E40" s="2"/>
      <c r="F40" s="6">
        <f t="shared" si="20"/>
        <v>1.2882509557008951E-2</v>
      </c>
      <c r="G40" s="2"/>
      <c r="H40" s="7">
        <v>6294</v>
      </c>
      <c r="I40" s="2"/>
      <c r="J40" s="6">
        <f t="shared" si="21"/>
        <v>2.1151027205987615E-2</v>
      </c>
      <c r="K40" s="2"/>
      <c r="L40" s="7">
        <f t="shared" si="22"/>
        <v>-5197.97</v>
      </c>
      <c r="M40" s="2"/>
      <c r="N40" s="6">
        <f t="shared" si="23"/>
        <v>-0.82586113759135693</v>
      </c>
      <c r="O40" s="11"/>
      <c r="P40" s="7">
        <v>10630.88</v>
      </c>
      <c r="Q40" s="2"/>
      <c r="R40" s="6">
        <f t="shared" si="24"/>
        <v>1.7350937184785434E-2</v>
      </c>
      <c r="S40" s="2"/>
      <c r="T40" s="7">
        <v>57357</v>
      </c>
      <c r="U40" s="2"/>
      <c r="V40" s="6">
        <f t="shared" si="25"/>
        <v>2.4995690785093266E-2</v>
      </c>
      <c r="W40" s="2"/>
      <c r="X40" s="7">
        <f t="shared" si="26"/>
        <v>-46726.12</v>
      </c>
      <c r="Y40" s="2"/>
      <c r="Z40" s="6">
        <f t="shared" si="27"/>
        <v>-0.81465418344753038</v>
      </c>
    </row>
    <row r="41" spans="1:26" s="25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2" si="28">IF(D$12=0,0,D41/D$12)</f>
        <v>0</v>
      </c>
      <c r="G41" s="1"/>
      <c r="H41" s="1">
        <f>SUM(OSRRefH22_2x_0)</f>
        <v>0</v>
      </c>
      <c r="I41" s="1"/>
      <c r="J41" s="5">
        <f t="shared" ref="J41:J62" si="29">IF(H$12=0,0,H41/H$12)</f>
        <v>0</v>
      </c>
      <c r="K41" s="1"/>
      <c r="L41" s="1">
        <f t="shared" ref="L41:L62" si="30">+D41-H41</f>
        <v>0</v>
      </c>
      <c r="M41" s="1"/>
      <c r="N41" s="5">
        <f t="shared" ref="N41:N62" si="31">IF(H41=0,0,L41/H41)</f>
        <v>0</v>
      </c>
      <c r="O41" s="13"/>
      <c r="P41" s="1">
        <f>SUM(OSRRefP22_2x_0)</f>
        <v>1224.25</v>
      </c>
      <c r="Q41" s="1"/>
      <c r="R41" s="5">
        <f t="shared" ref="R41:R62" si="32">IF(P$12=0,0,P41/P$12)</f>
        <v>1.9981304321442408E-3</v>
      </c>
      <c r="S41" s="1"/>
      <c r="T41" s="1">
        <f>SUM(OSRRefT22_2x_0)</f>
        <v>2435.9499999999998</v>
      </c>
      <c r="U41" s="1"/>
      <c r="V41" s="5">
        <f t="shared" ref="V41:V62" si="33">IF(T$12=0,0,T41/T$12)</f>
        <v>1.061566207576197E-3</v>
      </c>
      <c r="W41" s="1"/>
      <c r="X41" s="1">
        <f t="shared" ref="X41:X62" si="34">+P41-T41</f>
        <v>-1211.6999999999998</v>
      </c>
      <c r="Y41" s="1"/>
      <c r="Z41" s="5">
        <f t="shared" ref="Z41:Z62" si="35">IF(T41=0,0,X41/T41)</f>
        <v>-0.49742400295572564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/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>
        <v>1224.25</v>
      </c>
      <c r="Q42" s="2"/>
      <c r="R42" s="6">
        <f t="shared" si="32"/>
        <v>1.9981304321442408E-3</v>
      </c>
      <c r="S42" s="2"/>
      <c r="T42" s="7">
        <v>2435.9499999999998</v>
      </c>
      <c r="U42" s="2"/>
      <c r="V42" s="6">
        <f t="shared" si="33"/>
        <v>1.061566207576197E-3</v>
      </c>
      <c r="W42" s="2"/>
      <c r="X42" s="7">
        <f t="shared" si="34"/>
        <v>-1211.6999999999998</v>
      </c>
      <c r="Y42" s="2"/>
      <c r="Z42" s="6">
        <f t="shared" si="35"/>
        <v>-0.49742400295572564</v>
      </c>
    </row>
    <row r="43" spans="1:26" s="25" customFormat="1" outlineLevel="1" collapsed="1" x14ac:dyDescent="0.25">
      <c r="A43" s="26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3"/>
      <c r="P43" s="1">
        <f>SUM(OSRRefP22_3x_0)</f>
        <v>40</v>
      </c>
      <c r="Q43" s="1"/>
      <c r="R43" s="5">
        <f t="shared" si="32"/>
        <v>6.5285045771508785E-5</v>
      </c>
      <c r="S43" s="1"/>
      <c r="T43" s="1">
        <f>SUM(OSRRefT22_3x_0)</f>
        <v>16.239999999999998</v>
      </c>
      <c r="U43" s="1"/>
      <c r="V43" s="5">
        <f t="shared" si="33"/>
        <v>7.0772533143280608E-6</v>
      </c>
      <c r="W43" s="1"/>
      <c r="X43" s="1">
        <f t="shared" si="34"/>
        <v>23.76</v>
      </c>
      <c r="Y43" s="1"/>
      <c r="Z43" s="5">
        <f t="shared" si="35"/>
        <v>1.4630541871921185</v>
      </c>
    </row>
    <row r="44" spans="1:26" s="24" customFormat="1" hidden="1" outlineLevel="2" x14ac:dyDescent="0.25">
      <c r="A44" s="27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28"/>
        <v>0</v>
      </c>
      <c r="G44" s="2"/>
      <c r="H44" s="7"/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>
        <v>40</v>
      </c>
      <c r="Q44" s="2"/>
      <c r="R44" s="6">
        <f t="shared" si="32"/>
        <v>6.5285045771508785E-5</v>
      </c>
      <c r="S44" s="2"/>
      <c r="T44" s="7">
        <v>16.239999999999998</v>
      </c>
      <c r="U44" s="2"/>
      <c r="V44" s="6">
        <f t="shared" si="33"/>
        <v>7.0772533143280608E-6</v>
      </c>
      <c r="W44" s="2"/>
      <c r="X44" s="7">
        <f t="shared" si="34"/>
        <v>23.76</v>
      </c>
      <c r="Y44" s="2"/>
      <c r="Z44" s="6">
        <f t="shared" si="35"/>
        <v>1.4630541871921185</v>
      </c>
    </row>
    <row r="45" spans="1:26" s="25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25.03</v>
      </c>
      <c r="E45" s="1"/>
      <c r="F45" s="5">
        <f t="shared" si="28"/>
        <v>2.9419743457016149E-4</v>
      </c>
      <c r="G45" s="1"/>
      <c r="H45" s="1">
        <f>SUM(OSRRefH22_4x_0)</f>
        <v>77.87</v>
      </c>
      <c r="I45" s="1"/>
      <c r="J45" s="5">
        <f t="shared" si="29"/>
        <v>2.6168263243251598E-4</v>
      </c>
      <c r="K45" s="1"/>
      <c r="L45" s="1">
        <f t="shared" si="30"/>
        <v>-52.84</v>
      </c>
      <c r="M45" s="1"/>
      <c r="N45" s="5">
        <f t="shared" si="31"/>
        <v>-0.67856684217285224</v>
      </c>
      <c r="O45" s="13"/>
      <c r="P45" s="1">
        <f>SUM(OSRRefP22_4x_0)</f>
        <v>35.200000000000003</v>
      </c>
      <c r="Q45" s="1"/>
      <c r="R45" s="5">
        <f t="shared" si="32"/>
        <v>5.7450840278927745E-5</v>
      </c>
      <c r="S45" s="1"/>
      <c r="T45" s="1">
        <f>SUM(OSRRefT22_4x_0)</f>
        <v>921.95</v>
      </c>
      <c r="U45" s="1"/>
      <c r="V45" s="5">
        <f t="shared" si="33"/>
        <v>4.0177793676999732E-4</v>
      </c>
      <c r="W45" s="1"/>
      <c r="X45" s="1">
        <f t="shared" si="34"/>
        <v>-886.75</v>
      </c>
      <c r="Y45" s="1"/>
      <c r="Z45" s="5">
        <f t="shared" si="35"/>
        <v>-0.96182005531753345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7">
        <v>25.03</v>
      </c>
      <c r="E46" s="2"/>
      <c r="F46" s="6">
        <f t="shared" si="28"/>
        <v>2.9419743457016149E-4</v>
      </c>
      <c r="G46" s="2"/>
      <c r="H46" s="7">
        <v>77.87</v>
      </c>
      <c r="I46" s="2"/>
      <c r="J46" s="6">
        <f t="shared" si="29"/>
        <v>2.6168263243251598E-4</v>
      </c>
      <c r="K46" s="2"/>
      <c r="L46" s="7">
        <f t="shared" si="30"/>
        <v>-52.84</v>
      </c>
      <c r="M46" s="2"/>
      <c r="N46" s="6">
        <f t="shared" si="31"/>
        <v>-0.67856684217285224</v>
      </c>
      <c r="O46" s="11"/>
      <c r="P46" s="7">
        <v>35.200000000000003</v>
      </c>
      <c r="Q46" s="2"/>
      <c r="R46" s="6">
        <f t="shared" si="32"/>
        <v>5.7450840278927745E-5</v>
      </c>
      <c r="S46" s="2"/>
      <c r="T46" s="7">
        <v>921.95</v>
      </c>
      <c r="U46" s="2"/>
      <c r="V46" s="6">
        <f t="shared" si="33"/>
        <v>4.0177793676999732E-4</v>
      </c>
      <c r="W46" s="2"/>
      <c r="X46" s="7">
        <f t="shared" si="34"/>
        <v>-886.75</v>
      </c>
      <c r="Y46" s="2"/>
      <c r="Z46" s="6">
        <f t="shared" si="35"/>
        <v>-0.96182005531753345</v>
      </c>
    </row>
    <row r="47" spans="1:26" s="25" customFormat="1" outlineLevel="1" collapsed="1" x14ac:dyDescent="0.25">
      <c r="A47" s="26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272.74</v>
      </c>
      <c r="E47" s="1"/>
      <c r="F47" s="5">
        <f t="shared" si="28"/>
        <v>3.2057294568384274E-3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272.74</v>
      </c>
      <c r="M47" s="1"/>
      <c r="N47" s="5">
        <f t="shared" si="31"/>
        <v>0</v>
      </c>
      <c r="O47" s="13"/>
      <c r="P47" s="1">
        <f>SUM(OSRRefP22_5x_0)</f>
        <v>1372.22</v>
      </c>
      <c r="Q47" s="1"/>
      <c r="R47" s="5">
        <f t="shared" si="32"/>
        <v>2.2396361377144949E-3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1372.22</v>
      </c>
      <c r="Y47" s="1"/>
      <c r="Z47" s="5">
        <f t="shared" si="35"/>
        <v>0</v>
      </c>
    </row>
    <row r="48" spans="1:26" s="24" customFormat="1" hidden="1" outlineLevel="2" x14ac:dyDescent="0.25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272.74</v>
      </c>
      <c r="E48" s="2"/>
      <c r="F48" s="6">
        <f t="shared" si="28"/>
        <v>3.2057294568384274E-3</v>
      </c>
      <c r="G48" s="2"/>
      <c r="H48" s="7"/>
      <c r="I48" s="2"/>
      <c r="J48" s="6">
        <f t="shared" si="29"/>
        <v>0</v>
      </c>
      <c r="K48" s="2"/>
      <c r="L48" s="7">
        <f t="shared" si="30"/>
        <v>272.74</v>
      </c>
      <c r="M48" s="2"/>
      <c r="N48" s="6">
        <f t="shared" si="31"/>
        <v>0</v>
      </c>
      <c r="O48" s="11"/>
      <c r="P48" s="7">
        <v>1372.22</v>
      </c>
      <c r="Q48" s="2"/>
      <c r="R48" s="6">
        <f t="shared" si="32"/>
        <v>2.2396361377144949E-3</v>
      </c>
      <c r="S48" s="2"/>
      <c r="T48" s="7"/>
      <c r="U48" s="2"/>
      <c r="V48" s="6">
        <f t="shared" si="33"/>
        <v>0</v>
      </c>
      <c r="W48" s="2"/>
      <c r="X48" s="7">
        <f t="shared" si="34"/>
        <v>1372.22</v>
      </c>
      <c r="Y48" s="2"/>
      <c r="Z48" s="6">
        <f t="shared" si="35"/>
        <v>0</v>
      </c>
    </row>
    <row r="49" spans="1:26" s="25" customFormat="1" outlineLevel="1" collapsed="1" x14ac:dyDescent="0.25">
      <c r="A49" s="26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SUM(OSRRefD22_6x_0)</f>
        <v>6666.05</v>
      </c>
      <c r="E49" s="1"/>
      <c r="F49" s="5">
        <f t="shared" si="28"/>
        <v>7.8351370703812415E-2</v>
      </c>
      <c r="G49" s="1"/>
      <c r="H49" s="1">
        <f>SUM(OSRRefH22_6x_0)</f>
        <v>2506.5</v>
      </c>
      <c r="I49" s="1"/>
      <c r="J49" s="5">
        <f t="shared" si="29"/>
        <v>8.423109261488395E-3</v>
      </c>
      <c r="K49" s="1"/>
      <c r="L49" s="1">
        <f t="shared" si="30"/>
        <v>4159.55</v>
      </c>
      <c r="M49" s="1"/>
      <c r="N49" s="5">
        <f t="shared" si="31"/>
        <v>1.6595052862557351</v>
      </c>
      <c r="O49" s="13"/>
      <c r="P49" s="1">
        <f>SUM(OSRRefP22_6x_0)</f>
        <v>36822.009999999995</v>
      </c>
      <c r="Q49" s="1"/>
      <c r="R49" s="5">
        <f t="shared" si="32"/>
        <v>6.0098165206223852E-2</v>
      </c>
      <c r="S49" s="1"/>
      <c r="T49" s="1">
        <f>SUM(OSRRefT22_6x_0)</f>
        <v>17391.57</v>
      </c>
      <c r="U49" s="1"/>
      <c r="V49" s="5">
        <f t="shared" si="33"/>
        <v>7.5790976861987982E-3</v>
      </c>
      <c r="W49" s="1"/>
      <c r="X49" s="1">
        <f t="shared" si="34"/>
        <v>19430.439999999995</v>
      </c>
      <c r="Y49" s="1"/>
      <c r="Z49" s="5">
        <f t="shared" si="35"/>
        <v>1.1172332342623463</v>
      </c>
    </row>
    <row r="50" spans="1:26" s="24" customFormat="1" hidden="1" outlineLevel="2" x14ac:dyDescent="0.25">
      <c r="A50" s="27"/>
      <c r="B50" s="11" t="str">
        <f>CONCATENATE("          ", "6399", " - ", "DONATION-ON CAMPUS")</f>
        <v xml:space="preserve">          6399 - DONATION-ON CAMPUS</v>
      </c>
      <c r="C50" s="11"/>
      <c r="D50" s="7">
        <v>6666.05</v>
      </c>
      <c r="E50" s="2"/>
      <c r="F50" s="6">
        <f t="shared" si="28"/>
        <v>7.8351370703812415E-2</v>
      </c>
      <c r="G50" s="2"/>
      <c r="H50" s="7">
        <v>2506.5</v>
      </c>
      <c r="I50" s="2"/>
      <c r="J50" s="6">
        <f t="shared" si="29"/>
        <v>8.423109261488395E-3</v>
      </c>
      <c r="K50" s="2"/>
      <c r="L50" s="7">
        <f t="shared" si="30"/>
        <v>4159.55</v>
      </c>
      <c r="M50" s="2"/>
      <c r="N50" s="6">
        <f t="shared" si="31"/>
        <v>1.6595052862557351</v>
      </c>
      <c r="O50" s="11"/>
      <c r="P50" s="7">
        <v>36822.009999999995</v>
      </c>
      <c r="Q50" s="2"/>
      <c r="R50" s="6">
        <f t="shared" si="32"/>
        <v>6.0098165206223852E-2</v>
      </c>
      <c r="S50" s="2"/>
      <c r="T50" s="7">
        <v>17391.57</v>
      </c>
      <c r="U50" s="2"/>
      <c r="V50" s="6">
        <f t="shared" si="33"/>
        <v>7.5790976861987982E-3</v>
      </c>
      <c r="W50" s="2"/>
      <c r="X50" s="7">
        <f t="shared" si="34"/>
        <v>19430.439999999995</v>
      </c>
      <c r="Y50" s="2"/>
      <c r="Z50" s="6">
        <f t="shared" si="35"/>
        <v>1.1172332342623463</v>
      </c>
    </row>
    <row r="51" spans="1:26" s="25" customFormat="1" outlineLevel="1" collapsed="1" x14ac:dyDescent="0.25">
      <c r="A51" s="26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63.8</v>
      </c>
      <c r="I51" s="1"/>
      <c r="J51" s="5">
        <f t="shared" si="29"/>
        <v>2.1440030755354462E-4</v>
      </c>
      <c r="K51" s="1"/>
      <c r="L51" s="1">
        <f t="shared" si="30"/>
        <v>-63.8</v>
      </c>
      <c r="M51" s="1"/>
      <c r="N51" s="5">
        <f t="shared" si="31"/>
        <v>-1</v>
      </c>
      <c r="O51" s="13"/>
      <c r="P51" s="1">
        <f>SUM(OSRRefP22_7x_0)</f>
        <v>0</v>
      </c>
      <c r="Q51" s="1"/>
      <c r="R51" s="5">
        <f t="shared" si="32"/>
        <v>0</v>
      </c>
      <c r="S51" s="1"/>
      <c r="T51" s="1">
        <f>SUM(OSRRefT22_7x_0)</f>
        <v>1075.98</v>
      </c>
      <c r="U51" s="1"/>
      <c r="V51" s="5">
        <f t="shared" si="33"/>
        <v>4.6890289539105345E-4</v>
      </c>
      <c r="W51" s="1"/>
      <c r="X51" s="1">
        <f t="shared" si="34"/>
        <v>-1075.98</v>
      </c>
      <c r="Y51" s="1"/>
      <c r="Z51" s="5">
        <f t="shared" si="35"/>
        <v>-1</v>
      </c>
    </row>
    <row r="52" spans="1:26" s="24" customFormat="1" hidden="1" outlineLevel="2" x14ac:dyDescent="0.25">
      <c r="A52" s="27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28"/>
        <v>0</v>
      </c>
      <c r="G52" s="2"/>
      <c r="H52" s="7">
        <v>63.8</v>
      </c>
      <c r="I52" s="2"/>
      <c r="J52" s="6">
        <f t="shared" si="29"/>
        <v>2.1440030755354462E-4</v>
      </c>
      <c r="K52" s="2"/>
      <c r="L52" s="7">
        <f t="shared" si="30"/>
        <v>-63.8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1075.98</v>
      </c>
      <c r="U52" s="2"/>
      <c r="V52" s="6">
        <f t="shared" si="33"/>
        <v>4.6890289539105345E-4</v>
      </c>
      <c r="W52" s="2"/>
      <c r="X52" s="7">
        <f t="shared" si="34"/>
        <v>-1075.98</v>
      </c>
      <c r="Y52" s="2"/>
      <c r="Z52" s="6">
        <f t="shared" si="35"/>
        <v>-1</v>
      </c>
    </row>
    <row r="53" spans="1:26" s="25" customFormat="1" outlineLevel="1" collapsed="1" x14ac:dyDescent="0.25">
      <c r="A53" s="26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SUM(OSRRefD22_8x_0)</f>
        <v>110.26</v>
      </c>
      <c r="E53" s="1"/>
      <c r="F53" s="5">
        <f t="shared" si="28"/>
        <v>1.2959731975911307E-3</v>
      </c>
      <c r="G53" s="1"/>
      <c r="H53" s="1">
        <f>SUM(OSRRefH22_8x_0)</f>
        <v>109.66</v>
      </c>
      <c r="I53" s="1"/>
      <c r="J53" s="5">
        <f t="shared" si="29"/>
        <v>3.6851313050660975E-4</v>
      </c>
      <c r="K53" s="1"/>
      <c r="L53" s="1">
        <f t="shared" si="30"/>
        <v>0.60000000000000853</v>
      </c>
      <c r="M53" s="1"/>
      <c r="N53" s="5">
        <f t="shared" si="31"/>
        <v>5.471457231442719E-3</v>
      </c>
      <c r="O53" s="13"/>
      <c r="P53" s="1">
        <f>SUM(OSRRefP22_8x_0)</f>
        <v>1520.86</v>
      </c>
      <c r="Q53" s="1"/>
      <c r="R53" s="5">
        <f t="shared" si="32"/>
        <v>2.4822353678014214E-3</v>
      </c>
      <c r="S53" s="1"/>
      <c r="T53" s="1">
        <f>SUM(OSRRefT22_8x_0)</f>
        <v>1502.55</v>
      </c>
      <c r="U53" s="1"/>
      <c r="V53" s="5">
        <f t="shared" si="33"/>
        <v>6.5479845858643039E-4</v>
      </c>
      <c r="W53" s="1"/>
      <c r="X53" s="1">
        <f t="shared" si="34"/>
        <v>18.309999999999945</v>
      </c>
      <c r="Y53" s="1"/>
      <c r="Z53" s="5">
        <f t="shared" si="35"/>
        <v>1.2185950550730389E-2</v>
      </c>
    </row>
    <row r="54" spans="1:26" s="24" customFormat="1" hidden="1" outlineLevel="2" x14ac:dyDescent="0.25">
      <c r="A54" s="27"/>
      <c r="B54" s="11" t="str">
        <f>CONCATENATE("          ", "6351", " - ", "EQUIPMENT RENTAL")</f>
        <v xml:space="preserve">          6351 - EQUIPMENT RENTAL</v>
      </c>
      <c r="C54" s="11"/>
      <c r="D54" s="7">
        <v>110.26</v>
      </c>
      <c r="E54" s="2"/>
      <c r="F54" s="6">
        <f t="shared" si="28"/>
        <v>1.2959731975911307E-3</v>
      </c>
      <c r="G54" s="2"/>
      <c r="H54" s="7">
        <v>109.66</v>
      </c>
      <c r="I54" s="2"/>
      <c r="J54" s="6">
        <f t="shared" si="29"/>
        <v>3.6851313050660975E-4</v>
      </c>
      <c r="K54" s="2"/>
      <c r="L54" s="7">
        <f t="shared" si="30"/>
        <v>0.60000000000000853</v>
      </c>
      <c r="M54" s="2"/>
      <c r="N54" s="6">
        <f t="shared" si="31"/>
        <v>5.471457231442719E-3</v>
      </c>
      <c r="O54" s="11"/>
      <c r="P54" s="7">
        <v>1520.86</v>
      </c>
      <c r="Q54" s="2"/>
      <c r="R54" s="6">
        <f t="shared" si="32"/>
        <v>2.4822353678014214E-3</v>
      </c>
      <c r="S54" s="2"/>
      <c r="T54" s="7">
        <v>1502.55</v>
      </c>
      <c r="U54" s="2"/>
      <c r="V54" s="6">
        <f t="shared" si="33"/>
        <v>6.5479845858643039E-4</v>
      </c>
      <c r="W54" s="2"/>
      <c r="X54" s="7">
        <f t="shared" si="34"/>
        <v>18.309999999999945</v>
      </c>
      <c r="Y54" s="2"/>
      <c r="Z54" s="6">
        <f t="shared" si="35"/>
        <v>1.2185950550730389E-2</v>
      </c>
    </row>
    <row r="55" spans="1:26" s="25" customFormat="1" outlineLevel="1" collapsed="1" x14ac:dyDescent="0.25">
      <c r="A55" s="26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449.23</v>
      </c>
      <c r="E55" s="1"/>
      <c r="F55" s="5">
        <f t="shared" si="28"/>
        <v>5.280156353653761E-3</v>
      </c>
      <c r="G55" s="1"/>
      <c r="H55" s="1">
        <f>SUM(OSRRefH22_9x_0)</f>
        <v>129.54</v>
      </c>
      <c r="I55" s="1"/>
      <c r="J55" s="5">
        <f t="shared" si="29"/>
        <v>4.3531999749978322E-4</v>
      </c>
      <c r="K55" s="1"/>
      <c r="L55" s="1">
        <f t="shared" si="30"/>
        <v>319.69000000000005</v>
      </c>
      <c r="M55" s="1"/>
      <c r="N55" s="5">
        <f t="shared" si="31"/>
        <v>2.467886367145284</v>
      </c>
      <c r="O55" s="13"/>
      <c r="P55" s="1">
        <f>SUM(OSRRefP22_9x_0)</f>
        <v>1888.78</v>
      </c>
      <c r="Q55" s="1"/>
      <c r="R55" s="5">
        <f t="shared" si="32"/>
        <v>3.0827272188077592E-3</v>
      </c>
      <c r="S55" s="1"/>
      <c r="T55" s="1">
        <f>SUM(OSRRefT22_9x_0)</f>
        <v>2669.16</v>
      </c>
      <c r="U55" s="1"/>
      <c r="V55" s="5">
        <f t="shared" si="33"/>
        <v>1.163197134019205E-3</v>
      </c>
      <c r="W55" s="1"/>
      <c r="X55" s="1">
        <f t="shared" si="34"/>
        <v>-780.37999999999988</v>
      </c>
      <c r="Y55" s="1"/>
      <c r="Z55" s="5">
        <f t="shared" si="35"/>
        <v>-0.29236913485890692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7">
        <v>449.23</v>
      </c>
      <c r="E56" s="2"/>
      <c r="F56" s="6">
        <f t="shared" si="28"/>
        <v>5.280156353653761E-3</v>
      </c>
      <c r="G56" s="2"/>
      <c r="H56" s="7">
        <v>129.54</v>
      </c>
      <c r="I56" s="2"/>
      <c r="J56" s="6">
        <f t="shared" si="29"/>
        <v>4.3531999749978322E-4</v>
      </c>
      <c r="K56" s="2"/>
      <c r="L56" s="7">
        <f t="shared" si="30"/>
        <v>319.69000000000005</v>
      </c>
      <c r="M56" s="2"/>
      <c r="N56" s="6">
        <f t="shared" si="31"/>
        <v>2.467886367145284</v>
      </c>
      <c r="O56" s="11"/>
      <c r="P56" s="7">
        <v>1888.78</v>
      </c>
      <c r="Q56" s="2"/>
      <c r="R56" s="6">
        <f t="shared" si="32"/>
        <v>3.0827272188077592E-3</v>
      </c>
      <c r="S56" s="2"/>
      <c r="T56" s="7">
        <v>2669.16</v>
      </c>
      <c r="U56" s="2"/>
      <c r="V56" s="6">
        <f t="shared" si="33"/>
        <v>1.163197134019205E-3</v>
      </c>
      <c r="W56" s="2"/>
      <c r="X56" s="7">
        <f t="shared" si="34"/>
        <v>-780.37999999999988</v>
      </c>
      <c r="Y56" s="2"/>
      <c r="Z56" s="6">
        <f t="shared" si="35"/>
        <v>-0.29236913485890692</v>
      </c>
    </row>
    <row r="57" spans="1:26" s="25" customFormat="1" outlineLevel="1" collapsed="1" x14ac:dyDescent="0.25">
      <c r="A57" s="26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38313.420000000006</v>
      </c>
      <c r="E57" s="1"/>
      <c r="F57" s="5">
        <f t="shared" si="28"/>
        <v>0.45032800134275336</v>
      </c>
      <c r="G57" s="1"/>
      <c r="H57" s="1">
        <f>SUM(OSRRefH22_10x_0)</f>
        <v>23829.54</v>
      </c>
      <c r="I57" s="1"/>
      <c r="J57" s="5">
        <f t="shared" si="29"/>
        <v>8.0079321392782038E-2</v>
      </c>
      <c r="K57" s="1"/>
      <c r="L57" s="1">
        <f t="shared" si="30"/>
        <v>14483.880000000005</v>
      </c>
      <c r="M57" s="1"/>
      <c r="N57" s="5">
        <f t="shared" si="31"/>
        <v>0.60781198462076913</v>
      </c>
      <c r="O57" s="13"/>
      <c r="P57" s="1">
        <f>SUM(OSRRefP22_10x_0)</f>
        <v>73104.320000000007</v>
      </c>
      <c r="Q57" s="1"/>
      <c r="R57" s="5">
        <f t="shared" si="32"/>
        <v>0.11931547193237566</v>
      </c>
      <c r="S57" s="1"/>
      <c r="T57" s="1">
        <f>SUM(OSRRefT22_10x_0)</f>
        <v>178648.90000000002</v>
      </c>
      <c r="U57" s="1"/>
      <c r="V57" s="5">
        <f t="shared" si="33"/>
        <v>7.7853665001604844E-2</v>
      </c>
      <c r="W57" s="1"/>
      <c r="X57" s="1">
        <f t="shared" si="34"/>
        <v>-105544.58000000002</v>
      </c>
      <c r="Y57" s="1"/>
      <c r="Z57" s="5">
        <f t="shared" si="35"/>
        <v>-0.5907933382181475</v>
      </c>
    </row>
    <row r="58" spans="1:26" s="24" customFormat="1" hidden="1" outlineLevel="2" x14ac:dyDescent="0.25">
      <c r="A58" s="27"/>
      <c r="B58" s="11" t="str">
        <f>CONCATENATE("          ", "6387", " - ", "COMMISSION DUE HOUSING")</f>
        <v xml:space="preserve">          6387 - COMMISSION DUE HOUSING</v>
      </c>
      <c r="C58" s="11"/>
      <c r="D58" s="7">
        <v>38313.420000000006</v>
      </c>
      <c r="E58" s="2"/>
      <c r="F58" s="6">
        <f t="shared" si="28"/>
        <v>0.45032800134275336</v>
      </c>
      <c r="G58" s="2"/>
      <c r="H58" s="7">
        <v>23829.54</v>
      </c>
      <c r="I58" s="2"/>
      <c r="J58" s="6">
        <f t="shared" si="29"/>
        <v>8.0079321392782038E-2</v>
      </c>
      <c r="K58" s="2"/>
      <c r="L58" s="7">
        <f t="shared" si="30"/>
        <v>14483.880000000005</v>
      </c>
      <c r="M58" s="2"/>
      <c r="N58" s="6">
        <f t="shared" si="31"/>
        <v>0.60781198462076913</v>
      </c>
      <c r="O58" s="11"/>
      <c r="P58" s="7">
        <v>73104.320000000007</v>
      </c>
      <c r="Q58" s="2"/>
      <c r="R58" s="6">
        <f t="shared" si="32"/>
        <v>0.11931547193237566</v>
      </c>
      <c r="S58" s="2"/>
      <c r="T58" s="7">
        <v>178648.90000000002</v>
      </c>
      <c r="U58" s="2"/>
      <c r="V58" s="6">
        <f t="shared" si="33"/>
        <v>7.7853665001604844E-2</v>
      </c>
      <c r="W58" s="2"/>
      <c r="X58" s="7">
        <f t="shared" si="34"/>
        <v>-105544.58000000002</v>
      </c>
      <c r="Y58" s="2"/>
      <c r="Z58" s="6">
        <f t="shared" si="35"/>
        <v>-0.5907933382181475</v>
      </c>
    </row>
    <row r="59" spans="1:26" s="25" customFormat="1" outlineLevel="1" collapsed="1" x14ac:dyDescent="0.25">
      <c r="A59" s="26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78.430000000000007</v>
      </c>
      <c r="E59" s="1"/>
      <c r="F59" s="5">
        <f t="shared" si="28"/>
        <v>9.2184997176738973E-4</v>
      </c>
      <c r="G59" s="1"/>
      <c r="H59" s="1">
        <f>SUM(OSRRefH22_11x_0)</f>
        <v>267.51</v>
      </c>
      <c r="I59" s="1"/>
      <c r="J59" s="5">
        <f t="shared" si="29"/>
        <v>8.9896906385029344E-4</v>
      </c>
      <c r="K59" s="1"/>
      <c r="L59" s="1">
        <f t="shared" si="30"/>
        <v>-189.07999999999998</v>
      </c>
      <c r="M59" s="1"/>
      <c r="N59" s="5">
        <f t="shared" si="31"/>
        <v>-0.70681469851594325</v>
      </c>
      <c r="O59" s="13"/>
      <c r="P59" s="1">
        <f>SUM(OSRRefP22_11x_0)</f>
        <v>3260.27</v>
      </c>
      <c r="Q59" s="1"/>
      <c r="R59" s="5">
        <f t="shared" si="32"/>
        <v>5.3211719044369242E-3</v>
      </c>
      <c r="S59" s="1"/>
      <c r="T59" s="1">
        <f>SUM(OSRRefT22_11x_0)</f>
        <v>8798.31</v>
      </c>
      <c r="U59" s="1"/>
      <c r="V59" s="5">
        <f t="shared" si="33"/>
        <v>3.8342283625606975E-3</v>
      </c>
      <c r="W59" s="1"/>
      <c r="X59" s="1">
        <f t="shared" si="34"/>
        <v>-5538.0399999999991</v>
      </c>
      <c r="Y59" s="1"/>
      <c r="Z59" s="5">
        <f t="shared" si="35"/>
        <v>-0.62944360905673924</v>
      </c>
    </row>
    <row r="60" spans="1:26" s="24" customFormat="1" hidden="1" outlineLevel="2" x14ac:dyDescent="0.25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/>
      <c r="Q60" s="2"/>
      <c r="R60" s="6">
        <f t="shared" si="32"/>
        <v>0</v>
      </c>
      <c r="S60" s="2"/>
      <c r="T60" s="7">
        <v>8238.75</v>
      </c>
      <c r="U60" s="2"/>
      <c r="V60" s="6">
        <f t="shared" si="33"/>
        <v>3.5903768930677536E-3</v>
      </c>
      <c r="W60" s="2"/>
      <c r="X60" s="7">
        <f t="shared" si="34"/>
        <v>-8238.75</v>
      </c>
      <c r="Y60" s="2"/>
      <c r="Z60" s="6">
        <f t="shared" si="35"/>
        <v>-1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7">
        <v>78.430000000000007</v>
      </c>
      <c r="E61" s="2"/>
      <c r="F61" s="6">
        <f t="shared" si="28"/>
        <v>9.2184997176738973E-4</v>
      </c>
      <c r="G61" s="2"/>
      <c r="H61" s="7">
        <v>78.72</v>
      </c>
      <c r="I61" s="2"/>
      <c r="J61" s="6">
        <f t="shared" si="29"/>
        <v>2.645390628623046E-4</v>
      </c>
      <c r="K61" s="2"/>
      <c r="L61" s="7">
        <f t="shared" si="30"/>
        <v>-0.28999999999999204</v>
      </c>
      <c r="M61" s="2"/>
      <c r="N61" s="6">
        <f t="shared" si="31"/>
        <v>-3.6839430894307934E-3</v>
      </c>
      <c r="O61" s="11"/>
      <c r="P61" s="7">
        <v>1583.45</v>
      </c>
      <c r="Q61" s="2"/>
      <c r="R61" s="6">
        <f t="shared" si="32"/>
        <v>2.58439014317239E-3</v>
      </c>
      <c r="S61" s="2"/>
      <c r="T61" s="7">
        <v>202.15</v>
      </c>
      <c r="U61" s="2"/>
      <c r="V61" s="6">
        <f t="shared" si="33"/>
        <v>8.8095243687895183E-5</v>
      </c>
      <c r="W61" s="2"/>
      <c r="X61" s="7">
        <f t="shared" si="34"/>
        <v>1381.3</v>
      </c>
      <c r="Y61" s="2"/>
      <c r="Z61" s="6">
        <f t="shared" si="35"/>
        <v>6.8330447687360865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7"/>
      <c r="E62" s="2"/>
      <c r="F62" s="6">
        <f t="shared" si="28"/>
        <v>0</v>
      </c>
      <c r="G62" s="2"/>
      <c r="H62" s="7">
        <v>188.79</v>
      </c>
      <c r="I62" s="2"/>
      <c r="J62" s="6">
        <f t="shared" si="29"/>
        <v>6.3443000098798883E-4</v>
      </c>
      <c r="K62" s="2"/>
      <c r="L62" s="7">
        <f t="shared" si="30"/>
        <v>-188.79</v>
      </c>
      <c r="M62" s="2"/>
      <c r="N62" s="6">
        <f t="shared" si="31"/>
        <v>-1</v>
      </c>
      <c r="O62" s="11"/>
      <c r="P62" s="7">
        <v>1676.82</v>
      </c>
      <c r="Q62" s="2"/>
      <c r="R62" s="6">
        <f t="shared" si="32"/>
        <v>2.7367817612645342E-3</v>
      </c>
      <c r="S62" s="2"/>
      <c r="T62" s="7">
        <v>357.41</v>
      </c>
      <c r="U62" s="2"/>
      <c r="V62" s="6">
        <f t="shared" si="33"/>
        <v>1.5575622580504882E-4</v>
      </c>
      <c r="W62" s="2"/>
      <c r="X62" s="7">
        <f t="shared" si="34"/>
        <v>1319.4099999999999</v>
      </c>
      <c r="Y62" s="2"/>
      <c r="Z62" s="6">
        <f t="shared" si="35"/>
        <v>3.6915866931535204</v>
      </c>
    </row>
    <row r="63" spans="1:26" s="25" customFormat="1" outlineLevel="1" collapsed="1" x14ac:dyDescent="0.25">
      <c r="A63" s="26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6554.62</v>
      </c>
      <c r="E63" s="1"/>
      <c r="F63" s="5">
        <f t="shared" ref="F63:F67" si="36">IF(D$12=0,0,D63/D$12)</f>
        <v>7.7041645568608541E-2</v>
      </c>
      <c r="G63" s="1"/>
      <c r="H63" s="1">
        <f>SUM(OSRRefH22_12x_0)</f>
        <v>5666.4800000000005</v>
      </c>
      <c r="I63" s="1"/>
      <c r="J63" s="5">
        <f t="shared" ref="J63:J67" si="37">IF(H$12=0,0,H63/H$12)</f>
        <v>1.9042242237398269E-2</v>
      </c>
      <c r="K63" s="1"/>
      <c r="L63" s="1">
        <f t="shared" ref="L63:L67" si="38">+D63-H63</f>
        <v>888.13999999999942</v>
      </c>
      <c r="M63" s="1"/>
      <c r="N63" s="5">
        <f t="shared" ref="N63:N67" si="39">IF(H63=0,0,L63/H63)</f>
        <v>0.15673575129533668</v>
      </c>
      <c r="O63" s="13"/>
      <c r="P63" s="1">
        <f>SUM(OSRRefP22_12x_0)</f>
        <v>27268.080000000002</v>
      </c>
      <c r="Q63" s="1"/>
      <c r="R63" s="5">
        <f t="shared" ref="R63:R67" si="40">IF(P$12=0,0,P63/P$12)</f>
        <v>4.4504946272529086E-2</v>
      </c>
      <c r="S63" s="1"/>
      <c r="T63" s="1">
        <f>SUM(OSRRefT22_12x_0)</f>
        <v>37177.58</v>
      </c>
      <c r="U63" s="1"/>
      <c r="V63" s="5">
        <f t="shared" ref="V63:V67" si="41">IF(T$12=0,0,T63/T$12)</f>
        <v>1.6201671876459156E-2</v>
      </c>
      <c r="W63" s="1"/>
      <c r="X63" s="1">
        <f t="shared" ref="X63:X67" si="42">+P63-T63</f>
        <v>-9909.5</v>
      </c>
      <c r="Y63" s="1"/>
      <c r="Z63" s="5">
        <f t="shared" ref="Z63:Z67" si="43">IF(T63=0,0,X63/T63)</f>
        <v>-0.26654505215239938</v>
      </c>
    </row>
    <row r="64" spans="1:26" s="24" customFormat="1" hidden="1" outlineLevel="2" x14ac:dyDescent="0.25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1132.06</v>
      </c>
      <c r="E64" s="2"/>
      <c r="F64" s="6">
        <f t="shared" si="36"/>
        <v>1.3305998712724608E-2</v>
      </c>
      <c r="G64" s="2"/>
      <c r="H64" s="7">
        <v>842.68</v>
      </c>
      <c r="I64" s="2"/>
      <c r="J64" s="6">
        <f t="shared" si="37"/>
        <v>2.8318315230285418E-3</v>
      </c>
      <c r="K64" s="2"/>
      <c r="L64" s="7">
        <f t="shared" si="38"/>
        <v>289.38</v>
      </c>
      <c r="M64" s="2"/>
      <c r="N64" s="6">
        <f t="shared" si="39"/>
        <v>0.34340437651302985</v>
      </c>
      <c r="O64" s="11"/>
      <c r="P64" s="7">
        <v>1974.74</v>
      </c>
      <c r="Q64" s="2"/>
      <c r="R64" s="6">
        <f t="shared" si="40"/>
        <v>3.2230247821707319E-3</v>
      </c>
      <c r="S64" s="2"/>
      <c r="T64" s="7">
        <v>2949.38</v>
      </c>
      <c r="U64" s="2"/>
      <c r="V64" s="6">
        <f t="shared" si="41"/>
        <v>1.2853146170081836E-3</v>
      </c>
      <c r="W64" s="2"/>
      <c r="X64" s="7">
        <f t="shared" si="42"/>
        <v>-974.6400000000001</v>
      </c>
      <c r="Y64" s="2"/>
      <c r="Z64" s="6">
        <f t="shared" si="43"/>
        <v>-0.33045589242484863</v>
      </c>
    </row>
    <row r="65" spans="1:26" s="24" customFormat="1" hidden="1" outlineLevel="2" x14ac:dyDescent="0.25">
      <c r="A65" s="27"/>
      <c r="B65" s="11" t="str">
        <f>CONCATENATE("          ", "6284", " - ", "TRASH REMOVAL EXPENSE")</f>
        <v xml:space="preserve">          6284 - TRASH REMOVAL EXPENSE</v>
      </c>
      <c r="C65" s="11"/>
      <c r="D65" s="7">
        <v>282.75</v>
      </c>
      <c r="E65" s="2"/>
      <c r="F65" s="6">
        <f t="shared" si="36"/>
        <v>3.3233849230808292E-3</v>
      </c>
      <c r="G65" s="2"/>
      <c r="H65" s="7"/>
      <c r="I65" s="2"/>
      <c r="J65" s="6">
        <f t="shared" si="37"/>
        <v>0</v>
      </c>
      <c r="K65" s="2"/>
      <c r="L65" s="7">
        <f t="shared" si="38"/>
        <v>282.75</v>
      </c>
      <c r="M65" s="2"/>
      <c r="N65" s="6">
        <f t="shared" si="39"/>
        <v>0</v>
      </c>
      <c r="O65" s="11"/>
      <c r="P65" s="7">
        <v>282.75</v>
      </c>
      <c r="Q65" s="2"/>
      <c r="R65" s="6">
        <f t="shared" si="40"/>
        <v>4.6148366729735279E-4</v>
      </c>
      <c r="S65" s="2"/>
      <c r="T65" s="7"/>
      <c r="U65" s="2"/>
      <c r="V65" s="6">
        <f t="shared" si="41"/>
        <v>0</v>
      </c>
      <c r="W65" s="2"/>
      <c r="X65" s="7">
        <f t="shared" si="42"/>
        <v>282.75</v>
      </c>
      <c r="Y65" s="2"/>
      <c r="Z65" s="6">
        <f t="shared" si="43"/>
        <v>0</v>
      </c>
    </row>
    <row r="66" spans="1:26" s="24" customFormat="1" hidden="1" outlineLevel="2" x14ac:dyDescent="0.25">
      <c r="A66" s="27"/>
      <c r="B66" s="11" t="str">
        <f>CONCATENATE("          ", "6285", " - ", "JANITORIAL SERVICES")</f>
        <v xml:space="preserve">          6285 - JANITORIAL SERVICES</v>
      </c>
      <c r="C66" s="11"/>
      <c r="D66" s="7">
        <v>4194.1000000000004</v>
      </c>
      <c r="E66" s="2"/>
      <c r="F66" s="6">
        <f t="shared" si="36"/>
        <v>4.9296582514211519E-2</v>
      </c>
      <c r="G66" s="2"/>
      <c r="H66" s="7">
        <v>3916.67</v>
      </c>
      <c r="I66" s="2"/>
      <c r="J66" s="6">
        <f t="shared" si="37"/>
        <v>1.3161994554635448E-2</v>
      </c>
      <c r="K66" s="2"/>
      <c r="L66" s="7">
        <f t="shared" si="38"/>
        <v>277.43000000000029</v>
      </c>
      <c r="M66" s="2"/>
      <c r="N66" s="6">
        <f t="shared" si="39"/>
        <v>7.0833131205845862E-2</v>
      </c>
      <c r="O66" s="11"/>
      <c r="P66" s="7">
        <v>20202.63</v>
      </c>
      <c r="Q66" s="2"/>
      <c r="R66" s="6">
        <f t="shared" si="40"/>
        <v>3.2973240606371419E-2</v>
      </c>
      <c r="S66" s="2"/>
      <c r="T66" s="7">
        <v>26154.52</v>
      </c>
      <c r="U66" s="2"/>
      <c r="V66" s="6">
        <f t="shared" si="41"/>
        <v>1.1397916462725343E-2</v>
      </c>
      <c r="W66" s="2"/>
      <c r="X66" s="7">
        <f t="shared" si="42"/>
        <v>-5951.8899999999994</v>
      </c>
      <c r="Y66" s="2"/>
      <c r="Z66" s="6">
        <f t="shared" si="43"/>
        <v>-0.22756640152447835</v>
      </c>
    </row>
    <row r="67" spans="1:26" s="24" customFormat="1" hidden="1" outlineLevel="2" x14ac:dyDescent="0.25">
      <c r="A67" s="27"/>
      <c r="B67" s="11" t="str">
        <f>CONCATENATE("          ", "6286", " - ", "LAUNDRY EXPENSE")</f>
        <v xml:space="preserve">          6286 - LAUNDRY EXPENSE</v>
      </c>
      <c r="C67" s="11"/>
      <c r="D67" s="7">
        <v>945.71</v>
      </c>
      <c r="E67" s="2"/>
      <c r="F67" s="6">
        <f t="shared" si="36"/>
        <v>1.1115679418591587E-2</v>
      </c>
      <c r="G67" s="2"/>
      <c r="H67" s="7">
        <v>907.13</v>
      </c>
      <c r="I67" s="2"/>
      <c r="J67" s="6">
        <f t="shared" si="37"/>
        <v>3.0484161597342779E-3</v>
      </c>
      <c r="K67" s="2"/>
      <c r="L67" s="7">
        <f t="shared" si="38"/>
        <v>38.580000000000041</v>
      </c>
      <c r="M67" s="2"/>
      <c r="N67" s="6">
        <f t="shared" si="39"/>
        <v>4.2529736641936704E-2</v>
      </c>
      <c r="O67" s="11"/>
      <c r="P67" s="7">
        <v>4807.96</v>
      </c>
      <c r="Q67" s="2"/>
      <c r="R67" s="6">
        <f t="shared" si="40"/>
        <v>7.8471972166895849E-3</v>
      </c>
      <c r="S67" s="2"/>
      <c r="T67" s="7">
        <v>8073.68</v>
      </c>
      <c r="U67" s="2"/>
      <c r="V67" s="6">
        <f t="shared" si="41"/>
        <v>3.5184407967256272E-3</v>
      </c>
      <c r="W67" s="2"/>
      <c r="X67" s="7">
        <f t="shared" si="42"/>
        <v>-3265.7200000000003</v>
      </c>
      <c r="Y67" s="2"/>
      <c r="Z67" s="6">
        <f t="shared" si="43"/>
        <v>-0.40448965032054779</v>
      </c>
    </row>
    <row r="68" spans="1:26" s="25" customFormat="1" outlineLevel="1" collapsed="1" x14ac:dyDescent="0.25">
      <c r="A68" s="26"/>
      <c r="B68" s="13" t="str">
        <f>CONCATENATE("     ","Subscriptions &amp; Dues                              ")</f>
        <v xml:space="preserve">     Subscriptions &amp; Dues                              </v>
      </c>
      <c r="C68" s="13"/>
      <c r="D68" s="1">
        <f>SUM(OSRRefD22_13x_0)</f>
        <v>0</v>
      </c>
      <c r="E68" s="1"/>
      <c r="F68" s="5">
        <f t="shared" ref="F68:F79" si="44">IF(D$12=0,0,D68/D$12)</f>
        <v>0</v>
      </c>
      <c r="G68" s="1"/>
      <c r="H68" s="1">
        <f>SUM(OSRRefH22_13x_0)</f>
        <v>0</v>
      </c>
      <c r="I68" s="1"/>
      <c r="J68" s="5">
        <f t="shared" ref="J68:J79" si="45">IF(H$12=0,0,H68/H$12)</f>
        <v>0</v>
      </c>
      <c r="K68" s="1"/>
      <c r="L68" s="1">
        <f t="shared" ref="L68:L79" si="46">+D68-H68</f>
        <v>0</v>
      </c>
      <c r="M68" s="1"/>
      <c r="N68" s="5">
        <f t="shared" ref="N68:N79" si="47">IF(H68=0,0,L68/H68)</f>
        <v>0</v>
      </c>
      <c r="O68" s="13"/>
      <c r="P68" s="1">
        <f>SUM(OSRRefP22_13x_0)</f>
        <v>795</v>
      </c>
      <c r="Q68" s="1"/>
      <c r="R68" s="5">
        <f t="shared" ref="R68:R79" si="48">IF(P$12=0,0,P68/P$12)</f>
        <v>1.2975402847087373E-3</v>
      </c>
      <c r="S68" s="1"/>
      <c r="T68" s="1">
        <f>SUM(OSRRefT22_13x_0)</f>
        <v>0</v>
      </c>
      <c r="U68" s="1"/>
      <c r="V68" s="5">
        <f t="shared" ref="V68:V79" si="49">IF(T$12=0,0,T68/T$12)</f>
        <v>0</v>
      </c>
      <c r="W68" s="1"/>
      <c r="X68" s="1">
        <f t="shared" ref="X68:X79" si="50">+P68-T68</f>
        <v>795</v>
      </c>
      <c r="Y68" s="1"/>
      <c r="Z68" s="5">
        <f t="shared" ref="Z68:Z79" si="51">IF(T68=0,0,X68/T68)</f>
        <v>0</v>
      </c>
    </row>
    <row r="69" spans="1:26" s="24" customFormat="1" hidden="1" outlineLevel="2" x14ac:dyDescent="0.25">
      <c r="A69" s="27"/>
      <c r="B69" s="11" t="str">
        <f>CONCATENATE("          ", "6258", " - ", "MEMBERSHIP DUES")</f>
        <v xml:space="preserve">          6258 - MEMBERSHIP DUES</v>
      </c>
      <c r="C69" s="11"/>
      <c r="D69" s="7"/>
      <c r="E69" s="2"/>
      <c r="F69" s="6">
        <f t="shared" si="44"/>
        <v>0</v>
      </c>
      <c r="G69" s="2"/>
      <c r="H69" s="7"/>
      <c r="I69" s="2"/>
      <c r="J69" s="6">
        <f t="shared" si="45"/>
        <v>0</v>
      </c>
      <c r="K69" s="2"/>
      <c r="L69" s="7">
        <f t="shared" si="46"/>
        <v>0</v>
      </c>
      <c r="M69" s="2"/>
      <c r="N69" s="6">
        <f t="shared" si="47"/>
        <v>0</v>
      </c>
      <c r="O69" s="11"/>
      <c r="P69" s="7">
        <v>795</v>
      </c>
      <c r="Q69" s="2"/>
      <c r="R69" s="6">
        <f t="shared" si="48"/>
        <v>1.2975402847087373E-3</v>
      </c>
      <c r="S69" s="2"/>
      <c r="T69" s="7"/>
      <c r="U69" s="2"/>
      <c r="V69" s="6">
        <f t="shared" si="49"/>
        <v>0</v>
      </c>
      <c r="W69" s="2"/>
      <c r="X69" s="7">
        <f t="shared" si="50"/>
        <v>795</v>
      </c>
      <c r="Y69" s="2"/>
      <c r="Z69" s="6">
        <f t="shared" si="51"/>
        <v>0</v>
      </c>
    </row>
    <row r="70" spans="1:26" s="25" customFormat="1" outlineLevel="1" collapsed="1" x14ac:dyDescent="0.25">
      <c r="A70" s="26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12402.289999999999</v>
      </c>
      <c r="E70" s="1"/>
      <c r="F70" s="5">
        <f t="shared" si="44"/>
        <v>0.14577394729505264</v>
      </c>
      <c r="G70" s="1"/>
      <c r="H70" s="1">
        <f>SUM(OSRRefH22_14x_0)</f>
        <v>3971.46</v>
      </c>
      <c r="I70" s="1"/>
      <c r="J70" s="5">
        <f t="shared" si="45"/>
        <v>1.3346116699633233E-2</v>
      </c>
      <c r="K70" s="1"/>
      <c r="L70" s="1">
        <f t="shared" si="46"/>
        <v>8430.8299999999981</v>
      </c>
      <c r="M70" s="1"/>
      <c r="N70" s="5">
        <f t="shared" si="47"/>
        <v>2.122854063744819</v>
      </c>
      <c r="O70" s="13"/>
      <c r="P70" s="1">
        <f>SUM(OSRRefP22_14x_0)</f>
        <v>75422.739999999991</v>
      </c>
      <c r="Q70" s="1"/>
      <c r="R70" s="5">
        <f t="shared" si="48"/>
        <v>0.12309942582781516</v>
      </c>
      <c r="S70" s="1"/>
      <c r="T70" s="1">
        <f>SUM(OSRRefT22_14x_0)</f>
        <v>57893.53</v>
      </c>
      <c r="U70" s="1"/>
      <c r="V70" s="5">
        <f t="shared" si="49"/>
        <v>2.5229505977256837E-2</v>
      </c>
      <c r="W70" s="1"/>
      <c r="X70" s="1">
        <f t="shared" si="50"/>
        <v>17529.209999999992</v>
      </c>
      <c r="Y70" s="1"/>
      <c r="Z70" s="5">
        <f t="shared" si="51"/>
        <v>0.30278357529761946</v>
      </c>
    </row>
    <row r="71" spans="1:26" s="24" customFormat="1" hidden="1" outlineLevel="2" x14ac:dyDescent="0.25">
      <c r="A71" s="27"/>
      <c r="B71" s="11" t="str">
        <f>CONCATENATE("          ", "6234", " - ", "EXPENDABLE SUPPLIES &amp; EQUIPMEN")</f>
        <v xml:space="preserve">          6234 - EXPENDABLE SUPPLIES &amp; EQUIPMEN</v>
      </c>
      <c r="C71" s="11"/>
      <c r="D71" s="7"/>
      <c r="E71" s="2"/>
      <c r="F71" s="6">
        <f t="shared" si="44"/>
        <v>0</v>
      </c>
      <c r="G71" s="2"/>
      <c r="H71" s="7"/>
      <c r="I71" s="2"/>
      <c r="J71" s="6">
        <f t="shared" si="45"/>
        <v>0</v>
      </c>
      <c r="K71" s="2"/>
      <c r="L71" s="7">
        <f t="shared" si="46"/>
        <v>0</v>
      </c>
      <c r="M71" s="2"/>
      <c r="N71" s="6">
        <f t="shared" si="47"/>
        <v>0</v>
      </c>
      <c r="O71" s="11"/>
      <c r="P71" s="7"/>
      <c r="Q71" s="2"/>
      <c r="R71" s="6">
        <f t="shared" si="48"/>
        <v>0</v>
      </c>
      <c r="S71" s="2"/>
      <c r="T71" s="7">
        <v>100</v>
      </c>
      <c r="U71" s="2"/>
      <c r="V71" s="6">
        <f t="shared" si="49"/>
        <v>4.3579146024187571E-5</v>
      </c>
      <c r="W71" s="2"/>
      <c r="X71" s="7">
        <f t="shared" si="50"/>
        <v>-100</v>
      </c>
      <c r="Y71" s="2"/>
      <c r="Z71" s="6">
        <f t="shared" si="51"/>
        <v>-1</v>
      </c>
    </row>
    <row r="72" spans="1:26" s="24" customFormat="1" hidden="1" outlineLevel="2" x14ac:dyDescent="0.25">
      <c r="A72" s="27"/>
      <c r="B72" s="11" t="str">
        <f>CONCATENATE("          ", "6235", " - ", "COVID-19 EXPENSES")</f>
        <v xml:space="preserve">          6235 - COVID-19 EXPENSES</v>
      </c>
      <c r="C72" s="11"/>
      <c r="D72" s="7">
        <v>4714.9799999999996</v>
      </c>
      <c r="E72" s="2"/>
      <c r="F72" s="6">
        <f t="shared" si="44"/>
        <v>5.5418898124235706E-2</v>
      </c>
      <c r="G72" s="2"/>
      <c r="H72" s="7"/>
      <c r="I72" s="2"/>
      <c r="J72" s="6">
        <f t="shared" si="45"/>
        <v>0</v>
      </c>
      <c r="K72" s="2"/>
      <c r="L72" s="7">
        <f t="shared" si="46"/>
        <v>4714.9799999999996</v>
      </c>
      <c r="M72" s="2"/>
      <c r="N72" s="6">
        <f t="shared" si="47"/>
        <v>0</v>
      </c>
      <c r="O72" s="11"/>
      <c r="P72" s="7">
        <v>41412.870000000003</v>
      </c>
      <c r="Q72" s="2"/>
      <c r="R72" s="6">
        <f t="shared" si="48"/>
        <v>6.7591027836988588E-2</v>
      </c>
      <c r="S72" s="2"/>
      <c r="T72" s="7"/>
      <c r="U72" s="2"/>
      <c r="V72" s="6">
        <f t="shared" si="49"/>
        <v>0</v>
      </c>
      <c r="W72" s="2"/>
      <c r="X72" s="7">
        <f t="shared" si="50"/>
        <v>41412.870000000003</v>
      </c>
      <c r="Y72" s="2"/>
      <c r="Z72" s="6">
        <f t="shared" si="51"/>
        <v>0</v>
      </c>
    </row>
    <row r="73" spans="1:26" s="24" customFormat="1" hidden="1" outlineLevel="2" x14ac:dyDescent="0.25">
      <c r="A73" s="27"/>
      <c r="B73" s="11" t="str">
        <f>CONCATENATE("          ", "6237", " - ", "JANITORIAL SUPPLIES")</f>
        <v xml:space="preserve">          6237 - JANITORIAL SUPPLIES</v>
      </c>
      <c r="C73" s="11"/>
      <c r="D73" s="7">
        <v>3446.9</v>
      </c>
      <c r="E73" s="2"/>
      <c r="F73" s="6">
        <f t="shared" si="44"/>
        <v>4.0514148510582881E-2</v>
      </c>
      <c r="G73" s="2"/>
      <c r="H73" s="7">
        <v>2095.69</v>
      </c>
      <c r="I73" s="2"/>
      <c r="J73" s="6">
        <f t="shared" si="45"/>
        <v>7.0425796322396228E-3</v>
      </c>
      <c r="K73" s="2"/>
      <c r="L73" s="7">
        <f t="shared" si="46"/>
        <v>1351.21</v>
      </c>
      <c r="M73" s="2"/>
      <c r="N73" s="6">
        <f t="shared" si="47"/>
        <v>0.64475661953819507</v>
      </c>
      <c r="O73" s="11"/>
      <c r="P73" s="7">
        <v>9178.17</v>
      </c>
      <c r="Q73" s="2"/>
      <c r="R73" s="6">
        <f t="shared" si="48"/>
        <v>1.4979931213717221E-2</v>
      </c>
      <c r="S73" s="2"/>
      <c r="T73" s="7">
        <v>23097.09</v>
      </c>
      <c r="U73" s="2"/>
      <c r="V73" s="6">
        <f t="shared" si="49"/>
        <v>1.0065514578438026E-2</v>
      </c>
      <c r="W73" s="2"/>
      <c r="X73" s="7">
        <f t="shared" si="50"/>
        <v>-13918.92</v>
      </c>
      <c r="Y73" s="2"/>
      <c r="Z73" s="6">
        <f t="shared" si="51"/>
        <v>-0.60262656464515663</v>
      </c>
    </row>
    <row r="74" spans="1:26" s="24" customFormat="1" hidden="1" outlineLevel="2" x14ac:dyDescent="0.25">
      <c r="A74" s="27"/>
      <c r="B74" s="11" t="str">
        <f>CONCATENATE("          ", "6239", " - ", "KITCHEN SUPPLIES")</f>
        <v xml:space="preserve">          6239 - KITCHEN SUPPLIES</v>
      </c>
      <c r="C74" s="11"/>
      <c r="D74" s="7">
        <v>148.04</v>
      </c>
      <c r="E74" s="2"/>
      <c r="F74" s="6">
        <f t="shared" si="44"/>
        <v>1.7400314907617539E-3</v>
      </c>
      <c r="G74" s="2"/>
      <c r="H74" s="7">
        <v>260.75</v>
      </c>
      <c r="I74" s="2"/>
      <c r="J74" s="6">
        <f t="shared" si="45"/>
        <v>8.7625204066750409E-4</v>
      </c>
      <c r="K74" s="2"/>
      <c r="L74" s="7">
        <f t="shared" si="46"/>
        <v>-112.71000000000001</v>
      </c>
      <c r="M74" s="2"/>
      <c r="N74" s="6">
        <f t="shared" si="47"/>
        <v>-0.43225311601150529</v>
      </c>
      <c r="O74" s="11"/>
      <c r="P74" s="7">
        <v>4783.4799999999996</v>
      </c>
      <c r="Q74" s="2"/>
      <c r="R74" s="6">
        <f t="shared" si="48"/>
        <v>7.807242768677421E-3</v>
      </c>
      <c r="S74" s="2"/>
      <c r="T74" s="7">
        <v>15913.72</v>
      </c>
      <c r="U74" s="2"/>
      <c r="V74" s="6">
        <f t="shared" si="49"/>
        <v>6.9350632766803418E-3</v>
      </c>
      <c r="W74" s="2"/>
      <c r="X74" s="7">
        <f t="shared" si="50"/>
        <v>-11130.24</v>
      </c>
      <c r="Y74" s="2"/>
      <c r="Z74" s="6">
        <f t="shared" si="51"/>
        <v>-0.69941157692858746</v>
      </c>
    </row>
    <row r="75" spans="1:26" s="24" customFormat="1" hidden="1" outlineLevel="2" x14ac:dyDescent="0.25">
      <c r="A75" s="27"/>
      <c r="B75" s="11" t="str">
        <f>CONCATENATE("          ", "6241", " - ", "OFFICE EXPENSE")</f>
        <v xml:space="preserve">          6241 - OFFICE EXPENSE</v>
      </c>
      <c r="C75" s="11"/>
      <c r="D75" s="7">
        <v>725.9</v>
      </c>
      <c r="E75" s="2"/>
      <c r="F75" s="6">
        <f t="shared" si="44"/>
        <v>8.5320782163196239E-3</v>
      </c>
      <c r="G75" s="2"/>
      <c r="H75" s="7">
        <v>316.17</v>
      </c>
      <c r="I75" s="2"/>
      <c r="J75" s="6">
        <f t="shared" si="45"/>
        <v>1.0624913046897212E-3</v>
      </c>
      <c r="K75" s="2"/>
      <c r="L75" s="7">
        <f t="shared" si="46"/>
        <v>409.72999999999996</v>
      </c>
      <c r="M75" s="2"/>
      <c r="N75" s="6">
        <f t="shared" si="47"/>
        <v>1.2959167536451908</v>
      </c>
      <c r="O75" s="11"/>
      <c r="P75" s="7">
        <v>3211.02</v>
      </c>
      <c r="Q75" s="2"/>
      <c r="R75" s="6">
        <f t="shared" si="48"/>
        <v>5.2407896918307542E-3</v>
      </c>
      <c r="S75" s="2"/>
      <c r="T75" s="7">
        <v>2756.02</v>
      </c>
      <c r="U75" s="2"/>
      <c r="V75" s="6">
        <f t="shared" si="49"/>
        <v>1.2010499802558143E-3</v>
      </c>
      <c r="W75" s="2"/>
      <c r="X75" s="7">
        <f t="shared" si="50"/>
        <v>455</v>
      </c>
      <c r="Y75" s="2"/>
      <c r="Z75" s="6">
        <f t="shared" si="51"/>
        <v>0.16509314155920493</v>
      </c>
    </row>
    <row r="76" spans="1:26" s="24" customFormat="1" hidden="1" outlineLevel="2" x14ac:dyDescent="0.25">
      <c r="A76" s="27"/>
      <c r="B76" s="11" t="str">
        <f>CONCATENATE("          ", "6243", " - ", "PAPER SUPPLIES")</f>
        <v xml:space="preserve">          6243 - PAPER SUPPLIES</v>
      </c>
      <c r="C76" s="11"/>
      <c r="D76" s="7">
        <v>3366.47</v>
      </c>
      <c r="E76" s="2"/>
      <c r="F76" s="6">
        <f t="shared" si="44"/>
        <v>3.9568790953152674E-2</v>
      </c>
      <c r="G76" s="2"/>
      <c r="H76" s="7">
        <v>1298.8499999999999</v>
      </c>
      <c r="I76" s="2"/>
      <c r="J76" s="6">
        <f t="shared" si="45"/>
        <v>4.364793722036386E-3</v>
      </c>
      <c r="K76" s="2"/>
      <c r="L76" s="7">
        <f t="shared" si="46"/>
        <v>2067.62</v>
      </c>
      <c r="M76" s="2"/>
      <c r="N76" s="6">
        <f t="shared" si="47"/>
        <v>1.5918851291527121</v>
      </c>
      <c r="O76" s="11"/>
      <c r="P76" s="7">
        <v>12336.61</v>
      </c>
      <c r="Q76" s="2"/>
      <c r="R76" s="6">
        <f t="shared" si="48"/>
        <v>2.0134903712881329E-2</v>
      </c>
      <c r="S76" s="2"/>
      <c r="T76" s="7">
        <v>13593.58</v>
      </c>
      <c r="U76" s="2"/>
      <c r="V76" s="6">
        <f t="shared" si="49"/>
        <v>5.923966078114757E-3</v>
      </c>
      <c r="W76" s="2"/>
      <c r="X76" s="7">
        <f t="shared" si="50"/>
        <v>-1256.9699999999993</v>
      </c>
      <c r="Y76" s="2"/>
      <c r="Z76" s="6">
        <f t="shared" si="51"/>
        <v>-9.246791500105192E-2</v>
      </c>
    </row>
    <row r="77" spans="1:26" s="24" customFormat="1" hidden="1" outlineLevel="2" x14ac:dyDescent="0.25">
      <c r="A77" s="27"/>
      <c r="B77" s="11" t="str">
        <f>CONCATENATE("          ", "6245", " - ", "PRINTING")</f>
        <v xml:space="preserve">          6245 - PRINTING</v>
      </c>
      <c r="C77" s="11"/>
      <c r="D77" s="7"/>
      <c r="E77" s="2"/>
      <c r="F77" s="6">
        <f t="shared" si="44"/>
        <v>0</v>
      </c>
      <c r="G77" s="2"/>
      <c r="H77" s="7"/>
      <c r="I77" s="2"/>
      <c r="J77" s="6">
        <f t="shared" si="45"/>
        <v>0</v>
      </c>
      <c r="K77" s="2"/>
      <c r="L77" s="7">
        <f t="shared" si="46"/>
        <v>0</v>
      </c>
      <c r="M77" s="2"/>
      <c r="N77" s="6">
        <f t="shared" si="47"/>
        <v>0</v>
      </c>
      <c r="O77" s="11"/>
      <c r="P77" s="7"/>
      <c r="Q77" s="2"/>
      <c r="R77" s="6">
        <f t="shared" si="48"/>
        <v>0</v>
      </c>
      <c r="S77" s="2"/>
      <c r="T77" s="7">
        <v>441</v>
      </c>
      <c r="U77" s="2"/>
      <c r="V77" s="6">
        <f t="shared" si="49"/>
        <v>1.9218403396666718E-4</v>
      </c>
      <c r="W77" s="2"/>
      <c r="X77" s="7">
        <f t="shared" si="50"/>
        <v>-441</v>
      </c>
      <c r="Y77" s="2"/>
      <c r="Z77" s="6">
        <f t="shared" si="51"/>
        <v>-1</v>
      </c>
    </row>
    <row r="78" spans="1:26" s="24" customFormat="1" hidden="1" outlineLevel="2" x14ac:dyDescent="0.25">
      <c r="A78" s="27"/>
      <c r="B78" s="11" t="str">
        <f>CONCATENATE("          ", "6247", " - ", "STORE SUPPLIES")</f>
        <v xml:space="preserve">          6247 - STORE SUPPLIES</v>
      </c>
      <c r="C78" s="11"/>
      <c r="D78" s="7"/>
      <c r="E78" s="2"/>
      <c r="F78" s="6">
        <f t="shared" si="44"/>
        <v>0</v>
      </c>
      <c r="G78" s="2"/>
      <c r="H78" s="7"/>
      <c r="I78" s="2"/>
      <c r="J78" s="6">
        <f t="shared" si="45"/>
        <v>0</v>
      </c>
      <c r="K78" s="2"/>
      <c r="L78" s="7">
        <f t="shared" si="46"/>
        <v>0</v>
      </c>
      <c r="M78" s="2"/>
      <c r="N78" s="6">
        <f t="shared" si="47"/>
        <v>0</v>
      </c>
      <c r="O78" s="11"/>
      <c r="P78" s="7"/>
      <c r="Q78" s="2"/>
      <c r="R78" s="6">
        <f t="shared" si="48"/>
        <v>0</v>
      </c>
      <c r="S78" s="2"/>
      <c r="T78" s="7">
        <v>153.87</v>
      </c>
      <c r="U78" s="2"/>
      <c r="V78" s="6">
        <f t="shared" si="49"/>
        <v>6.7055231987417423E-5</v>
      </c>
      <c r="W78" s="2"/>
      <c r="X78" s="7">
        <f t="shared" si="50"/>
        <v>-153.87</v>
      </c>
      <c r="Y78" s="2"/>
      <c r="Z78" s="6">
        <f t="shared" si="51"/>
        <v>-1</v>
      </c>
    </row>
    <row r="79" spans="1:26" s="24" customFormat="1" hidden="1" outlineLevel="2" x14ac:dyDescent="0.25">
      <c r="A79" s="27"/>
      <c r="B79" s="11" t="str">
        <f>CONCATENATE("          ", "6248", " - ", "UNIFORMS")</f>
        <v xml:space="preserve">          6248 - UNIFORMS</v>
      </c>
      <c r="C79" s="11"/>
      <c r="D79" s="7"/>
      <c r="E79" s="2"/>
      <c r="F79" s="6">
        <f t="shared" si="44"/>
        <v>0</v>
      </c>
      <c r="G79" s="2"/>
      <c r="H79" s="7"/>
      <c r="I79" s="2"/>
      <c r="J79" s="6">
        <f t="shared" si="45"/>
        <v>0</v>
      </c>
      <c r="K79" s="2"/>
      <c r="L79" s="7">
        <f t="shared" si="46"/>
        <v>0</v>
      </c>
      <c r="M79" s="2"/>
      <c r="N79" s="6">
        <f t="shared" si="47"/>
        <v>0</v>
      </c>
      <c r="O79" s="11"/>
      <c r="P79" s="7">
        <v>4500.59</v>
      </c>
      <c r="Q79" s="2"/>
      <c r="R79" s="6">
        <f t="shared" si="48"/>
        <v>7.3455306037198687E-3</v>
      </c>
      <c r="S79" s="2"/>
      <c r="T79" s="7">
        <v>1838.25</v>
      </c>
      <c r="U79" s="2"/>
      <c r="V79" s="6">
        <f t="shared" si="49"/>
        <v>8.0109365178962803E-4</v>
      </c>
      <c r="W79" s="2"/>
      <c r="X79" s="7">
        <f t="shared" si="50"/>
        <v>2662.34</v>
      </c>
      <c r="Y79" s="2"/>
      <c r="Z79" s="6">
        <f t="shared" si="51"/>
        <v>1.4483013735890113</v>
      </c>
    </row>
    <row r="80" spans="1:26" s="25" customFormat="1" outlineLevel="1" collapsed="1" x14ac:dyDescent="0.25">
      <c r="A80" s="26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SUM(OSRRefD22_15x_0)</f>
        <v>259</v>
      </c>
      <c r="E80" s="1"/>
      <c r="F80" s="5">
        <f t="shared" ref="F80:F85" si="52">IF(D$12=0,0,D80/D$12)</f>
        <v>3.044232343334871E-3</v>
      </c>
      <c r="G80" s="1"/>
      <c r="H80" s="1">
        <f>SUM(OSRRefH22_15x_0)</f>
        <v>312.60000000000002</v>
      </c>
      <c r="I80" s="1"/>
      <c r="J80" s="5">
        <f t="shared" ref="J80:J85" si="53">IF(H$12=0,0,H80/H$12)</f>
        <v>1.050494296884609E-3</v>
      </c>
      <c r="K80" s="1"/>
      <c r="L80" s="1">
        <f t="shared" ref="L80:L85" si="54">+D80-H80</f>
        <v>-53.600000000000023</v>
      </c>
      <c r="M80" s="1"/>
      <c r="N80" s="5">
        <f t="shared" ref="N80:N85" si="55">IF(H80=0,0,L80/H80)</f>
        <v>-0.1714651311580295</v>
      </c>
      <c r="O80" s="13"/>
      <c r="P80" s="1">
        <f>SUM(OSRRefP22_15x_0)</f>
        <v>1705</v>
      </c>
      <c r="Q80" s="1"/>
      <c r="R80" s="5">
        <f t="shared" ref="R80:R85" si="56">IF(P$12=0,0,P80/P$12)</f>
        <v>2.7827750760105623E-3</v>
      </c>
      <c r="S80" s="1"/>
      <c r="T80" s="1">
        <f>SUM(OSRRefT22_15x_0)</f>
        <v>1967.05</v>
      </c>
      <c r="U80" s="1"/>
      <c r="V80" s="5">
        <f t="shared" ref="V80:V85" si="57">IF(T$12=0,0,T80/T$12)</f>
        <v>8.5722359186878158E-4</v>
      </c>
      <c r="W80" s="1"/>
      <c r="X80" s="1">
        <f t="shared" ref="X80:X85" si="58">+P80-T80</f>
        <v>-262.04999999999995</v>
      </c>
      <c r="Y80" s="1"/>
      <c r="Z80" s="5">
        <f t="shared" ref="Z80:Z85" si="59">IF(T80=0,0,X80/T80)</f>
        <v>-0.13321979614143004</v>
      </c>
    </row>
    <row r="81" spans="1:26" s="24" customFormat="1" hidden="1" outlineLevel="2" x14ac:dyDescent="0.25">
      <c r="A81" s="27"/>
      <c r="B81" s="11" t="str">
        <f>CONCATENATE("          ", "6309", " - ", "TELEPHONE")</f>
        <v xml:space="preserve">          6309 - TELEPHONE</v>
      </c>
      <c r="C81" s="11"/>
      <c r="D81" s="7">
        <v>259</v>
      </c>
      <c r="E81" s="2"/>
      <c r="F81" s="6">
        <f t="shared" si="52"/>
        <v>3.044232343334871E-3</v>
      </c>
      <c r="G81" s="2"/>
      <c r="H81" s="7">
        <v>312.60000000000002</v>
      </c>
      <c r="I81" s="2"/>
      <c r="J81" s="6">
        <f t="shared" si="53"/>
        <v>1.050494296884609E-3</v>
      </c>
      <c r="K81" s="2"/>
      <c r="L81" s="7">
        <f t="shared" si="54"/>
        <v>-53.600000000000023</v>
      </c>
      <c r="M81" s="2"/>
      <c r="N81" s="6">
        <f t="shared" si="55"/>
        <v>-0.1714651311580295</v>
      </c>
      <c r="O81" s="11"/>
      <c r="P81" s="7">
        <v>1705</v>
      </c>
      <c r="Q81" s="2"/>
      <c r="R81" s="6">
        <f t="shared" si="56"/>
        <v>2.7827750760105623E-3</v>
      </c>
      <c r="S81" s="2"/>
      <c r="T81" s="7">
        <v>1967.05</v>
      </c>
      <c r="U81" s="2"/>
      <c r="V81" s="6">
        <f t="shared" si="57"/>
        <v>8.5722359186878158E-4</v>
      </c>
      <c r="W81" s="2"/>
      <c r="X81" s="7">
        <f t="shared" si="58"/>
        <v>-262.04999999999995</v>
      </c>
      <c r="Y81" s="2"/>
      <c r="Z81" s="6">
        <f t="shared" si="59"/>
        <v>-0.13321979614143004</v>
      </c>
    </row>
    <row r="82" spans="1:26" s="25" customFormat="1" outlineLevel="1" collapsed="1" x14ac:dyDescent="0.25">
      <c r="A82" s="26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SUM(OSRRefD22_16x_0)</f>
        <v>0</v>
      </c>
      <c r="E82" s="1"/>
      <c r="F82" s="5">
        <f t="shared" si="52"/>
        <v>0</v>
      </c>
      <c r="G82" s="1"/>
      <c r="H82" s="1">
        <f>SUM(OSRRefH22_16x_0)</f>
        <v>-125</v>
      </c>
      <c r="I82" s="1"/>
      <c r="J82" s="5">
        <f t="shared" si="53"/>
        <v>-4.2006329849832407E-4</v>
      </c>
      <c r="K82" s="1"/>
      <c r="L82" s="1">
        <f t="shared" si="54"/>
        <v>125</v>
      </c>
      <c r="M82" s="1"/>
      <c r="N82" s="5">
        <f t="shared" si="55"/>
        <v>-1</v>
      </c>
      <c r="O82" s="13"/>
      <c r="P82" s="1">
        <f>SUM(OSRRefP22_16x_0)</f>
        <v>735</v>
      </c>
      <c r="Q82" s="1"/>
      <c r="R82" s="5">
        <f t="shared" si="56"/>
        <v>1.199612716051474E-3</v>
      </c>
      <c r="S82" s="1"/>
      <c r="T82" s="1">
        <f>SUM(OSRRefT22_16x_0)</f>
        <v>638</v>
      </c>
      <c r="U82" s="1"/>
      <c r="V82" s="5">
        <f t="shared" si="57"/>
        <v>2.7803495163431673E-4</v>
      </c>
      <c r="W82" s="1"/>
      <c r="X82" s="1">
        <f t="shared" si="58"/>
        <v>97</v>
      </c>
      <c r="Y82" s="1"/>
      <c r="Z82" s="5">
        <f t="shared" si="59"/>
        <v>0.15203761755485892</v>
      </c>
    </row>
    <row r="83" spans="1:26" s="24" customFormat="1" hidden="1" outlineLevel="2" x14ac:dyDescent="0.25">
      <c r="A83" s="27"/>
      <c r="B83" s="11" t="str">
        <f>CONCATENATE("          ", "6376", " - ", "TRAINING")</f>
        <v xml:space="preserve">          6376 - TRAINING</v>
      </c>
      <c r="C83" s="11"/>
      <c r="D83" s="7"/>
      <c r="E83" s="2"/>
      <c r="F83" s="6">
        <f t="shared" si="52"/>
        <v>0</v>
      </c>
      <c r="G83" s="2"/>
      <c r="H83" s="7">
        <v>-125</v>
      </c>
      <c r="I83" s="2"/>
      <c r="J83" s="6">
        <f t="shared" si="53"/>
        <v>-4.2006329849832407E-4</v>
      </c>
      <c r="K83" s="2"/>
      <c r="L83" s="7">
        <f t="shared" si="54"/>
        <v>125</v>
      </c>
      <c r="M83" s="2"/>
      <c r="N83" s="6">
        <f t="shared" si="55"/>
        <v>-1</v>
      </c>
      <c r="O83" s="11"/>
      <c r="P83" s="7">
        <v>735</v>
      </c>
      <c r="Q83" s="2"/>
      <c r="R83" s="6">
        <f t="shared" si="56"/>
        <v>1.199612716051474E-3</v>
      </c>
      <c r="S83" s="2"/>
      <c r="T83" s="7">
        <v>638</v>
      </c>
      <c r="U83" s="2"/>
      <c r="V83" s="6">
        <f t="shared" si="57"/>
        <v>2.7803495163431673E-4</v>
      </c>
      <c r="W83" s="2"/>
      <c r="X83" s="7">
        <f t="shared" si="58"/>
        <v>97</v>
      </c>
      <c r="Y83" s="2"/>
      <c r="Z83" s="6">
        <f t="shared" si="59"/>
        <v>0.15203761755485892</v>
      </c>
    </row>
    <row r="84" spans="1:26" s="25" customFormat="1" outlineLevel="1" collapsed="1" x14ac:dyDescent="0.25">
      <c r="A84" s="26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SUM(OSRRefD22_17x_0)</f>
        <v>0</v>
      </c>
      <c r="E84" s="1"/>
      <c r="F84" s="5">
        <f t="shared" si="52"/>
        <v>0</v>
      </c>
      <c r="G84" s="1"/>
      <c r="H84" s="1">
        <f>SUM(OSRRefH22_17x_0)</f>
        <v>-267.27999999999997</v>
      </c>
      <c r="I84" s="1"/>
      <c r="J84" s="5">
        <f t="shared" si="53"/>
        <v>-8.9819614738105645E-4</v>
      </c>
      <c r="K84" s="1"/>
      <c r="L84" s="1">
        <f t="shared" si="54"/>
        <v>267.27999999999997</v>
      </c>
      <c r="M84" s="1"/>
      <c r="N84" s="5">
        <f t="shared" si="55"/>
        <v>-1</v>
      </c>
      <c r="O84" s="13"/>
      <c r="P84" s="1">
        <f>SUM(OSRRefP22_17x_0)</f>
        <v>0</v>
      </c>
      <c r="Q84" s="1"/>
      <c r="R84" s="5">
        <f t="shared" si="56"/>
        <v>0</v>
      </c>
      <c r="S84" s="1"/>
      <c r="T84" s="1">
        <f>SUM(OSRRefT22_17x_0)</f>
        <v>59.14</v>
      </c>
      <c r="U84" s="1"/>
      <c r="V84" s="5">
        <f t="shared" si="57"/>
        <v>2.5772706958704529E-5</v>
      </c>
      <c r="W84" s="1"/>
      <c r="X84" s="1">
        <f t="shared" si="58"/>
        <v>-59.14</v>
      </c>
      <c r="Y84" s="1"/>
      <c r="Z84" s="5">
        <f t="shared" si="59"/>
        <v>-1</v>
      </c>
    </row>
    <row r="85" spans="1:26" s="24" customFormat="1" hidden="1" outlineLevel="2" x14ac:dyDescent="0.25">
      <c r="A85" s="27"/>
      <c r="B85" s="11" t="str">
        <f>CONCATENATE("          ", "6292", " - ", "TRAVEL/CONFERENCE")</f>
        <v xml:space="preserve">          6292 - TRAVEL/CONFERENCE</v>
      </c>
      <c r="C85" s="11"/>
      <c r="D85" s="7"/>
      <c r="E85" s="2"/>
      <c r="F85" s="6">
        <f t="shared" si="52"/>
        <v>0</v>
      </c>
      <c r="G85" s="2"/>
      <c r="H85" s="7">
        <v>-267.27999999999997</v>
      </c>
      <c r="I85" s="2"/>
      <c r="J85" s="6">
        <f t="shared" si="53"/>
        <v>-8.9819614738105645E-4</v>
      </c>
      <c r="K85" s="2"/>
      <c r="L85" s="7">
        <f t="shared" si="54"/>
        <v>267.27999999999997</v>
      </c>
      <c r="M85" s="2"/>
      <c r="N85" s="6">
        <f t="shared" si="55"/>
        <v>-1</v>
      </c>
      <c r="O85" s="11"/>
      <c r="P85" s="7"/>
      <c r="Q85" s="2"/>
      <c r="R85" s="6">
        <f t="shared" si="56"/>
        <v>0</v>
      </c>
      <c r="S85" s="2"/>
      <c r="T85" s="7">
        <v>59.14</v>
      </c>
      <c r="U85" s="2"/>
      <c r="V85" s="6">
        <f t="shared" si="57"/>
        <v>2.5772706958704529E-5</v>
      </c>
      <c r="W85" s="2"/>
      <c r="X85" s="7">
        <f t="shared" si="58"/>
        <v>-59.14</v>
      </c>
      <c r="Y85" s="2"/>
      <c r="Z85" s="6">
        <f t="shared" si="59"/>
        <v>-1</v>
      </c>
    </row>
    <row r="86" spans="1:26" s="55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25">
      <c r="A87" s="10"/>
      <c r="B87" s="29" t="s">
        <v>0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8" t="s">
        <v>3</v>
      </c>
      <c r="C89" s="28"/>
      <c r="D89" s="20">
        <f>+D21-D23+D87</f>
        <v>-96019</v>
      </c>
      <c r="E89" s="14"/>
      <c r="F89" s="21">
        <f>IF(D$12=0,0,D89/D$12)</f>
        <v>-1.1285874338790385</v>
      </c>
      <c r="G89" s="14"/>
      <c r="H89" s="20">
        <f>+H21-H23+H87</f>
        <v>88115.439999999944</v>
      </c>
      <c r="I89" s="14"/>
      <c r="J89" s="21">
        <f>IF(H$12=0,0,H89/H$12)</f>
        <v>0.29611249900024916</v>
      </c>
      <c r="K89" s="15"/>
      <c r="L89" s="20">
        <f>+D89-H89</f>
        <v>-184134.43999999994</v>
      </c>
      <c r="M89" s="15"/>
      <c r="N89" s="21">
        <f>IF(H89=0,0,L89/H89)</f>
        <v>-2.0896955176073577</v>
      </c>
      <c r="O89" s="29"/>
      <c r="P89" s="20">
        <f>+P21-P23+P87</f>
        <v>-352349.49999999977</v>
      </c>
      <c r="Q89" s="14"/>
      <c r="R89" s="21">
        <f>IF(P$12=0,0,P89/P$12)</f>
        <v>-0.57507883087670553</v>
      </c>
      <c r="S89" s="14"/>
      <c r="T89" s="20">
        <f>+T21-T23+T87</f>
        <v>652023.57999999961</v>
      </c>
      <c r="U89" s="14"/>
      <c r="V89" s="21">
        <f>IF(T$12=0,0,T89/T$12)</f>
        <v>0.2841463080403353</v>
      </c>
      <c r="W89" s="15"/>
      <c r="X89" s="20">
        <f>+P89-T89</f>
        <v>-1004373.0799999994</v>
      </c>
      <c r="Y89" s="15"/>
      <c r="Z89" s="21">
        <f>IF(T89=0,0,X89/T89)</f>
        <v>-1.5403937998684034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1"/>
      <c r="B91" s="10" t="s">
        <v>13</v>
      </c>
      <c r="C91" s="10"/>
      <c r="D91" s="4">
        <v>29523.4</v>
      </c>
      <c r="E91" s="4"/>
      <c r="F91" s="12">
        <f>IF(D$12=0,0,D91/D$12)</f>
        <v>0.34701192727881364</v>
      </c>
      <c r="G91" s="4"/>
      <c r="H91" s="4">
        <v>36363.120000000003</v>
      </c>
      <c r="I91" s="4"/>
      <c r="J91" s="12">
        <f>IF(H$12=0,0,H91/H$12)</f>
        <v>0.12219849704712304</v>
      </c>
      <c r="K91" s="4"/>
      <c r="L91" s="4">
        <f>+D91-H91</f>
        <v>-6839.7200000000012</v>
      </c>
      <c r="M91" s="4"/>
      <c r="N91" s="12">
        <f>IF(H91=0,0,L91/H91)</f>
        <v>-0.18809497094858749</v>
      </c>
      <c r="O91" s="10"/>
      <c r="P91" s="4">
        <v>113362.04000000001</v>
      </c>
      <c r="Q91" s="4"/>
      <c r="R91" s="12">
        <f>IF(P$12=0,0,P91/P$12)</f>
        <v>0.18502114925379026</v>
      </c>
      <c r="S91" s="4"/>
      <c r="T91" s="4">
        <v>247842.63</v>
      </c>
      <c r="U91" s="4"/>
      <c r="V91" s="12">
        <f>IF(T$12=0,0,T91/T$12)</f>
        <v>0.10800770163788692</v>
      </c>
      <c r="W91" s="4"/>
      <c r="X91" s="4">
        <f>+P91-T91</f>
        <v>-134480.59</v>
      </c>
      <c r="Y91" s="4"/>
      <c r="Z91" s="12">
        <f>IF(T91=0,0,X91/T91)</f>
        <v>-0.54260475689755228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4</v>
      </c>
      <c r="C93" s="28"/>
      <c r="D93" s="33">
        <f>+D89-D91</f>
        <v>-125542.39999999999</v>
      </c>
      <c r="E93" s="14"/>
      <c r="F93" s="34">
        <f>IF(D$12=0,0,D93/D$12)</f>
        <v>-1.475599361157852</v>
      </c>
      <c r="G93" s="14"/>
      <c r="H93" s="33">
        <f>+H89-H91</f>
        <v>51752.319999999942</v>
      </c>
      <c r="I93" s="14"/>
      <c r="J93" s="34">
        <f>IF(H$12=0,0,H93/H$12)</f>
        <v>0.17391400195312612</v>
      </c>
      <c r="K93" s="15"/>
      <c r="L93" s="33">
        <f>D93-H93</f>
        <v>-177294.71999999994</v>
      </c>
      <c r="M93" s="15"/>
      <c r="N93" s="34">
        <f>IF(H93=0,0,L93/H93)</f>
        <v>-3.4258313443725834</v>
      </c>
      <c r="O93" s="29"/>
      <c r="P93" s="33">
        <f>+P89-P91</f>
        <v>-465711.5399999998</v>
      </c>
      <c r="Q93" s="14"/>
      <c r="R93" s="34">
        <f>IF(P$12=0,0,P93/P$12)</f>
        <v>-0.76009998013049584</v>
      </c>
      <c r="S93" s="14"/>
      <c r="T93" s="33">
        <f>+T89-T91</f>
        <v>404180.9499999996</v>
      </c>
      <c r="U93" s="14"/>
      <c r="V93" s="34">
        <f>IF(T$12=0,0,T93/T$12)</f>
        <v>0.17613860640244838</v>
      </c>
      <c r="W93" s="15"/>
      <c r="X93" s="33">
        <f>P93-T93</f>
        <v>-869892.48999999941</v>
      </c>
      <c r="Y93" s="15"/>
      <c r="Z93" s="34">
        <f>IF(T93=0,0,X93/T93)</f>
        <v>-2.1522352550262456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5</v>
      </c>
      <c r="C96" s="28"/>
      <c r="D96" s="30">
        <f>SUM(D93:D95)</f>
        <v>-125542.39999999999</v>
      </c>
      <c r="E96" s="14"/>
      <c r="F96" s="32">
        <f>IF(D$12=0,0,D96/D$12)</f>
        <v>-1.475599361157852</v>
      </c>
      <c r="G96" s="14"/>
      <c r="H96" s="30">
        <f>SUM(H93:H95)</f>
        <v>51752.319999999942</v>
      </c>
      <c r="I96" s="14"/>
      <c r="J96" s="32">
        <f>IF(H$12=0,0,H96/H$12)</f>
        <v>0.17391400195312612</v>
      </c>
      <c r="K96" s="15"/>
      <c r="L96" s="30">
        <f>+D96-H96</f>
        <v>-177294.71999999994</v>
      </c>
      <c r="M96" s="15"/>
      <c r="N96" s="32">
        <f>IF(H96=0,0,L96/H96)</f>
        <v>-3.4258313443725834</v>
      </c>
      <c r="O96" s="29"/>
      <c r="P96" s="30">
        <f>SUM(P93:P95)</f>
        <v>-465711.5399999998</v>
      </c>
      <c r="Q96" s="14"/>
      <c r="R96" s="32">
        <f>IF(P$12=0,0,P96/P$12)</f>
        <v>-0.76009998013049584</v>
      </c>
      <c r="S96" s="14"/>
      <c r="T96" s="30">
        <f>SUM(T93:T95)</f>
        <v>404180.9499999996</v>
      </c>
      <c r="U96" s="14"/>
      <c r="V96" s="32">
        <f>IF(T$12=0,0,T96/T$12)</f>
        <v>0.17613860640244838</v>
      </c>
      <c r="W96" s="15"/>
      <c r="X96" s="30">
        <f>+P96-T96</f>
        <v>-869892.48999999941</v>
      </c>
      <c r="Y96" s="15"/>
      <c r="Z96" s="32">
        <f>IF(T96=0,0,X96/T96)</f>
        <v>-2.1522352550262456</v>
      </c>
    </row>
    <row r="97" spans="1:24" ht="15.75" thickTop="1" x14ac:dyDescent="0.25">
      <c r="A97" s="9"/>
      <c r="C97" s="9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58">
        <v>44209.522225578701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A99" s="9"/>
      <c r="B99" s="61" t="s">
        <v>313</v>
      </c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25">
      <c r="A100" s="9"/>
      <c r="B100" s="57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4" x14ac:dyDescent="0.25"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","450", " - ", "Beachside Dining Hall")</f>
        <v>Department 450 - Beachside Dining Hall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189901.72</v>
      </c>
      <c r="I12" s="4"/>
      <c r="J12" s="12"/>
      <c r="K12" s="4"/>
      <c r="L12" s="4">
        <f t="shared" ref="L12:L15" si="0">+D12-H12</f>
        <v>-189901.72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1298877.9000000001</v>
      </c>
      <c r="U12" s="4"/>
      <c r="V12" s="12"/>
      <c r="W12" s="4"/>
      <c r="X12" s="4">
        <f t="shared" ref="X12:X15" si="2">+P12-T12</f>
        <v>-1298877.9000000001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5" si="4">0</f>
        <v>0</v>
      </c>
      <c r="E13" s="2"/>
      <c r="F13" s="19"/>
      <c r="G13" s="2"/>
      <c r="H13" s="2">
        <f>-3.42</f>
        <v>-3.42</v>
      </c>
      <c r="I13" s="2"/>
      <c r="J13" s="19"/>
      <c r="K13" s="2"/>
      <c r="L13" s="2">
        <f t="shared" si="0"/>
        <v>3.42</v>
      </c>
      <c r="M13" s="2"/>
      <c r="N13" s="19">
        <f t="shared" si="1"/>
        <v>-1</v>
      </c>
      <c r="O13" s="11"/>
      <c r="P13" s="2">
        <f t="shared" ref="P13:P15" si="5">0</f>
        <v>0</v>
      </c>
      <c r="Q13" s="2"/>
      <c r="R13" s="19"/>
      <c r="S13" s="2"/>
      <c r="T13" s="2">
        <f>--135.72</f>
        <v>135.72</v>
      </c>
      <c r="U13" s="2"/>
      <c r="V13" s="19"/>
      <c r="W13" s="2"/>
      <c r="X13" s="2">
        <f t="shared" si="2"/>
        <v>-135.72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--188547.92</f>
        <v>188547.92</v>
      </c>
      <c r="I14" s="2"/>
      <c r="J14" s="19"/>
      <c r="K14" s="2"/>
      <c r="L14" s="2">
        <f t="shared" si="0"/>
        <v>-188547.92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--1292449.62</f>
        <v>1292449.6200000001</v>
      </c>
      <c r="U14" s="2"/>
      <c r="V14" s="19"/>
      <c r="W14" s="2"/>
      <c r="X14" s="2">
        <f t="shared" si="2"/>
        <v>-1292449.6200000001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>
        <f>--1357.22</f>
        <v>1357.22</v>
      </c>
      <c r="I15" s="2"/>
      <c r="J15" s="19"/>
      <c r="K15" s="2"/>
      <c r="L15" s="2">
        <f t="shared" si="0"/>
        <v>-1357.22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--6292.56</f>
        <v>6292.56</v>
      </c>
      <c r="U15" s="2"/>
      <c r="V15" s="19"/>
      <c r="W15" s="2"/>
      <c r="X15" s="2">
        <f t="shared" si="2"/>
        <v>-6292.56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19" si="6">IF(D$12=0,0,D17/D$12)</f>
        <v>0</v>
      </c>
      <c r="G17" s="4"/>
      <c r="H17" s="4">
        <f>SUM(OSRRefH16x_0)</f>
        <v>49979.53</v>
      </c>
      <c r="I17" s="4"/>
      <c r="J17" s="12">
        <f t="shared" ref="J17:J19" si="7">IF(H$12=0,0,H17/H$12)</f>
        <v>0.26318629446852826</v>
      </c>
      <c r="K17" s="4"/>
      <c r="L17" s="4">
        <f t="shared" ref="L17:L19" si="8">+D17-H17</f>
        <v>-49979.53</v>
      </c>
      <c r="M17" s="4"/>
      <c r="N17" s="12">
        <f t="shared" ref="N17:N19" si="9">IF(H17=0,0,L17/H17)</f>
        <v>-1</v>
      </c>
      <c r="O17" s="10"/>
      <c r="P17" s="4">
        <f>SUM(OSRRefP16x_0)</f>
        <v>0</v>
      </c>
      <c r="Q17" s="4"/>
      <c r="R17" s="12">
        <f t="shared" ref="R17:R19" si="10">IF(P$12=0,0,P17/P$12)</f>
        <v>0</v>
      </c>
      <c r="S17" s="4"/>
      <c r="T17" s="4">
        <f>SUM(OSRRefT16x_0)</f>
        <v>297669.88</v>
      </c>
      <c r="U17" s="4"/>
      <c r="V17" s="12">
        <f t="shared" ref="V17:V19" si="11">IF(T$12=0,0,T17/T$12)</f>
        <v>0.22917464374441968</v>
      </c>
      <c r="W17" s="4"/>
      <c r="X17" s="4">
        <f t="shared" ref="X17:X19" si="12">+P17-T17</f>
        <v>-297669.88</v>
      </c>
      <c r="Y17" s="4"/>
      <c r="Z17" s="12">
        <f t="shared" ref="Z17:Z19" si="13">IF(T17=0,0,X17/T17)</f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>
        <v>48021.53</v>
      </c>
      <c r="I18" s="2"/>
      <c r="J18" s="19">
        <f t="shared" si="7"/>
        <v>0.25287569801895421</v>
      </c>
      <c r="K18" s="2"/>
      <c r="L18" s="2">
        <f t="shared" si="8"/>
        <v>-48021.53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298551.88</v>
      </c>
      <c r="U18" s="2"/>
      <c r="V18" s="19">
        <f t="shared" si="11"/>
        <v>0.22985369140548159</v>
      </c>
      <c r="W18" s="2"/>
      <c r="X18" s="2">
        <f t="shared" si="12"/>
        <v>-298551.88</v>
      </c>
      <c r="Y18" s="2"/>
      <c r="Z18" s="19">
        <f t="shared" si="13"/>
        <v>-1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6"/>
        <v>0</v>
      </c>
      <c r="G19" s="2"/>
      <c r="H19" s="2">
        <v>1958</v>
      </c>
      <c r="I19" s="2"/>
      <c r="J19" s="19">
        <f t="shared" si="7"/>
        <v>1.0310596449574022E-2</v>
      </c>
      <c r="K19" s="2"/>
      <c r="L19" s="2">
        <f t="shared" si="8"/>
        <v>-1958</v>
      </c>
      <c r="M19" s="2"/>
      <c r="N19" s="19">
        <f t="shared" si="9"/>
        <v>-1</v>
      </c>
      <c r="O19" s="11"/>
      <c r="P19" s="2"/>
      <c r="Q19" s="2"/>
      <c r="R19" s="19">
        <f t="shared" si="10"/>
        <v>0</v>
      </c>
      <c r="S19" s="2"/>
      <c r="T19" s="2">
        <v>-882</v>
      </c>
      <c r="U19" s="2"/>
      <c r="V19" s="19">
        <f t="shared" si="11"/>
        <v>-6.7904766106190574E-4</v>
      </c>
      <c r="W19" s="2"/>
      <c r="X19" s="2">
        <f t="shared" si="12"/>
        <v>882</v>
      </c>
      <c r="Y19" s="2"/>
      <c r="Z19" s="19">
        <f t="shared" si="13"/>
        <v>-1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8" t="s">
        <v>6</v>
      </c>
      <c r="C21" s="28"/>
      <c r="D21" s="20">
        <f>D12-D17</f>
        <v>0</v>
      </c>
      <c r="E21" s="14"/>
      <c r="F21" s="21">
        <f>IF(D$12=0,0,D21/D$12)</f>
        <v>0</v>
      </c>
      <c r="G21" s="14"/>
      <c r="H21" s="20">
        <f>H12-H17</f>
        <v>139922.19</v>
      </c>
      <c r="I21" s="14"/>
      <c r="J21" s="21">
        <f>IF(H$12=0,0,H21/H$12)</f>
        <v>0.73681370553147174</v>
      </c>
      <c r="K21" s="15"/>
      <c r="L21" s="20">
        <f>+D21-H21</f>
        <v>-139922.19</v>
      </c>
      <c r="M21" s="15"/>
      <c r="N21" s="21">
        <f>IF(H21=0,0,L21/H21)</f>
        <v>-1</v>
      </c>
      <c r="O21" s="29"/>
      <c r="P21" s="20">
        <f>P12-P17</f>
        <v>0</v>
      </c>
      <c r="Q21" s="14"/>
      <c r="R21" s="21">
        <f>IF(P$12=0,0,P21/P$12)</f>
        <v>0</v>
      </c>
      <c r="S21" s="14"/>
      <c r="T21" s="20">
        <f>T12-T17</f>
        <v>1001208.0200000001</v>
      </c>
      <c r="U21" s="14"/>
      <c r="V21" s="21">
        <f>IF(T$12=0,0,T21/T$12)</f>
        <v>0.77082535625558035</v>
      </c>
      <c r="W21" s="15"/>
      <c r="X21" s="20">
        <f>+P21-T21</f>
        <v>-1001208.0200000001</v>
      </c>
      <c r="Y21" s="15"/>
      <c r="Z21" s="21">
        <f>IF(T21=0,0,X21/T21)</f>
        <v>-1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9" t="s">
        <v>9</v>
      </c>
      <c r="C23" s="10"/>
      <c r="D23" s="22">
        <f>SUM(OSRRefD22x_0)</f>
        <v>37830.829999999994</v>
      </c>
      <c r="E23" s="22"/>
      <c r="F23" s="36">
        <f t="shared" ref="F23:F33" si="14">IF(D$12=0,0,D23/D$12)</f>
        <v>0</v>
      </c>
      <c r="G23" s="22"/>
      <c r="H23" s="22">
        <f>SUM(OSRRefH22x_0)</f>
        <v>110386.48</v>
      </c>
      <c r="I23" s="22"/>
      <c r="J23" s="36">
        <f t="shared" ref="J23:J33" si="15">IF(H$12=0,0,H23/H$12)</f>
        <v>0.58128214952450141</v>
      </c>
      <c r="K23" s="4"/>
      <c r="L23" s="22">
        <f t="shared" ref="L23:L33" si="16">+D23-H23</f>
        <v>-72555.649999999994</v>
      </c>
      <c r="M23" s="4"/>
      <c r="N23" s="36">
        <f t="shared" ref="N23:N33" si="17">IF(H23=0,0,L23/H23)</f>
        <v>-0.65728746853781361</v>
      </c>
      <c r="O23" s="10"/>
      <c r="P23" s="22">
        <f>SUM(OSRRefP22x_0)</f>
        <v>248870.62999999998</v>
      </c>
      <c r="Q23" s="22"/>
      <c r="R23" s="36">
        <f t="shared" ref="R23:R33" si="18">IF(P$12=0,0,P23/P$12)</f>
        <v>0</v>
      </c>
      <c r="S23" s="22"/>
      <c r="T23" s="22">
        <f>SUM(OSRRefT22x_0)</f>
        <v>746495.72</v>
      </c>
      <c r="U23" s="22"/>
      <c r="V23" s="36">
        <f t="shared" ref="V23:V33" si="19">IF(T$12=0,0,T23/T$12)</f>
        <v>0.57472355176725998</v>
      </c>
      <c r="W23" s="4"/>
      <c r="X23" s="22">
        <f t="shared" ref="X23:X33" si="20">+P23-T23</f>
        <v>-497625.08999999997</v>
      </c>
      <c r="Y23" s="4"/>
      <c r="Z23" s="36">
        <f t="shared" ref="Z23:Z33" si="21">IF(T23=0,0,X23/T23)</f>
        <v>-0.66661479318327499</v>
      </c>
    </row>
    <row r="24" spans="1:26" s="25" customFormat="1" outlineLevel="1" collapsed="1" x14ac:dyDescent="0.25">
      <c r="A24" s="26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19389.310000000001</v>
      </c>
      <c r="E24" s="1"/>
      <c r="F24" s="5">
        <f t="shared" si="14"/>
        <v>0</v>
      </c>
      <c r="G24" s="1"/>
      <c r="H24" s="1">
        <f>SUM(OSRRefH22_0x_0)</f>
        <v>28392.95</v>
      </c>
      <c r="I24" s="1"/>
      <c r="J24" s="5">
        <f t="shared" si="15"/>
        <v>0.14951391698821895</v>
      </c>
      <c r="K24" s="1"/>
      <c r="L24" s="1">
        <f t="shared" si="16"/>
        <v>-9003.64</v>
      </c>
      <c r="M24" s="1"/>
      <c r="N24" s="5">
        <f t="shared" si="17"/>
        <v>-0.31710829624959713</v>
      </c>
      <c r="O24" s="13"/>
      <c r="P24" s="1">
        <f>SUM(OSRRefP22_0x_0)</f>
        <v>118396.57</v>
      </c>
      <c r="Q24" s="1"/>
      <c r="R24" s="5">
        <f t="shared" si="18"/>
        <v>0</v>
      </c>
      <c r="S24" s="1"/>
      <c r="T24" s="1">
        <f>SUM(OSRRefT22_0x_0)</f>
        <v>160620.49000000002</v>
      </c>
      <c r="U24" s="1"/>
      <c r="V24" s="5">
        <f t="shared" si="19"/>
        <v>0.12366096151147078</v>
      </c>
      <c r="W24" s="1"/>
      <c r="X24" s="1">
        <f t="shared" si="20"/>
        <v>-42223.920000000013</v>
      </c>
      <c r="Y24" s="1"/>
      <c r="Z24" s="5">
        <f t="shared" si="21"/>
        <v>-0.26288003479506261</v>
      </c>
    </row>
    <row r="25" spans="1:26" s="24" customFormat="1" hidden="1" outlineLevel="2" x14ac:dyDescent="0.25">
      <c r="A25" s="27"/>
      <c r="B25" s="11" t="str">
        <f>CONCATENATE("          ", "6111", " - ", "F.I.C.A.")</f>
        <v xml:space="preserve">          6111 - F.I.C.A.</v>
      </c>
      <c r="C25" s="11"/>
      <c r="D25" s="7">
        <v>1490.37</v>
      </c>
      <c r="E25" s="2"/>
      <c r="F25" s="6">
        <f t="shared" si="14"/>
        <v>0</v>
      </c>
      <c r="G25" s="2"/>
      <c r="H25" s="7">
        <v>3381.32</v>
      </c>
      <c r="I25" s="2"/>
      <c r="J25" s="6">
        <f t="shared" si="15"/>
        <v>1.7805631249680098E-2</v>
      </c>
      <c r="K25" s="2"/>
      <c r="L25" s="7">
        <f t="shared" si="16"/>
        <v>-1890.9500000000003</v>
      </c>
      <c r="M25" s="2"/>
      <c r="N25" s="6">
        <f t="shared" si="17"/>
        <v>-0.55923426354204875</v>
      </c>
      <c r="O25" s="11"/>
      <c r="P25" s="7">
        <v>10254.629999999999</v>
      </c>
      <c r="Q25" s="2"/>
      <c r="R25" s="6">
        <f t="shared" si="18"/>
        <v>0</v>
      </c>
      <c r="S25" s="2"/>
      <c r="T25" s="7">
        <v>23019.99</v>
      </c>
      <c r="U25" s="2"/>
      <c r="V25" s="6">
        <f t="shared" si="19"/>
        <v>1.7722982275701203E-2</v>
      </c>
      <c r="W25" s="2"/>
      <c r="X25" s="7">
        <f t="shared" si="20"/>
        <v>-12765.360000000002</v>
      </c>
      <c r="Y25" s="2"/>
      <c r="Z25" s="6">
        <f t="shared" si="21"/>
        <v>-0.55453369006676378</v>
      </c>
    </row>
    <row r="26" spans="1:26" s="24" customFormat="1" hidden="1" outlineLevel="2" x14ac:dyDescent="0.25">
      <c r="A26" s="27"/>
      <c r="B26" s="11" t="str">
        <f>CONCATENATE("          ", "6112", " - ", "COMPENSATION INSURANCE")</f>
        <v xml:space="preserve">          6112 - COMPENSATION INSURANCE</v>
      </c>
      <c r="C26" s="11"/>
      <c r="D26" s="7">
        <v>1428.3</v>
      </c>
      <c r="E26" s="2"/>
      <c r="F26" s="6">
        <f t="shared" si="14"/>
        <v>0</v>
      </c>
      <c r="G26" s="2"/>
      <c r="H26" s="7">
        <v>3596.13</v>
      </c>
      <c r="I26" s="2"/>
      <c r="J26" s="6">
        <f t="shared" si="15"/>
        <v>1.8936795306540667E-2</v>
      </c>
      <c r="K26" s="2"/>
      <c r="L26" s="7">
        <f t="shared" si="16"/>
        <v>-2167.83</v>
      </c>
      <c r="M26" s="2"/>
      <c r="N26" s="6">
        <f t="shared" si="17"/>
        <v>-0.60282303476236954</v>
      </c>
      <c r="O26" s="11"/>
      <c r="P26" s="7">
        <v>6192.09</v>
      </c>
      <c r="Q26" s="2"/>
      <c r="R26" s="6">
        <f t="shared" si="18"/>
        <v>0</v>
      </c>
      <c r="S26" s="2"/>
      <c r="T26" s="7">
        <v>12791.97</v>
      </c>
      <c r="U26" s="2"/>
      <c r="V26" s="6">
        <f t="shared" si="19"/>
        <v>9.8484776744603916E-3</v>
      </c>
      <c r="W26" s="2"/>
      <c r="X26" s="7">
        <f t="shared" si="20"/>
        <v>-6599.8799999999992</v>
      </c>
      <c r="Y26" s="2"/>
      <c r="Z26" s="6">
        <f t="shared" si="21"/>
        <v>-0.51593929629290869</v>
      </c>
    </row>
    <row r="27" spans="1:26" s="24" customFormat="1" hidden="1" outlineLevel="2" x14ac:dyDescent="0.25">
      <c r="A27" s="27"/>
      <c r="B27" s="11" t="str">
        <f>CONCATENATE("          ", "6113", " - ", "GROUP INSURANCE")</f>
        <v xml:space="preserve">          6113 - GROUP INSURANCE</v>
      </c>
      <c r="C27" s="11"/>
      <c r="D27" s="7">
        <v>12616.94</v>
      </c>
      <c r="E27" s="2"/>
      <c r="F27" s="6">
        <f t="shared" si="14"/>
        <v>0</v>
      </c>
      <c r="G27" s="2"/>
      <c r="H27" s="7">
        <v>14845.84</v>
      </c>
      <c r="I27" s="2"/>
      <c r="J27" s="6">
        <f t="shared" si="15"/>
        <v>7.8176437791084782E-2</v>
      </c>
      <c r="K27" s="2"/>
      <c r="L27" s="7">
        <f t="shared" si="16"/>
        <v>-2228.8999999999996</v>
      </c>
      <c r="M27" s="2"/>
      <c r="N27" s="6">
        <f t="shared" si="17"/>
        <v>-0.15013633448831454</v>
      </c>
      <c r="O27" s="11"/>
      <c r="P27" s="7">
        <v>75701.600000000006</v>
      </c>
      <c r="Q27" s="2"/>
      <c r="R27" s="6">
        <f t="shared" si="18"/>
        <v>0</v>
      </c>
      <c r="S27" s="2"/>
      <c r="T27" s="7">
        <v>81979.090000000011</v>
      </c>
      <c r="U27" s="2"/>
      <c r="V27" s="6">
        <f t="shared" si="19"/>
        <v>6.3115316689890566E-2</v>
      </c>
      <c r="W27" s="2"/>
      <c r="X27" s="7">
        <f t="shared" si="20"/>
        <v>-6277.4900000000052</v>
      </c>
      <c r="Y27" s="2"/>
      <c r="Z27" s="6">
        <f t="shared" si="21"/>
        <v>-7.6574282539608629E-2</v>
      </c>
    </row>
    <row r="28" spans="1:26" s="24" customFormat="1" hidden="1" outlineLevel="2" x14ac:dyDescent="0.25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4"/>
        <v>0</v>
      </c>
      <c r="G28" s="2"/>
      <c r="H28" s="7">
        <v>240.99</v>
      </c>
      <c r="I28" s="2"/>
      <c r="J28" s="6">
        <f t="shared" si="15"/>
        <v>1.2690248408492562E-3</v>
      </c>
      <c r="K28" s="2"/>
      <c r="L28" s="7">
        <f t="shared" si="16"/>
        <v>-240.99</v>
      </c>
      <c r="M28" s="2"/>
      <c r="N28" s="6">
        <f t="shared" si="17"/>
        <v>-1</v>
      </c>
      <c r="O28" s="11"/>
      <c r="P28" s="7">
        <v>297.38</v>
      </c>
      <c r="Q28" s="2"/>
      <c r="R28" s="6">
        <f t="shared" si="18"/>
        <v>0</v>
      </c>
      <c r="S28" s="2"/>
      <c r="T28" s="7">
        <v>1100.3800000000001</v>
      </c>
      <c r="U28" s="2"/>
      <c r="V28" s="6">
        <f t="shared" si="19"/>
        <v>8.471773982758503E-4</v>
      </c>
      <c r="W28" s="2"/>
      <c r="X28" s="7">
        <f t="shared" si="20"/>
        <v>-803.00000000000011</v>
      </c>
      <c r="Y28" s="2"/>
      <c r="Z28" s="6">
        <f t="shared" si="21"/>
        <v>-0.72974790526908884</v>
      </c>
    </row>
    <row r="29" spans="1:26" s="24" customFormat="1" hidden="1" outlineLevel="2" x14ac:dyDescent="0.25">
      <c r="A29" s="27"/>
      <c r="B29" s="11" t="str">
        <f>CONCATENATE("          ", "6115", " - ", "P.E.R.S.")</f>
        <v xml:space="preserve">          6115 - P.E.R.S.</v>
      </c>
      <c r="C29" s="11"/>
      <c r="D29" s="7">
        <v>485.07</v>
      </c>
      <c r="E29" s="2"/>
      <c r="F29" s="6">
        <f t="shared" si="14"/>
        <v>0</v>
      </c>
      <c r="G29" s="2"/>
      <c r="H29" s="7">
        <v>959.64</v>
      </c>
      <c r="I29" s="2"/>
      <c r="J29" s="6">
        <f t="shared" si="15"/>
        <v>5.0533507542743685E-3</v>
      </c>
      <c r="K29" s="2"/>
      <c r="L29" s="7">
        <f t="shared" si="16"/>
        <v>-474.57</v>
      </c>
      <c r="M29" s="2"/>
      <c r="N29" s="6">
        <f t="shared" si="17"/>
        <v>-0.49452919844941851</v>
      </c>
      <c r="O29" s="11"/>
      <c r="P29" s="7">
        <v>3271.18</v>
      </c>
      <c r="Q29" s="2"/>
      <c r="R29" s="6">
        <f t="shared" si="18"/>
        <v>0</v>
      </c>
      <c r="S29" s="2"/>
      <c r="T29" s="7">
        <v>6883.88</v>
      </c>
      <c r="U29" s="2"/>
      <c r="V29" s="6">
        <f t="shared" si="19"/>
        <v>5.2998669081982218E-3</v>
      </c>
      <c r="W29" s="2"/>
      <c r="X29" s="7">
        <f t="shared" si="20"/>
        <v>-3612.7000000000003</v>
      </c>
      <c r="Y29" s="2"/>
      <c r="Z29" s="6">
        <f t="shared" si="21"/>
        <v>-0.52480577813674845</v>
      </c>
    </row>
    <row r="30" spans="1:26" s="24" customFormat="1" hidden="1" outlineLevel="2" x14ac:dyDescent="0.25">
      <c r="A30" s="27"/>
      <c r="B30" s="11" t="str">
        <f>CONCATENATE("          ", "6117", " - ", "RETIREMENT STAFF HOURLY")</f>
        <v xml:space="preserve">          6117 - RETIREMENT STAFF HOURLY</v>
      </c>
      <c r="C30" s="11"/>
      <c r="D30" s="7">
        <v>543.59</v>
      </c>
      <c r="E30" s="2"/>
      <c r="F30" s="6">
        <f t="shared" si="14"/>
        <v>0</v>
      </c>
      <c r="G30" s="2"/>
      <c r="H30" s="7">
        <v>535.86</v>
      </c>
      <c r="I30" s="2"/>
      <c r="J30" s="6">
        <f t="shared" si="15"/>
        <v>2.8217753899227455E-3</v>
      </c>
      <c r="K30" s="2"/>
      <c r="L30" s="7">
        <f t="shared" si="16"/>
        <v>7.7300000000000182</v>
      </c>
      <c r="M30" s="2"/>
      <c r="N30" s="6">
        <f t="shared" si="17"/>
        <v>1.4425409621916206E-2</v>
      </c>
      <c r="O30" s="11"/>
      <c r="P30" s="7">
        <v>3448.49</v>
      </c>
      <c r="Q30" s="2"/>
      <c r="R30" s="6">
        <f t="shared" si="18"/>
        <v>0</v>
      </c>
      <c r="S30" s="2"/>
      <c r="T30" s="7">
        <v>2907.37</v>
      </c>
      <c r="U30" s="2"/>
      <c r="V30" s="6">
        <f t="shared" si="19"/>
        <v>2.2383705196616244E-3</v>
      </c>
      <c r="W30" s="2"/>
      <c r="X30" s="7">
        <f t="shared" si="20"/>
        <v>541.11999999999989</v>
      </c>
      <c r="Y30" s="2"/>
      <c r="Z30" s="6">
        <f t="shared" si="21"/>
        <v>0.1861201016726457</v>
      </c>
    </row>
    <row r="31" spans="1:26" s="24" customFormat="1" hidden="1" outlineLevel="2" x14ac:dyDescent="0.25">
      <c r="A31" s="27"/>
      <c r="B31" s="11" t="str">
        <f>CONCATENATE("          ", "6118", " - ", "VACATION")</f>
        <v xml:space="preserve">          6118 - VACATION</v>
      </c>
      <c r="C31" s="11"/>
      <c r="D31" s="7">
        <v>1242.1199999999999</v>
      </c>
      <c r="E31" s="2"/>
      <c r="F31" s="6">
        <f t="shared" si="14"/>
        <v>0</v>
      </c>
      <c r="G31" s="2"/>
      <c r="H31" s="7">
        <v>2150.6</v>
      </c>
      <c r="I31" s="2"/>
      <c r="J31" s="6">
        <f t="shared" si="15"/>
        <v>1.1324805272959086E-2</v>
      </c>
      <c r="K31" s="2"/>
      <c r="L31" s="7">
        <f t="shared" si="16"/>
        <v>-908.48</v>
      </c>
      <c r="M31" s="2"/>
      <c r="N31" s="6">
        <f t="shared" si="17"/>
        <v>-0.42243094950246446</v>
      </c>
      <c r="O31" s="11"/>
      <c r="P31" s="7">
        <v>8010.05</v>
      </c>
      <c r="Q31" s="2"/>
      <c r="R31" s="6">
        <f t="shared" si="18"/>
        <v>0</v>
      </c>
      <c r="S31" s="2"/>
      <c r="T31" s="7">
        <v>14204.39</v>
      </c>
      <c r="U31" s="2"/>
      <c r="V31" s="6">
        <f t="shared" si="19"/>
        <v>1.0935893204434379E-2</v>
      </c>
      <c r="W31" s="2"/>
      <c r="X31" s="7">
        <f t="shared" si="20"/>
        <v>-6194.3399999999992</v>
      </c>
      <c r="Y31" s="2"/>
      <c r="Z31" s="6">
        <f t="shared" si="21"/>
        <v>-0.43608630852856051</v>
      </c>
    </row>
    <row r="32" spans="1:26" s="24" customFormat="1" hidden="1" outlineLevel="2" x14ac:dyDescent="0.25">
      <c r="A32" s="27"/>
      <c r="B32" s="11" t="str">
        <f>CONCATENATE("          ", "6119", " - ", "SICK LEAVE")</f>
        <v xml:space="preserve">          6119 - SICK LEAVE</v>
      </c>
      <c r="C32" s="11"/>
      <c r="D32" s="7">
        <v>946.52</v>
      </c>
      <c r="E32" s="2"/>
      <c r="F32" s="6">
        <f t="shared" si="14"/>
        <v>0</v>
      </c>
      <c r="G32" s="2"/>
      <c r="H32" s="7">
        <v>1637.12</v>
      </c>
      <c r="I32" s="2"/>
      <c r="J32" s="6">
        <f t="shared" si="15"/>
        <v>8.6208803164078765E-3</v>
      </c>
      <c r="K32" s="2"/>
      <c r="L32" s="7">
        <f t="shared" si="16"/>
        <v>-690.59999999999991</v>
      </c>
      <c r="M32" s="2"/>
      <c r="N32" s="6">
        <f t="shared" si="17"/>
        <v>-0.42183835027365124</v>
      </c>
      <c r="O32" s="11"/>
      <c r="P32" s="7">
        <v>6152.37</v>
      </c>
      <c r="Q32" s="2"/>
      <c r="R32" s="6">
        <f t="shared" si="18"/>
        <v>0</v>
      </c>
      <c r="S32" s="2"/>
      <c r="T32" s="7">
        <v>11138.38</v>
      </c>
      <c r="U32" s="2"/>
      <c r="V32" s="6">
        <f t="shared" si="19"/>
        <v>8.5753864932184912E-3</v>
      </c>
      <c r="W32" s="2"/>
      <c r="X32" s="7">
        <f t="shared" si="20"/>
        <v>-4986.0099999999993</v>
      </c>
      <c r="Y32" s="2"/>
      <c r="Z32" s="6">
        <f t="shared" si="21"/>
        <v>-0.44764229627647822</v>
      </c>
    </row>
    <row r="33" spans="1:26" s="24" customFormat="1" hidden="1" outlineLevel="2" x14ac:dyDescent="0.25">
      <c r="A33" s="27"/>
      <c r="B33" s="11" t="str">
        <f>CONCATENATE("          ", "6156", " - ", "EMPLOYEE MEALS")</f>
        <v xml:space="preserve">          6156 - EMPLOYEE MEALS</v>
      </c>
      <c r="C33" s="11"/>
      <c r="D33" s="7">
        <v>636.4</v>
      </c>
      <c r="E33" s="2"/>
      <c r="F33" s="6">
        <f t="shared" si="14"/>
        <v>0</v>
      </c>
      <c r="G33" s="2"/>
      <c r="H33" s="7">
        <v>1045.45</v>
      </c>
      <c r="I33" s="2"/>
      <c r="J33" s="6">
        <f t="shared" si="15"/>
        <v>5.5052160665000826E-3</v>
      </c>
      <c r="K33" s="2"/>
      <c r="L33" s="7">
        <f t="shared" si="16"/>
        <v>-409.05000000000007</v>
      </c>
      <c r="M33" s="2"/>
      <c r="N33" s="6">
        <f t="shared" si="17"/>
        <v>-0.39126691855181983</v>
      </c>
      <c r="O33" s="11"/>
      <c r="P33" s="7">
        <v>5068.78</v>
      </c>
      <c r="Q33" s="2"/>
      <c r="R33" s="6">
        <f t="shared" si="18"/>
        <v>0</v>
      </c>
      <c r="S33" s="2"/>
      <c r="T33" s="7">
        <v>6595.04</v>
      </c>
      <c r="U33" s="2"/>
      <c r="V33" s="6">
        <f t="shared" si="19"/>
        <v>5.077490347630058E-3</v>
      </c>
      <c r="W33" s="2"/>
      <c r="X33" s="7">
        <f t="shared" si="20"/>
        <v>-1526.2600000000002</v>
      </c>
      <c r="Y33" s="2"/>
      <c r="Z33" s="6">
        <f t="shared" si="21"/>
        <v>-0.23142543487226769</v>
      </c>
    </row>
    <row r="34" spans="1:26" s="25" customFormat="1" outlineLevel="1" collapsed="1" x14ac:dyDescent="0.25">
      <c r="A34" s="26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17430.64</v>
      </c>
      <c r="E34" s="1"/>
      <c r="F34" s="5">
        <f t="shared" ref="F34:F40" si="22">IF(D$12=0,0,D34/D$12)</f>
        <v>0</v>
      </c>
      <c r="G34" s="1"/>
      <c r="H34" s="1">
        <f>SUM(OSRRefH22_1x_0)</f>
        <v>56581.26</v>
      </c>
      <c r="I34" s="1"/>
      <c r="J34" s="5">
        <f t="shared" ref="J34:J40" si="23">IF(H$12=0,0,H34/H$12)</f>
        <v>0.29795022393688692</v>
      </c>
      <c r="K34" s="1"/>
      <c r="L34" s="1">
        <f t="shared" ref="L34:L40" si="24">+D34-H34</f>
        <v>-39150.620000000003</v>
      </c>
      <c r="M34" s="1"/>
      <c r="N34" s="5">
        <f t="shared" ref="N34:N40" si="25">IF(H34=0,0,L34/H34)</f>
        <v>-0.6919361640232119</v>
      </c>
      <c r="O34" s="13"/>
      <c r="P34" s="1">
        <f>SUM(OSRRefP22_1x_0)</f>
        <v>124139.46</v>
      </c>
      <c r="Q34" s="1"/>
      <c r="R34" s="5">
        <f t="shared" ref="R34:R40" si="26">IF(P$12=0,0,P34/P$12)</f>
        <v>0</v>
      </c>
      <c r="S34" s="1"/>
      <c r="T34" s="1">
        <f>SUM(OSRRefT22_1x_0)</f>
        <v>393344.73</v>
      </c>
      <c r="U34" s="1"/>
      <c r="V34" s="5">
        <f t="shared" ref="V34:V40" si="27">IF(T$12=0,0,T34/T$12)</f>
        <v>0.30283426178857914</v>
      </c>
      <c r="W34" s="1"/>
      <c r="X34" s="1">
        <f t="shared" ref="X34:X40" si="28">+P34-T34</f>
        <v>-269205.26999999996</v>
      </c>
      <c r="Y34" s="1"/>
      <c r="Z34" s="5">
        <f t="shared" ref="Z34:Z40" si="29">IF(T34=0,0,X34/T34)</f>
        <v>-0.68440034775602554</v>
      </c>
    </row>
    <row r="35" spans="1:26" s="24" customFormat="1" hidden="1" outlineLevel="2" x14ac:dyDescent="0.25">
      <c r="A35" s="27"/>
      <c r="B35" s="11" t="str">
        <f>CONCATENATE("          ", "6002", " - ", "STAFF SALARIES")</f>
        <v xml:space="preserve">          6002 - STAFF SALARIES</v>
      </c>
      <c r="C35" s="11"/>
      <c r="D35" s="7">
        <v>3626.07</v>
      </c>
      <c r="E35" s="2"/>
      <c r="F35" s="6">
        <f t="shared" si="22"/>
        <v>0</v>
      </c>
      <c r="G35" s="2"/>
      <c r="H35" s="7">
        <v>8919.41</v>
      </c>
      <c r="I35" s="2"/>
      <c r="J35" s="6">
        <f t="shared" si="23"/>
        <v>4.6968558262663447E-2</v>
      </c>
      <c r="K35" s="2"/>
      <c r="L35" s="7">
        <f t="shared" si="24"/>
        <v>-5293.34</v>
      </c>
      <c r="M35" s="2"/>
      <c r="N35" s="6">
        <f t="shared" si="25"/>
        <v>-0.59346302053611177</v>
      </c>
      <c r="O35" s="11"/>
      <c r="P35" s="7">
        <v>26711.99</v>
      </c>
      <c r="Q35" s="2"/>
      <c r="R35" s="6">
        <f t="shared" si="26"/>
        <v>0</v>
      </c>
      <c r="S35" s="2"/>
      <c r="T35" s="7">
        <v>58400.780000000006</v>
      </c>
      <c r="U35" s="2"/>
      <c r="V35" s="6">
        <f t="shared" si="27"/>
        <v>4.4962486466202864E-2</v>
      </c>
      <c r="W35" s="2"/>
      <c r="X35" s="7">
        <f t="shared" si="28"/>
        <v>-31688.790000000005</v>
      </c>
      <c r="Y35" s="2"/>
      <c r="Z35" s="6">
        <f t="shared" si="29"/>
        <v>-0.54260901994802124</v>
      </c>
    </row>
    <row r="36" spans="1:26" s="24" customFormat="1" hidden="1" outlineLevel="2" x14ac:dyDescent="0.25">
      <c r="A36" s="27"/>
      <c r="B36" s="11" t="str">
        <f>CONCATENATE("          ", "6004", " - ", "STAFF HOURLY")</f>
        <v xml:space="preserve">          6004 - STAFF HOURLY</v>
      </c>
      <c r="C36" s="11"/>
      <c r="D36" s="7">
        <v>13804.57</v>
      </c>
      <c r="E36" s="2"/>
      <c r="F36" s="6">
        <f t="shared" si="22"/>
        <v>0</v>
      </c>
      <c r="G36" s="2"/>
      <c r="H36" s="7">
        <v>20428.36</v>
      </c>
      <c r="I36" s="2"/>
      <c r="J36" s="6">
        <f t="shared" si="23"/>
        <v>0.10757332792983655</v>
      </c>
      <c r="K36" s="2"/>
      <c r="L36" s="7">
        <f t="shared" si="24"/>
        <v>-6623.7900000000009</v>
      </c>
      <c r="M36" s="2"/>
      <c r="N36" s="6">
        <f t="shared" si="25"/>
        <v>-0.32424482435202828</v>
      </c>
      <c r="O36" s="11"/>
      <c r="P36" s="7">
        <v>97427.47</v>
      </c>
      <c r="Q36" s="2"/>
      <c r="R36" s="6">
        <f t="shared" si="26"/>
        <v>0</v>
      </c>
      <c r="S36" s="2"/>
      <c r="T36" s="7">
        <v>128684.32</v>
      </c>
      <c r="U36" s="2"/>
      <c r="V36" s="6">
        <f t="shared" si="27"/>
        <v>9.9073454094491864E-2</v>
      </c>
      <c r="W36" s="2"/>
      <c r="X36" s="7">
        <f t="shared" si="28"/>
        <v>-31256.850000000006</v>
      </c>
      <c r="Y36" s="2"/>
      <c r="Z36" s="6">
        <f t="shared" si="29"/>
        <v>-0.24289556023608785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10609.24</v>
      </c>
      <c r="I37" s="2"/>
      <c r="J37" s="6">
        <f t="shared" si="23"/>
        <v>5.5867003205658169E-2</v>
      </c>
      <c r="K37" s="2"/>
      <c r="L37" s="7">
        <f t="shared" si="24"/>
        <v>-10609.24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71130.720000000001</v>
      </c>
      <c r="U37" s="2"/>
      <c r="V37" s="6">
        <f t="shared" si="27"/>
        <v>5.4763207534749794E-2</v>
      </c>
      <c r="W37" s="2"/>
      <c r="X37" s="7">
        <f t="shared" si="28"/>
        <v>-71130.720000000001</v>
      </c>
      <c r="Y37" s="2"/>
      <c r="Z37" s="6">
        <f t="shared" si="29"/>
        <v>-1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580</v>
      </c>
      <c r="I38" s="2"/>
      <c r="J38" s="6">
        <f t="shared" si="23"/>
        <v>3.0542114099861759E-3</v>
      </c>
      <c r="K38" s="2"/>
      <c r="L38" s="7">
        <f t="shared" si="24"/>
        <v>-580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10378.219999999999</v>
      </c>
      <c r="U38" s="2"/>
      <c r="V38" s="6">
        <f t="shared" si="27"/>
        <v>7.9901428764012367E-3</v>
      </c>
      <c r="W38" s="2"/>
      <c r="X38" s="7">
        <f t="shared" si="28"/>
        <v>-10378.219999999999</v>
      </c>
      <c r="Y38" s="2"/>
      <c r="Z38" s="6">
        <f t="shared" si="29"/>
        <v>-1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10780.75</v>
      </c>
      <c r="I39" s="2"/>
      <c r="J39" s="6">
        <f t="shared" si="23"/>
        <v>5.6770154583118043E-2</v>
      </c>
      <c r="K39" s="2"/>
      <c r="L39" s="7">
        <f t="shared" si="24"/>
        <v>-10780.75</v>
      </c>
      <c r="M39" s="2"/>
      <c r="N39" s="6">
        <f t="shared" si="25"/>
        <v>-1</v>
      </c>
      <c r="O39" s="11"/>
      <c r="P39" s="7">
        <v>0</v>
      </c>
      <c r="Q39" s="2"/>
      <c r="R39" s="6">
        <f t="shared" si="26"/>
        <v>0</v>
      </c>
      <c r="S39" s="2"/>
      <c r="T39" s="7">
        <v>85063.69</v>
      </c>
      <c r="U39" s="2"/>
      <c r="V39" s="6">
        <f t="shared" si="27"/>
        <v>6.5490135754869644E-2</v>
      </c>
      <c r="W39" s="2"/>
      <c r="X39" s="7">
        <f t="shared" si="28"/>
        <v>-85063.69</v>
      </c>
      <c r="Y39" s="2"/>
      <c r="Z39" s="6">
        <f t="shared" si="29"/>
        <v>-1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5263.5</v>
      </c>
      <c r="I40" s="2"/>
      <c r="J40" s="6">
        <f t="shared" si="23"/>
        <v>2.7716968545624547E-2</v>
      </c>
      <c r="K40" s="2"/>
      <c r="L40" s="7">
        <f t="shared" si="24"/>
        <v>-5263.5</v>
      </c>
      <c r="M40" s="2"/>
      <c r="N40" s="6">
        <f t="shared" si="25"/>
        <v>-1</v>
      </c>
      <c r="O40" s="11"/>
      <c r="P40" s="7"/>
      <c r="Q40" s="2"/>
      <c r="R40" s="6">
        <f t="shared" si="26"/>
        <v>0</v>
      </c>
      <c r="S40" s="2"/>
      <c r="T40" s="7">
        <v>39687</v>
      </c>
      <c r="U40" s="2"/>
      <c r="V40" s="6">
        <f t="shared" si="27"/>
        <v>3.055483506186378E-2</v>
      </c>
      <c r="W40" s="2"/>
      <c r="X40" s="7">
        <f t="shared" si="28"/>
        <v>-39687</v>
      </c>
      <c r="Y40" s="2"/>
      <c r="Z40" s="6">
        <f t="shared" si="29"/>
        <v>-1</v>
      </c>
    </row>
    <row r="41" spans="1:26" s="25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6" si="30">IF(D$12=0,0,D41/D$12)</f>
        <v>0</v>
      </c>
      <c r="G41" s="1"/>
      <c r="H41" s="1">
        <f>SUM(OSRRefH22_2x_0)</f>
        <v>0</v>
      </c>
      <c r="I41" s="1"/>
      <c r="J41" s="5">
        <f t="shared" ref="J41:J66" si="31">IF(H$12=0,0,H41/H$12)</f>
        <v>0</v>
      </c>
      <c r="K41" s="1"/>
      <c r="L41" s="1">
        <f t="shared" ref="L41:L66" si="32">+D41-H41</f>
        <v>0</v>
      </c>
      <c r="M41" s="1"/>
      <c r="N41" s="5">
        <f t="shared" ref="N41:N66" si="33">IF(H41=0,0,L41/H41)</f>
        <v>0</v>
      </c>
      <c r="O41" s="13"/>
      <c r="P41" s="1">
        <f>SUM(OSRRefP22_2x_0)</f>
        <v>0</v>
      </c>
      <c r="Q41" s="1"/>
      <c r="R41" s="5">
        <f t="shared" ref="R41:R66" si="34">IF(P$12=0,0,P41/P$12)</f>
        <v>0</v>
      </c>
      <c r="S41" s="1"/>
      <c r="T41" s="1">
        <f>SUM(OSRRefT22_2x_0)</f>
        <v>2809.67</v>
      </c>
      <c r="U41" s="1"/>
      <c r="V41" s="5">
        <f t="shared" ref="V41:V66" si="35">IF(T$12=0,0,T41/T$12)</f>
        <v>2.1631517481358331E-3</v>
      </c>
      <c r="W41" s="1"/>
      <c r="X41" s="1">
        <f t="shared" ref="X41:X66" si="36">+P41-T41</f>
        <v>-2809.67</v>
      </c>
      <c r="Y41" s="1"/>
      <c r="Z41" s="5">
        <f t="shared" ref="Z41:Z66" si="37">IF(T41=0,0,X41/T41)</f>
        <v>-1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30"/>
        <v>0</v>
      </c>
      <c r="G42" s="2"/>
      <c r="H42" s="7"/>
      <c r="I42" s="2"/>
      <c r="J42" s="6">
        <f t="shared" si="31"/>
        <v>0</v>
      </c>
      <c r="K42" s="2"/>
      <c r="L42" s="7">
        <f t="shared" si="32"/>
        <v>0</v>
      </c>
      <c r="M42" s="2"/>
      <c r="N42" s="6">
        <f t="shared" si="33"/>
        <v>0</v>
      </c>
      <c r="O42" s="11"/>
      <c r="P42" s="7"/>
      <c r="Q42" s="2"/>
      <c r="R42" s="6">
        <f t="shared" si="34"/>
        <v>0</v>
      </c>
      <c r="S42" s="2"/>
      <c r="T42" s="7">
        <v>2809.67</v>
      </c>
      <c r="U42" s="2"/>
      <c r="V42" s="6">
        <f t="shared" si="35"/>
        <v>2.1631517481358331E-3</v>
      </c>
      <c r="W42" s="2"/>
      <c r="X42" s="7">
        <f t="shared" si="36"/>
        <v>-2809.67</v>
      </c>
      <c r="Y42" s="2"/>
      <c r="Z42" s="6">
        <f t="shared" si="37"/>
        <v>-1</v>
      </c>
    </row>
    <row r="43" spans="1:26" s="25" customFormat="1" outlineLevel="1" collapsed="1" x14ac:dyDescent="0.25">
      <c r="A43" s="26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0</v>
      </c>
      <c r="I43" s="1"/>
      <c r="J43" s="5">
        <f t="shared" si="31"/>
        <v>0</v>
      </c>
      <c r="K43" s="1"/>
      <c r="L43" s="1">
        <f t="shared" si="32"/>
        <v>0</v>
      </c>
      <c r="M43" s="1"/>
      <c r="N43" s="5">
        <f t="shared" si="33"/>
        <v>0</v>
      </c>
      <c r="O43" s="13"/>
      <c r="P43" s="1">
        <f>SUM(OSRRefP22_3x_0)</f>
        <v>29.74</v>
      </c>
      <c r="Q43" s="1"/>
      <c r="R43" s="5">
        <f t="shared" si="34"/>
        <v>0</v>
      </c>
      <c r="S43" s="1"/>
      <c r="T43" s="1">
        <f>SUM(OSRRefT22_3x_0)</f>
        <v>13.18</v>
      </c>
      <c r="U43" s="1"/>
      <c r="V43" s="5">
        <f t="shared" si="35"/>
        <v>1.0147220150562264E-5</v>
      </c>
      <c r="W43" s="1"/>
      <c r="X43" s="1">
        <f t="shared" si="36"/>
        <v>16.559999999999999</v>
      </c>
      <c r="Y43" s="1"/>
      <c r="Z43" s="5">
        <f t="shared" si="37"/>
        <v>1.2564491654021244</v>
      </c>
    </row>
    <row r="44" spans="1:26" s="24" customFormat="1" hidden="1" outlineLevel="2" x14ac:dyDescent="0.25">
      <c r="A44" s="27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30"/>
        <v>0</v>
      </c>
      <c r="G44" s="2"/>
      <c r="H44" s="7"/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>
        <v>29.74</v>
      </c>
      <c r="Q44" s="2"/>
      <c r="R44" s="6">
        <f t="shared" si="34"/>
        <v>0</v>
      </c>
      <c r="S44" s="2"/>
      <c r="T44" s="7">
        <v>13.18</v>
      </c>
      <c r="U44" s="2"/>
      <c r="V44" s="6">
        <f t="shared" si="35"/>
        <v>1.0147220150562264E-5</v>
      </c>
      <c r="W44" s="2"/>
      <c r="X44" s="7">
        <f t="shared" si="36"/>
        <v>16.559999999999999</v>
      </c>
      <c r="Y44" s="2"/>
      <c r="Z44" s="6">
        <f t="shared" si="37"/>
        <v>1.2564491654021244</v>
      </c>
    </row>
    <row r="45" spans="1:26" s="25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0</v>
      </c>
      <c r="E45" s="1"/>
      <c r="F45" s="5">
        <f t="shared" si="30"/>
        <v>0</v>
      </c>
      <c r="G45" s="1"/>
      <c r="H45" s="1">
        <f>SUM(OSRRefH22_4x_0)</f>
        <v>5.23</v>
      </c>
      <c r="I45" s="1"/>
      <c r="J45" s="5">
        <f t="shared" si="31"/>
        <v>2.7540561507289142E-5</v>
      </c>
      <c r="K45" s="1"/>
      <c r="L45" s="1">
        <f t="shared" si="32"/>
        <v>-5.23</v>
      </c>
      <c r="M45" s="1"/>
      <c r="N45" s="5">
        <f t="shared" si="33"/>
        <v>-1</v>
      </c>
      <c r="O45" s="13"/>
      <c r="P45" s="1">
        <f>SUM(OSRRefP22_4x_0)</f>
        <v>0</v>
      </c>
      <c r="Q45" s="1"/>
      <c r="R45" s="5">
        <f t="shared" si="34"/>
        <v>0</v>
      </c>
      <c r="S45" s="1"/>
      <c r="T45" s="1">
        <f>SUM(OSRRefT22_4x_0)</f>
        <v>50.8</v>
      </c>
      <c r="U45" s="1"/>
      <c r="V45" s="5">
        <f t="shared" si="35"/>
        <v>3.9110681612182322E-5</v>
      </c>
      <c r="W45" s="1"/>
      <c r="X45" s="1">
        <f t="shared" si="36"/>
        <v>-50.8</v>
      </c>
      <c r="Y45" s="1"/>
      <c r="Z45" s="5">
        <f t="shared" si="37"/>
        <v>-1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30"/>
        <v>0</v>
      </c>
      <c r="G46" s="2"/>
      <c r="H46" s="7">
        <v>5.23</v>
      </c>
      <c r="I46" s="2"/>
      <c r="J46" s="6">
        <f t="shared" si="31"/>
        <v>2.7540561507289142E-5</v>
      </c>
      <c r="K46" s="2"/>
      <c r="L46" s="7">
        <f t="shared" si="32"/>
        <v>-5.23</v>
      </c>
      <c r="M46" s="2"/>
      <c r="N46" s="6">
        <f t="shared" si="33"/>
        <v>-1</v>
      </c>
      <c r="O46" s="11"/>
      <c r="P46" s="7"/>
      <c r="Q46" s="2"/>
      <c r="R46" s="6">
        <f t="shared" si="34"/>
        <v>0</v>
      </c>
      <c r="S46" s="2"/>
      <c r="T46" s="7">
        <v>50.8</v>
      </c>
      <c r="U46" s="2"/>
      <c r="V46" s="6">
        <f t="shared" si="35"/>
        <v>3.9110681612182322E-5</v>
      </c>
      <c r="W46" s="2"/>
      <c r="X46" s="7">
        <f t="shared" si="36"/>
        <v>-50.8</v>
      </c>
      <c r="Y46" s="2"/>
      <c r="Z46" s="6">
        <f t="shared" si="37"/>
        <v>-1</v>
      </c>
    </row>
    <row r="47" spans="1:26" s="25" customFormat="1" outlineLevel="1" collapsed="1" x14ac:dyDescent="0.25">
      <c r="A47" s="26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213.02</v>
      </c>
      <c r="E47" s="1"/>
      <c r="F47" s="5">
        <f t="shared" si="30"/>
        <v>0</v>
      </c>
      <c r="G47" s="1"/>
      <c r="H47" s="1">
        <f>SUM(OSRRefH22_5x_0)</f>
        <v>0</v>
      </c>
      <c r="I47" s="1"/>
      <c r="J47" s="5">
        <f t="shared" si="31"/>
        <v>0</v>
      </c>
      <c r="K47" s="1"/>
      <c r="L47" s="1">
        <f t="shared" si="32"/>
        <v>213.02</v>
      </c>
      <c r="M47" s="1"/>
      <c r="N47" s="5">
        <f t="shared" si="33"/>
        <v>0</v>
      </c>
      <c r="O47" s="13"/>
      <c r="P47" s="1">
        <f>SUM(OSRRefP22_5x_0)</f>
        <v>1278.1199999999999</v>
      </c>
      <c r="Q47" s="1"/>
      <c r="R47" s="5">
        <f t="shared" si="34"/>
        <v>0</v>
      </c>
      <c r="S47" s="1"/>
      <c r="T47" s="1">
        <f>SUM(OSRRefT22_5x_0)</f>
        <v>0</v>
      </c>
      <c r="U47" s="1"/>
      <c r="V47" s="5">
        <f t="shared" si="35"/>
        <v>0</v>
      </c>
      <c r="W47" s="1"/>
      <c r="X47" s="1">
        <f t="shared" si="36"/>
        <v>1278.1199999999999</v>
      </c>
      <c r="Y47" s="1"/>
      <c r="Z47" s="5">
        <f t="shared" si="37"/>
        <v>0</v>
      </c>
    </row>
    <row r="48" spans="1:26" s="24" customFormat="1" hidden="1" outlineLevel="2" x14ac:dyDescent="0.25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213.02</v>
      </c>
      <c r="E48" s="2"/>
      <c r="F48" s="6">
        <f t="shared" si="30"/>
        <v>0</v>
      </c>
      <c r="G48" s="2"/>
      <c r="H48" s="7"/>
      <c r="I48" s="2"/>
      <c r="J48" s="6">
        <f t="shared" si="31"/>
        <v>0</v>
      </c>
      <c r="K48" s="2"/>
      <c r="L48" s="7">
        <f t="shared" si="32"/>
        <v>213.02</v>
      </c>
      <c r="M48" s="2"/>
      <c r="N48" s="6">
        <f t="shared" si="33"/>
        <v>0</v>
      </c>
      <c r="O48" s="11"/>
      <c r="P48" s="7">
        <v>1278.1199999999999</v>
      </c>
      <c r="Q48" s="2"/>
      <c r="R48" s="6">
        <f t="shared" si="34"/>
        <v>0</v>
      </c>
      <c r="S48" s="2"/>
      <c r="T48" s="7"/>
      <c r="U48" s="2"/>
      <c r="V48" s="6">
        <f t="shared" si="35"/>
        <v>0</v>
      </c>
      <c r="W48" s="2"/>
      <c r="X48" s="7">
        <f t="shared" si="36"/>
        <v>1278.1199999999999</v>
      </c>
      <c r="Y48" s="2"/>
      <c r="Z48" s="6">
        <f t="shared" si="37"/>
        <v>0</v>
      </c>
    </row>
    <row r="49" spans="1:26" s="25" customFormat="1" outlineLevel="1" collapsed="1" x14ac:dyDescent="0.25">
      <c r="A49" s="26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SUM(OSRRefD22_6x_0)</f>
        <v>0</v>
      </c>
      <c r="E49" s="1"/>
      <c r="F49" s="5">
        <f t="shared" si="30"/>
        <v>0</v>
      </c>
      <c r="G49" s="1"/>
      <c r="H49" s="1">
        <f>SUM(OSRRefH22_6x_0)</f>
        <v>1946.42</v>
      </c>
      <c r="I49" s="1"/>
      <c r="J49" s="5">
        <f t="shared" si="31"/>
        <v>1.0249617539009126E-2</v>
      </c>
      <c r="K49" s="1"/>
      <c r="L49" s="1">
        <f t="shared" si="32"/>
        <v>-1946.42</v>
      </c>
      <c r="M49" s="1"/>
      <c r="N49" s="5">
        <f t="shared" si="33"/>
        <v>-1</v>
      </c>
      <c r="O49" s="13"/>
      <c r="P49" s="1">
        <f>SUM(OSRRefP22_6x_0)</f>
        <v>0</v>
      </c>
      <c r="Q49" s="1"/>
      <c r="R49" s="5">
        <f t="shared" si="34"/>
        <v>0</v>
      </c>
      <c r="S49" s="1"/>
      <c r="T49" s="1">
        <f>SUM(OSRRefT22_6x_0)</f>
        <v>13734.58</v>
      </c>
      <c r="U49" s="1"/>
      <c r="V49" s="5">
        <f t="shared" si="35"/>
        <v>1.0574188690099353E-2</v>
      </c>
      <c r="W49" s="1"/>
      <c r="X49" s="1">
        <f t="shared" si="36"/>
        <v>-13734.58</v>
      </c>
      <c r="Y49" s="1"/>
      <c r="Z49" s="5">
        <f t="shared" si="37"/>
        <v>-1</v>
      </c>
    </row>
    <row r="50" spans="1:26" s="24" customFormat="1" hidden="1" outlineLevel="2" x14ac:dyDescent="0.25">
      <c r="A50" s="27"/>
      <c r="B50" s="11" t="str">
        <f>CONCATENATE("          ", "6399", " - ", "DONATION-ON CAMPUS")</f>
        <v xml:space="preserve">          6399 - DONATION-ON CAMPUS</v>
      </c>
      <c r="C50" s="11"/>
      <c r="D50" s="7"/>
      <c r="E50" s="2"/>
      <c r="F50" s="6">
        <f t="shared" si="30"/>
        <v>0</v>
      </c>
      <c r="G50" s="2"/>
      <c r="H50" s="7">
        <v>1946.42</v>
      </c>
      <c r="I50" s="2"/>
      <c r="J50" s="6">
        <f t="shared" si="31"/>
        <v>1.0249617539009126E-2</v>
      </c>
      <c r="K50" s="2"/>
      <c r="L50" s="7">
        <f t="shared" si="32"/>
        <v>-1946.42</v>
      </c>
      <c r="M50" s="2"/>
      <c r="N50" s="6">
        <f t="shared" si="33"/>
        <v>-1</v>
      </c>
      <c r="O50" s="11"/>
      <c r="P50" s="7"/>
      <c r="Q50" s="2"/>
      <c r="R50" s="6">
        <f t="shared" si="34"/>
        <v>0</v>
      </c>
      <c r="S50" s="2"/>
      <c r="T50" s="7">
        <v>13734.58</v>
      </c>
      <c r="U50" s="2"/>
      <c r="V50" s="6">
        <f t="shared" si="35"/>
        <v>1.0574188690099353E-2</v>
      </c>
      <c r="W50" s="2"/>
      <c r="X50" s="7">
        <f t="shared" si="36"/>
        <v>-13734.58</v>
      </c>
      <c r="Y50" s="2"/>
      <c r="Z50" s="6">
        <f t="shared" si="37"/>
        <v>-1</v>
      </c>
    </row>
    <row r="51" spans="1:26" s="25" customFormat="1" outlineLevel="1" collapsed="1" x14ac:dyDescent="0.25">
      <c r="A51" s="26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SUM(OSRRefD22_7x_0)</f>
        <v>0</v>
      </c>
      <c r="E51" s="1"/>
      <c r="F51" s="5">
        <f t="shared" si="30"/>
        <v>0</v>
      </c>
      <c r="G51" s="1"/>
      <c r="H51" s="1">
        <f>SUM(OSRRefH22_7x_0)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3"/>
      <c r="P51" s="1">
        <f>SUM(OSRRefP22_7x_0)</f>
        <v>0</v>
      </c>
      <c r="Q51" s="1"/>
      <c r="R51" s="5">
        <f t="shared" si="34"/>
        <v>0</v>
      </c>
      <c r="S51" s="1"/>
      <c r="T51" s="1">
        <f>SUM(OSRRefT22_7x_0)</f>
        <v>21.34</v>
      </c>
      <c r="U51" s="1"/>
      <c r="V51" s="5">
        <f t="shared" si="35"/>
        <v>1.6429565858345882E-5</v>
      </c>
      <c r="W51" s="1"/>
      <c r="X51" s="1">
        <f t="shared" si="36"/>
        <v>-21.34</v>
      </c>
      <c r="Y51" s="1"/>
      <c r="Z51" s="5">
        <f t="shared" si="37"/>
        <v>-1</v>
      </c>
    </row>
    <row r="52" spans="1:26" s="24" customFormat="1" hidden="1" outlineLevel="2" x14ac:dyDescent="0.25">
      <c r="A52" s="27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30"/>
        <v>0</v>
      </c>
      <c r="G52" s="2"/>
      <c r="H52" s="7"/>
      <c r="I52" s="2"/>
      <c r="J52" s="6">
        <f t="shared" si="31"/>
        <v>0</v>
      </c>
      <c r="K52" s="2"/>
      <c r="L52" s="7">
        <f t="shared" si="32"/>
        <v>0</v>
      </c>
      <c r="M52" s="2"/>
      <c r="N52" s="6">
        <f t="shared" si="33"/>
        <v>0</v>
      </c>
      <c r="O52" s="11"/>
      <c r="P52" s="7"/>
      <c r="Q52" s="2"/>
      <c r="R52" s="6">
        <f t="shared" si="34"/>
        <v>0</v>
      </c>
      <c r="S52" s="2"/>
      <c r="T52" s="7">
        <v>21.34</v>
      </c>
      <c r="U52" s="2"/>
      <c r="V52" s="6">
        <f t="shared" si="35"/>
        <v>1.6429565858345882E-5</v>
      </c>
      <c r="W52" s="2"/>
      <c r="X52" s="7">
        <f t="shared" si="36"/>
        <v>-21.34</v>
      </c>
      <c r="Y52" s="2"/>
      <c r="Z52" s="6">
        <f t="shared" si="37"/>
        <v>-1</v>
      </c>
    </row>
    <row r="53" spans="1:26" s="25" customFormat="1" outlineLevel="1" collapsed="1" x14ac:dyDescent="0.25">
      <c r="A53" s="26"/>
      <c r="B53" s="13" t="str">
        <f>CONCATENATE("     ","Equipment Rental                                  ")</f>
        <v xml:space="preserve">     Equipment Rental                                  </v>
      </c>
      <c r="C53" s="13"/>
      <c r="D53" s="1">
        <f>SUM(OSRRefD22_8x_0)</f>
        <v>0</v>
      </c>
      <c r="E53" s="1"/>
      <c r="F53" s="5">
        <f t="shared" si="30"/>
        <v>0</v>
      </c>
      <c r="G53" s="1"/>
      <c r="H53" s="1">
        <f>SUM(OSRRefH22_8x_0)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3"/>
      <c r="P53" s="1">
        <f>SUM(OSRRefP22_8x_0)</f>
        <v>20</v>
      </c>
      <c r="Q53" s="1"/>
      <c r="R53" s="5">
        <f t="shared" si="34"/>
        <v>0</v>
      </c>
      <c r="S53" s="1"/>
      <c r="T53" s="1">
        <f>SUM(OSRRefT22_8x_0)</f>
        <v>0.01</v>
      </c>
      <c r="U53" s="1"/>
      <c r="V53" s="5">
        <f t="shared" si="35"/>
        <v>7.6989530732642371E-9</v>
      </c>
      <c r="W53" s="1"/>
      <c r="X53" s="1">
        <f t="shared" si="36"/>
        <v>19.989999999999998</v>
      </c>
      <c r="Y53" s="1"/>
      <c r="Z53" s="5">
        <f t="shared" si="37"/>
        <v>1998.9999999999998</v>
      </c>
    </row>
    <row r="54" spans="1:26" s="24" customFormat="1" hidden="1" outlineLevel="2" x14ac:dyDescent="0.25">
      <c r="A54" s="27"/>
      <c r="B54" s="11" t="str">
        <f>CONCATENATE("          ", "6351", " - ", "EQUIPMENT RENTAL")</f>
        <v xml:space="preserve">          6351 - EQUIPMENT RENTAL</v>
      </c>
      <c r="C54" s="11"/>
      <c r="D54" s="7"/>
      <c r="E54" s="2"/>
      <c r="F54" s="6">
        <f t="shared" si="30"/>
        <v>0</v>
      </c>
      <c r="G54" s="2"/>
      <c r="H54" s="7"/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>
        <v>20</v>
      </c>
      <c r="Q54" s="2"/>
      <c r="R54" s="6">
        <f t="shared" si="34"/>
        <v>0</v>
      </c>
      <c r="S54" s="2"/>
      <c r="T54" s="7">
        <v>0.01</v>
      </c>
      <c r="U54" s="2"/>
      <c r="V54" s="6">
        <f t="shared" si="35"/>
        <v>7.6989530732642371E-9</v>
      </c>
      <c r="W54" s="2"/>
      <c r="X54" s="7">
        <f t="shared" si="36"/>
        <v>19.989999999999998</v>
      </c>
      <c r="Y54" s="2"/>
      <c r="Z54" s="6">
        <f t="shared" si="37"/>
        <v>1998.9999999999998</v>
      </c>
    </row>
    <row r="55" spans="1:26" s="25" customFormat="1" outlineLevel="1" collapsed="1" x14ac:dyDescent="0.25">
      <c r="A55" s="26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0</v>
      </c>
      <c r="E55" s="1"/>
      <c r="F55" s="5">
        <f t="shared" si="30"/>
        <v>0</v>
      </c>
      <c r="G55" s="1"/>
      <c r="H55" s="1">
        <f>SUM(OSRRefH22_9x_0)</f>
        <v>0</v>
      </c>
      <c r="I55" s="1"/>
      <c r="J55" s="5">
        <f t="shared" si="31"/>
        <v>0</v>
      </c>
      <c r="K55" s="1"/>
      <c r="L55" s="1">
        <f t="shared" si="32"/>
        <v>0</v>
      </c>
      <c r="M55" s="1"/>
      <c r="N55" s="5">
        <f t="shared" si="33"/>
        <v>0</v>
      </c>
      <c r="O55" s="13"/>
      <c r="P55" s="1">
        <f>SUM(OSRRefP22_9x_0)</f>
        <v>1439.55</v>
      </c>
      <c r="Q55" s="1"/>
      <c r="R55" s="5">
        <f t="shared" si="34"/>
        <v>0</v>
      </c>
      <c r="S55" s="1"/>
      <c r="T55" s="1">
        <f>SUM(OSRRefT22_9x_0)</f>
        <v>1517.11</v>
      </c>
      <c r="U55" s="1"/>
      <c r="V55" s="5">
        <f t="shared" si="35"/>
        <v>1.1680158696979906E-3</v>
      </c>
      <c r="W55" s="1"/>
      <c r="X55" s="1">
        <f t="shared" si="36"/>
        <v>-77.559999999999945</v>
      </c>
      <c r="Y55" s="1"/>
      <c r="Z55" s="5">
        <f t="shared" si="37"/>
        <v>-5.1123517740967996E-2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30"/>
        <v>0</v>
      </c>
      <c r="G56" s="2"/>
      <c r="H56" s="7"/>
      <c r="I56" s="2"/>
      <c r="J56" s="6">
        <f t="shared" si="31"/>
        <v>0</v>
      </c>
      <c r="K56" s="2"/>
      <c r="L56" s="7">
        <f t="shared" si="32"/>
        <v>0</v>
      </c>
      <c r="M56" s="2"/>
      <c r="N56" s="6">
        <f t="shared" si="33"/>
        <v>0</v>
      </c>
      <c r="O56" s="11"/>
      <c r="P56" s="7">
        <v>1439.55</v>
      </c>
      <c r="Q56" s="2"/>
      <c r="R56" s="6">
        <f t="shared" si="34"/>
        <v>0</v>
      </c>
      <c r="S56" s="2"/>
      <c r="T56" s="7">
        <v>1517.11</v>
      </c>
      <c r="U56" s="2"/>
      <c r="V56" s="6">
        <f t="shared" si="35"/>
        <v>1.1680158696979906E-3</v>
      </c>
      <c r="W56" s="2"/>
      <c r="X56" s="7">
        <f t="shared" si="36"/>
        <v>-77.559999999999945</v>
      </c>
      <c r="Y56" s="2"/>
      <c r="Z56" s="6">
        <f t="shared" si="37"/>
        <v>-5.1123517740967996E-2</v>
      </c>
    </row>
    <row r="57" spans="1:26" s="25" customFormat="1" outlineLevel="1" collapsed="1" x14ac:dyDescent="0.25">
      <c r="A57" s="26"/>
      <c r="B57" s="13" t="str">
        <f>CONCATENATE("     ","Insurance                                         ")</f>
        <v xml:space="preserve">     Insurance                                         </v>
      </c>
      <c r="C57" s="13"/>
      <c r="D57" s="1">
        <f>SUM(OSRRefD22_10x_0)</f>
        <v>5.9</v>
      </c>
      <c r="E57" s="1"/>
      <c r="F57" s="5">
        <f t="shared" si="30"/>
        <v>0</v>
      </c>
      <c r="G57" s="1"/>
      <c r="H57" s="1">
        <f>SUM(OSRRefH22_10x_0)</f>
        <v>5.9</v>
      </c>
      <c r="I57" s="1"/>
      <c r="J57" s="5">
        <f t="shared" si="31"/>
        <v>3.1068702273997311E-5</v>
      </c>
      <c r="K57" s="1"/>
      <c r="L57" s="1">
        <f t="shared" si="32"/>
        <v>0</v>
      </c>
      <c r="M57" s="1"/>
      <c r="N57" s="5">
        <f t="shared" si="33"/>
        <v>0</v>
      </c>
      <c r="O57" s="13"/>
      <c r="P57" s="1">
        <f>SUM(OSRRefP22_10x_0)</f>
        <v>35.4</v>
      </c>
      <c r="Q57" s="1"/>
      <c r="R57" s="5">
        <f t="shared" si="34"/>
        <v>0</v>
      </c>
      <c r="S57" s="1"/>
      <c r="T57" s="1">
        <f>SUM(OSRRefT22_10x_0)</f>
        <v>35.4</v>
      </c>
      <c r="U57" s="1"/>
      <c r="V57" s="5">
        <f t="shared" si="35"/>
        <v>2.7254293879355401E-5</v>
      </c>
      <c r="W57" s="1"/>
      <c r="X57" s="1">
        <f t="shared" si="36"/>
        <v>0</v>
      </c>
      <c r="Y57" s="1"/>
      <c r="Z57" s="5">
        <f t="shared" si="37"/>
        <v>0</v>
      </c>
    </row>
    <row r="58" spans="1:26" s="24" customFormat="1" hidden="1" outlineLevel="2" x14ac:dyDescent="0.25">
      <c r="A58" s="27"/>
      <c r="B58" s="11" t="str">
        <f>CONCATENATE("          ", "6314", " - ", "LIABILITY INSURANCE")</f>
        <v xml:space="preserve">          6314 - LIABILITY INSURANCE</v>
      </c>
      <c r="C58" s="11"/>
      <c r="D58" s="7">
        <v>5.9</v>
      </c>
      <c r="E58" s="2"/>
      <c r="F58" s="6">
        <f t="shared" si="30"/>
        <v>0</v>
      </c>
      <c r="G58" s="2"/>
      <c r="H58" s="7">
        <v>5.9</v>
      </c>
      <c r="I58" s="2"/>
      <c r="J58" s="6">
        <f t="shared" si="31"/>
        <v>3.1068702273997311E-5</v>
      </c>
      <c r="K58" s="2"/>
      <c r="L58" s="7">
        <f t="shared" si="32"/>
        <v>0</v>
      </c>
      <c r="M58" s="2"/>
      <c r="N58" s="6">
        <f t="shared" si="33"/>
        <v>0</v>
      </c>
      <c r="O58" s="11"/>
      <c r="P58" s="7">
        <v>35.4</v>
      </c>
      <c r="Q58" s="2"/>
      <c r="R58" s="6">
        <f t="shared" si="34"/>
        <v>0</v>
      </c>
      <c r="S58" s="2"/>
      <c r="T58" s="7">
        <v>35.4</v>
      </c>
      <c r="U58" s="2"/>
      <c r="V58" s="6">
        <f t="shared" si="35"/>
        <v>2.7254293879355401E-5</v>
      </c>
      <c r="W58" s="2"/>
      <c r="X58" s="7">
        <f t="shared" si="36"/>
        <v>0</v>
      </c>
      <c r="Y58" s="2"/>
      <c r="Z58" s="6">
        <f t="shared" si="37"/>
        <v>0</v>
      </c>
    </row>
    <row r="59" spans="1:26" s="25" customFormat="1" outlineLevel="1" collapsed="1" x14ac:dyDescent="0.25">
      <c r="A59" s="26"/>
      <c r="B59" s="13" t="str">
        <f>CONCATENATE("     ","R/H Commissions                                   ")</f>
        <v xml:space="preserve">     R/H Commissions                                   </v>
      </c>
      <c r="C59" s="13"/>
      <c r="D59" s="1">
        <f>SUM(OSRRefD22_11x_0)</f>
        <v>0</v>
      </c>
      <c r="E59" s="1"/>
      <c r="F59" s="5">
        <f t="shared" si="30"/>
        <v>0</v>
      </c>
      <c r="G59" s="1"/>
      <c r="H59" s="1">
        <f>SUM(OSRRefH22_11x_0)</f>
        <v>15031.169999999998</v>
      </c>
      <c r="I59" s="1"/>
      <c r="J59" s="5">
        <f t="shared" si="31"/>
        <v>7.9152363654210176E-2</v>
      </c>
      <c r="K59" s="1"/>
      <c r="L59" s="1">
        <f t="shared" si="32"/>
        <v>-15031.169999999998</v>
      </c>
      <c r="M59" s="1"/>
      <c r="N59" s="5">
        <f t="shared" si="33"/>
        <v>-1</v>
      </c>
      <c r="O59" s="13"/>
      <c r="P59" s="1">
        <f>SUM(OSRRefP22_11x_0)</f>
        <v>0</v>
      </c>
      <c r="Q59" s="1"/>
      <c r="R59" s="5">
        <f t="shared" si="34"/>
        <v>0</v>
      </c>
      <c r="S59" s="1"/>
      <c r="T59" s="1">
        <f>SUM(OSRRefT22_11x_0)</f>
        <v>101091.66</v>
      </c>
      <c r="U59" s="1"/>
      <c r="V59" s="5">
        <f t="shared" si="35"/>
        <v>7.7829994643838343E-2</v>
      </c>
      <c r="W59" s="1"/>
      <c r="X59" s="1">
        <f t="shared" si="36"/>
        <v>-101091.66</v>
      </c>
      <c r="Y59" s="1"/>
      <c r="Z59" s="5">
        <f t="shared" si="37"/>
        <v>-1</v>
      </c>
    </row>
    <row r="60" spans="1:26" s="24" customFormat="1" hidden="1" outlineLevel="2" x14ac:dyDescent="0.25">
      <c r="A60" s="27"/>
      <c r="B60" s="11" t="str">
        <f>CONCATENATE("          ", "6387", " - ", "COMMISSION DUE HOUSING")</f>
        <v xml:space="preserve">          6387 - COMMISSION DUE HOUSING</v>
      </c>
      <c r="C60" s="11"/>
      <c r="D60" s="7"/>
      <c r="E60" s="2"/>
      <c r="F60" s="6">
        <f t="shared" si="30"/>
        <v>0</v>
      </c>
      <c r="G60" s="2"/>
      <c r="H60" s="7">
        <v>15031.169999999998</v>
      </c>
      <c r="I60" s="2"/>
      <c r="J60" s="6">
        <f t="shared" si="31"/>
        <v>7.9152363654210176E-2</v>
      </c>
      <c r="K60" s="2"/>
      <c r="L60" s="7">
        <f t="shared" si="32"/>
        <v>-15031.169999999998</v>
      </c>
      <c r="M60" s="2"/>
      <c r="N60" s="6">
        <f t="shared" si="33"/>
        <v>-1</v>
      </c>
      <c r="O60" s="11"/>
      <c r="P60" s="7"/>
      <c r="Q60" s="2"/>
      <c r="R60" s="6">
        <f t="shared" si="34"/>
        <v>0</v>
      </c>
      <c r="S60" s="2"/>
      <c r="T60" s="7">
        <v>101091.66</v>
      </c>
      <c r="U60" s="2"/>
      <c r="V60" s="6">
        <f t="shared" si="35"/>
        <v>7.7829994643838343E-2</v>
      </c>
      <c r="W60" s="2"/>
      <c r="X60" s="7">
        <f t="shared" si="36"/>
        <v>-101091.66</v>
      </c>
      <c r="Y60" s="2"/>
      <c r="Z60" s="6">
        <f t="shared" si="37"/>
        <v>-1</v>
      </c>
    </row>
    <row r="61" spans="1:26" s="25" customFormat="1" outlineLevel="1" collapsed="1" x14ac:dyDescent="0.25">
      <c r="A61" s="26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SUM(OSRRefD22_12x_0)</f>
        <v>72.319999999999993</v>
      </c>
      <c r="E61" s="1"/>
      <c r="F61" s="5">
        <f t="shared" si="30"/>
        <v>0</v>
      </c>
      <c r="G61" s="1"/>
      <c r="H61" s="1">
        <f>SUM(OSRRefH22_12x_0)</f>
        <v>71.349999999999994</v>
      </c>
      <c r="I61" s="1"/>
      <c r="J61" s="5">
        <f t="shared" si="31"/>
        <v>3.757206622457132E-4</v>
      </c>
      <c r="K61" s="1"/>
      <c r="L61" s="1">
        <f t="shared" si="32"/>
        <v>0.96999999999999886</v>
      </c>
      <c r="M61" s="1"/>
      <c r="N61" s="5">
        <f t="shared" si="33"/>
        <v>1.3594954449894869E-2</v>
      </c>
      <c r="O61" s="13"/>
      <c r="P61" s="1">
        <f>SUM(OSRRefP22_12x_0)</f>
        <v>144.66999999999999</v>
      </c>
      <c r="Q61" s="1"/>
      <c r="R61" s="5">
        <f t="shared" si="34"/>
        <v>0</v>
      </c>
      <c r="S61" s="1"/>
      <c r="T61" s="1">
        <f>SUM(OSRRefT22_12x_0)</f>
        <v>139.83000000000001</v>
      </c>
      <c r="U61" s="1"/>
      <c r="V61" s="5">
        <f t="shared" si="35"/>
        <v>1.0765446082345384E-4</v>
      </c>
      <c r="W61" s="1"/>
      <c r="X61" s="1">
        <f t="shared" si="36"/>
        <v>4.839999999999975</v>
      </c>
      <c r="Y61" s="1"/>
      <c r="Z61" s="5">
        <f t="shared" si="37"/>
        <v>3.4613459200457518E-2</v>
      </c>
    </row>
    <row r="62" spans="1:26" s="24" customFormat="1" hidden="1" outlineLevel="2" x14ac:dyDescent="0.25">
      <c r="A62" s="27"/>
      <c r="B62" s="11" t="str">
        <f>CONCATENATE("          ", "6373", " - ", "MAINTENANCE CONTRACTS")</f>
        <v xml:space="preserve">          6373 - MAINTENANCE CONTRACTS</v>
      </c>
      <c r="C62" s="11"/>
      <c r="D62" s="7">
        <v>72.319999999999993</v>
      </c>
      <c r="E62" s="2"/>
      <c r="F62" s="6">
        <f t="shared" si="30"/>
        <v>0</v>
      </c>
      <c r="G62" s="2"/>
      <c r="H62" s="7">
        <v>71.349999999999994</v>
      </c>
      <c r="I62" s="2"/>
      <c r="J62" s="6">
        <f t="shared" si="31"/>
        <v>3.757206622457132E-4</v>
      </c>
      <c r="K62" s="2"/>
      <c r="L62" s="7">
        <f t="shared" si="32"/>
        <v>0.96999999999999886</v>
      </c>
      <c r="M62" s="2"/>
      <c r="N62" s="6">
        <f t="shared" si="33"/>
        <v>1.3594954449894869E-2</v>
      </c>
      <c r="O62" s="11"/>
      <c r="P62" s="7">
        <v>144.66999999999999</v>
      </c>
      <c r="Q62" s="2"/>
      <c r="R62" s="6">
        <f t="shared" si="34"/>
        <v>0</v>
      </c>
      <c r="S62" s="2"/>
      <c r="T62" s="7">
        <v>139.83000000000001</v>
      </c>
      <c r="U62" s="2"/>
      <c r="V62" s="6">
        <f t="shared" si="35"/>
        <v>1.0765446082345384E-4</v>
      </c>
      <c r="W62" s="2"/>
      <c r="X62" s="7">
        <f t="shared" si="36"/>
        <v>4.839999999999975</v>
      </c>
      <c r="Y62" s="2"/>
      <c r="Z62" s="6">
        <f t="shared" si="37"/>
        <v>3.4613459200457518E-2</v>
      </c>
    </row>
    <row r="63" spans="1:26" s="25" customFormat="1" outlineLevel="1" collapsed="1" x14ac:dyDescent="0.25">
      <c r="A63" s="26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SUM(OSRRefD22_13x_0)</f>
        <v>669.64</v>
      </c>
      <c r="E63" s="1"/>
      <c r="F63" s="5">
        <f t="shared" si="30"/>
        <v>0</v>
      </c>
      <c r="G63" s="1"/>
      <c r="H63" s="1">
        <f>SUM(OSRRefH22_13x_0)</f>
        <v>6285.67</v>
      </c>
      <c r="I63" s="1"/>
      <c r="J63" s="5">
        <f t="shared" si="31"/>
        <v>3.3099594885185872E-2</v>
      </c>
      <c r="K63" s="1"/>
      <c r="L63" s="1">
        <f t="shared" si="32"/>
        <v>-5616.03</v>
      </c>
      <c r="M63" s="1"/>
      <c r="N63" s="5">
        <f t="shared" si="33"/>
        <v>-0.89346561305318284</v>
      </c>
      <c r="O63" s="13"/>
      <c r="P63" s="1">
        <f>SUM(OSRRefP22_13x_0)</f>
        <v>2750.33</v>
      </c>
      <c r="Q63" s="1"/>
      <c r="R63" s="5">
        <f t="shared" si="34"/>
        <v>0</v>
      </c>
      <c r="S63" s="1"/>
      <c r="T63" s="1">
        <f>SUM(OSRRefT22_13x_0)</f>
        <v>37680.979999999996</v>
      </c>
      <c r="U63" s="1"/>
      <c r="V63" s="5">
        <f t="shared" si="35"/>
        <v>2.9010409677460824E-2</v>
      </c>
      <c r="W63" s="1"/>
      <c r="X63" s="1">
        <f t="shared" si="36"/>
        <v>-34930.649999999994</v>
      </c>
      <c r="Y63" s="1"/>
      <c r="Z63" s="5">
        <f t="shared" si="37"/>
        <v>-0.92701012553282847</v>
      </c>
    </row>
    <row r="64" spans="1:26" s="24" customFormat="1" hidden="1" outlineLevel="2" x14ac:dyDescent="0.25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71.77</v>
      </c>
      <c r="E64" s="2"/>
      <c r="F64" s="6">
        <f t="shared" si="30"/>
        <v>0</v>
      </c>
      <c r="G64" s="2"/>
      <c r="H64" s="7">
        <v>1339.28</v>
      </c>
      <c r="I64" s="2"/>
      <c r="J64" s="6">
        <f t="shared" si="31"/>
        <v>7.0524900985625616E-3</v>
      </c>
      <c r="K64" s="2"/>
      <c r="L64" s="7">
        <f t="shared" si="32"/>
        <v>-1267.51</v>
      </c>
      <c r="M64" s="2"/>
      <c r="N64" s="6">
        <f t="shared" si="33"/>
        <v>-0.94641150468908664</v>
      </c>
      <c r="O64" s="11"/>
      <c r="P64" s="7">
        <v>2152.46</v>
      </c>
      <c r="Q64" s="2"/>
      <c r="R64" s="6">
        <f t="shared" si="34"/>
        <v>0</v>
      </c>
      <c r="S64" s="2"/>
      <c r="T64" s="7">
        <v>4837.4799999999996</v>
      </c>
      <c r="U64" s="2"/>
      <c r="V64" s="6">
        <f t="shared" si="35"/>
        <v>3.7243531512854279E-3</v>
      </c>
      <c r="W64" s="2"/>
      <c r="X64" s="7">
        <f t="shared" si="36"/>
        <v>-2685.0199999999995</v>
      </c>
      <c r="Y64" s="2"/>
      <c r="Z64" s="6">
        <f t="shared" si="37"/>
        <v>-0.55504518881731801</v>
      </c>
    </row>
    <row r="65" spans="1:26" s="24" customFormat="1" hidden="1" outlineLevel="2" x14ac:dyDescent="0.25">
      <c r="A65" s="27"/>
      <c r="B65" s="11" t="str">
        <f>CONCATENATE("          ", "6285", " - ", "JANITORIAL SERVICES")</f>
        <v xml:space="preserve">          6285 - JANITORIAL SERVICES</v>
      </c>
      <c r="C65" s="11"/>
      <c r="D65" s="7"/>
      <c r="E65" s="2"/>
      <c r="F65" s="6">
        <f t="shared" si="30"/>
        <v>0</v>
      </c>
      <c r="G65" s="2"/>
      <c r="H65" s="7">
        <v>3639.27</v>
      </c>
      <c r="I65" s="2"/>
      <c r="J65" s="6">
        <f t="shared" si="31"/>
        <v>1.9163965444862742E-2</v>
      </c>
      <c r="K65" s="2"/>
      <c r="L65" s="7">
        <f t="shared" si="32"/>
        <v>-3639.27</v>
      </c>
      <c r="M65" s="2"/>
      <c r="N65" s="6">
        <f t="shared" si="33"/>
        <v>-1</v>
      </c>
      <c r="O65" s="11"/>
      <c r="P65" s="7"/>
      <c r="Q65" s="2"/>
      <c r="R65" s="6">
        <f t="shared" si="34"/>
        <v>0</v>
      </c>
      <c r="S65" s="2"/>
      <c r="T65" s="7">
        <v>23381.119999999999</v>
      </c>
      <c r="U65" s="2"/>
      <c r="V65" s="6">
        <f t="shared" si="35"/>
        <v>1.8001014568035992E-2</v>
      </c>
      <c r="W65" s="2"/>
      <c r="X65" s="7">
        <f t="shared" si="36"/>
        <v>-23381.119999999999</v>
      </c>
      <c r="Y65" s="2"/>
      <c r="Z65" s="6">
        <f t="shared" si="37"/>
        <v>-1</v>
      </c>
    </row>
    <row r="66" spans="1:26" s="24" customFormat="1" hidden="1" outlineLevel="2" x14ac:dyDescent="0.25">
      <c r="A66" s="27"/>
      <c r="B66" s="11" t="str">
        <f>CONCATENATE("          ", "6286", " - ", "LAUNDRY EXPENSE")</f>
        <v xml:space="preserve">          6286 - LAUNDRY EXPENSE</v>
      </c>
      <c r="C66" s="11"/>
      <c r="D66" s="7">
        <v>597.87</v>
      </c>
      <c r="E66" s="2"/>
      <c r="F66" s="6">
        <f t="shared" si="30"/>
        <v>0</v>
      </c>
      <c r="G66" s="2"/>
      <c r="H66" s="7">
        <v>1307.1199999999999</v>
      </c>
      <c r="I66" s="2"/>
      <c r="J66" s="6">
        <f t="shared" si="31"/>
        <v>6.8831393417605694E-3</v>
      </c>
      <c r="K66" s="2"/>
      <c r="L66" s="7">
        <f t="shared" si="32"/>
        <v>-709.24999999999989</v>
      </c>
      <c r="M66" s="2"/>
      <c r="N66" s="6">
        <f t="shared" si="33"/>
        <v>-0.54260511659220267</v>
      </c>
      <c r="O66" s="11"/>
      <c r="P66" s="7">
        <v>597.87</v>
      </c>
      <c r="Q66" s="2"/>
      <c r="R66" s="6">
        <f t="shared" si="34"/>
        <v>0</v>
      </c>
      <c r="S66" s="2"/>
      <c r="T66" s="7">
        <v>9462.3799999999992</v>
      </c>
      <c r="U66" s="2"/>
      <c r="V66" s="6">
        <f t="shared" si="35"/>
        <v>7.2850419581394045E-3</v>
      </c>
      <c r="W66" s="2"/>
      <c r="X66" s="7">
        <f t="shared" si="36"/>
        <v>-8864.5099999999984</v>
      </c>
      <c r="Y66" s="2"/>
      <c r="Z66" s="6">
        <f t="shared" si="37"/>
        <v>-0.93681610757547251</v>
      </c>
    </row>
    <row r="67" spans="1:26" s="25" customFormat="1" outlineLevel="1" collapsed="1" x14ac:dyDescent="0.25">
      <c r="A67" s="26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SUM(OSRRefD22_14x_0)</f>
        <v>0</v>
      </c>
      <c r="E67" s="1"/>
      <c r="F67" s="5">
        <f t="shared" ref="F67:F73" si="38">IF(D$12=0,0,D67/D$12)</f>
        <v>0</v>
      </c>
      <c r="G67" s="1"/>
      <c r="H67" s="1">
        <f>SUM(OSRRefH22_14x_0)</f>
        <v>1955.3799999999999</v>
      </c>
      <c r="I67" s="1"/>
      <c r="J67" s="5">
        <f t="shared" ref="J67:J73" si="39">IF(H$12=0,0,H67/H$12)</f>
        <v>1.0296799839411669E-2</v>
      </c>
      <c r="K67" s="1"/>
      <c r="L67" s="1">
        <f t="shared" ref="L67:L73" si="40">+D67-H67</f>
        <v>-1955.3799999999999</v>
      </c>
      <c r="M67" s="1"/>
      <c r="N67" s="5">
        <f t="shared" ref="N67:N73" si="41">IF(H67=0,0,L67/H67)</f>
        <v>-1</v>
      </c>
      <c r="O67" s="13"/>
      <c r="P67" s="1">
        <f>SUM(OSRRefP22_14x_0)</f>
        <v>57.16</v>
      </c>
      <c r="Q67" s="1"/>
      <c r="R67" s="5">
        <f t="shared" ref="R67:R73" si="42">IF(P$12=0,0,P67/P$12)</f>
        <v>0</v>
      </c>
      <c r="S67" s="1"/>
      <c r="T67" s="1">
        <f>SUM(OSRRefT22_14x_0)</f>
        <v>33012.9</v>
      </c>
      <c r="U67" s="1"/>
      <c r="V67" s="5">
        <f t="shared" ref="V67:V73" si="43">IF(T$12=0,0,T67/T$12)</f>
        <v>2.5416476791236497E-2</v>
      </c>
      <c r="W67" s="1"/>
      <c r="X67" s="1">
        <f t="shared" ref="X67:X73" si="44">+P67-T67</f>
        <v>-32955.74</v>
      </c>
      <c r="Y67" s="1"/>
      <c r="Z67" s="5">
        <f t="shared" ref="Z67:Z73" si="45">IF(T67=0,0,X67/T67)</f>
        <v>-0.99826855562522521</v>
      </c>
    </row>
    <row r="68" spans="1:26" s="24" customFormat="1" hidden="1" outlineLevel="2" x14ac:dyDescent="0.25">
      <c r="A68" s="27"/>
      <c r="B68" s="11" t="str">
        <f>CONCATENATE("          ", "6237", " - ", "JANITORIAL SUPPLIES")</f>
        <v xml:space="preserve">          6237 - JANITORIAL SUPPLIES</v>
      </c>
      <c r="C68" s="11"/>
      <c r="D68" s="7"/>
      <c r="E68" s="2"/>
      <c r="F68" s="6">
        <f t="shared" si="38"/>
        <v>0</v>
      </c>
      <c r="G68" s="2"/>
      <c r="H68" s="7">
        <v>467.88</v>
      </c>
      <c r="I68" s="2"/>
      <c r="J68" s="6">
        <f t="shared" si="39"/>
        <v>2.4638007491454002E-3</v>
      </c>
      <c r="K68" s="2"/>
      <c r="L68" s="7">
        <f t="shared" si="40"/>
        <v>-467.88</v>
      </c>
      <c r="M68" s="2"/>
      <c r="N68" s="6">
        <f t="shared" si="41"/>
        <v>-1</v>
      </c>
      <c r="O68" s="11"/>
      <c r="P68" s="7"/>
      <c r="Q68" s="2"/>
      <c r="R68" s="6">
        <f t="shared" si="42"/>
        <v>0</v>
      </c>
      <c r="S68" s="2"/>
      <c r="T68" s="7">
        <v>8761.5</v>
      </c>
      <c r="U68" s="2"/>
      <c r="V68" s="6">
        <f t="shared" si="43"/>
        <v>6.7454377351404615E-3</v>
      </c>
      <c r="W68" s="2"/>
      <c r="X68" s="7">
        <f t="shared" si="44"/>
        <v>-8761.5</v>
      </c>
      <c r="Y68" s="2"/>
      <c r="Z68" s="6">
        <f t="shared" si="45"/>
        <v>-1</v>
      </c>
    </row>
    <row r="69" spans="1:26" s="24" customFormat="1" hidden="1" outlineLevel="2" x14ac:dyDescent="0.25">
      <c r="A69" s="27"/>
      <c r="B69" s="11" t="str">
        <f>CONCATENATE("          ", "6239", " - ", "KITCHEN SUPPLIES")</f>
        <v xml:space="preserve">          6239 - KITCHEN SUPPLIES</v>
      </c>
      <c r="C69" s="11"/>
      <c r="D69" s="7"/>
      <c r="E69" s="2"/>
      <c r="F69" s="6">
        <f t="shared" si="38"/>
        <v>0</v>
      </c>
      <c r="G69" s="2"/>
      <c r="H69" s="7">
        <v>20</v>
      </c>
      <c r="I69" s="2"/>
      <c r="J69" s="6">
        <f t="shared" si="39"/>
        <v>1.0531763482710952E-4</v>
      </c>
      <c r="K69" s="2"/>
      <c r="L69" s="7">
        <f t="shared" si="40"/>
        <v>-20</v>
      </c>
      <c r="M69" s="2"/>
      <c r="N69" s="6">
        <f t="shared" si="41"/>
        <v>-1</v>
      </c>
      <c r="O69" s="11"/>
      <c r="P69" s="7"/>
      <c r="Q69" s="2"/>
      <c r="R69" s="6">
        <f t="shared" si="42"/>
        <v>0</v>
      </c>
      <c r="S69" s="2"/>
      <c r="T69" s="7">
        <v>2518.77</v>
      </c>
      <c r="U69" s="2"/>
      <c r="V69" s="6">
        <f t="shared" si="43"/>
        <v>1.9391892032345763E-3</v>
      </c>
      <c r="W69" s="2"/>
      <c r="X69" s="7">
        <f t="shared" si="44"/>
        <v>-2518.77</v>
      </c>
      <c r="Y69" s="2"/>
      <c r="Z69" s="6">
        <f t="shared" si="45"/>
        <v>-1</v>
      </c>
    </row>
    <row r="70" spans="1:26" s="24" customFormat="1" hidden="1" outlineLevel="2" x14ac:dyDescent="0.25">
      <c r="A70" s="27"/>
      <c r="B70" s="11" t="str">
        <f>CONCATENATE("          ", "6241", " - ", "OFFICE EXPENSE")</f>
        <v xml:space="preserve">          6241 - OFFICE EXPENSE</v>
      </c>
      <c r="C70" s="11"/>
      <c r="D70" s="7"/>
      <c r="E70" s="2"/>
      <c r="F70" s="6">
        <f t="shared" si="38"/>
        <v>0</v>
      </c>
      <c r="G70" s="2"/>
      <c r="H70" s="7">
        <v>124.91</v>
      </c>
      <c r="I70" s="2"/>
      <c r="J70" s="6">
        <f t="shared" si="39"/>
        <v>6.5776128831271244E-4</v>
      </c>
      <c r="K70" s="2"/>
      <c r="L70" s="7">
        <f t="shared" si="40"/>
        <v>-124.91</v>
      </c>
      <c r="M70" s="2"/>
      <c r="N70" s="6">
        <f t="shared" si="41"/>
        <v>-1</v>
      </c>
      <c r="O70" s="11"/>
      <c r="P70" s="7">
        <v>57.16</v>
      </c>
      <c r="Q70" s="2"/>
      <c r="R70" s="6">
        <f t="shared" si="42"/>
        <v>0</v>
      </c>
      <c r="S70" s="2"/>
      <c r="T70" s="7">
        <v>20101.84</v>
      </c>
      <c r="U70" s="2"/>
      <c r="V70" s="6">
        <f t="shared" si="43"/>
        <v>1.5476312284626597E-2</v>
      </c>
      <c r="W70" s="2"/>
      <c r="X70" s="7">
        <f t="shared" si="44"/>
        <v>-20044.68</v>
      </c>
      <c r="Y70" s="2"/>
      <c r="Z70" s="6">
        <f t="shared" si="45"/>
        <v>-0.99715647920787354</v>
      </c>
    </row>
    <row r="71" spans="1:26" s="24" customFormat="1" hidden="1" outlineLevel="2" x14ac:dyDescent="0.25">
      <c r="A71" s="27"/>
      <c r="B71" s="11" t="str">
        <f>CONCATENATE("          ", "6243", " - ", "PAPER SUPPLIES")</f>
        <v xml:space="preserve">          6243 - PAPER SUPPLIES</v>
      </c>
      <c r="C71" s="11"/>
      <c r="D71" s="7"/>
      <c r="E71" s="2"/>
      <c r="F71" s="6">
        <f t="shared" si="38"/>
        <v>0</v>
      </c>
      <c r="G71" s="2"/>
      <c r="H71" s="7">
        <v>1342.59</v>
      </c>
      <c r="I71" s="2"/>
      <c r="J71" s="6">
        <f t="shared" si="39"/>
        <v>7.0699201671264476E-3</v>
      </c>
      <c r="K71" s="2"/>
      <c r="L71" s="7">
        <f t="shared" si="40"/>
        <v>-1342.59</v>
      </c>
      <c r="M71" s="2"/>
      <c r="N71" s="6">
        <f t="shared" si="41"/>
        <v>-1</v>
      </c>
      <c r="O71" s="11"/>
      <c r="P71" s="7"/>
      <c r="Q71" s="2"/>
      <c r="R71" s="6">
        <f t="shared" si="42"/>
        <v>0</v>
      </c>
      <c r="S71" s="2"/>
      <c r="T71" s="7">
        <v>9220.9699999999993</v>
      </c>
      <c r="U71" s="2"/>
      <c r="V71" s="6">
        <f t="shared" si="43"/>
        <v>7.0991815319977327E-3</v>
      </c>
      <c r="W71" s="2"/>
      <c r="X71" s="7">
        <f t="shared" si="44"/>
        <v>-9220.9699999999993</v>
      </c>
      <c r="Y71" s="2"/>
      <c r="Z71" s="6">
        <f t="shared" si="45"/>
        <v>-1</v>
      </c>
    </row>
    <row r="72" spans="1:26" s="24" customFormat="1" hidden="1" outlineLevel="2" x14ac:dyDescent="0.25">
      <c r="A72" s="27"/>
      <c r="B72" s="11" t="str">
        <f>CONCATENATE("          ", "6245", " - ", "PRINTING")</f>
        <v xml:space="preserve">          6245 - PRINTING</v>
      </c>
      <c r="C72" s="11"/>
      <c r="D72" s="7"/>
      <c r="E72" s="2"/>
      <c r="F72" s="6">
        <f t="shared" si="38"/>
        <v>0</v>
      </c>
      <c r="G72" s="2"/>
      <c r="H72" s="7"/>
      <c r="I72" s="2"/>
      <c r="J72" s="6">
        <f t="shared" si="39"/>
        <v>0</v>
      </c>
      <c r="K72" s="2"/>
      <c r="L72" s="7">
        <f t="shared" si="40"/>
        <v>0</v>
      </c>
      <c r="M72" s="2"/>
      <c r="N72" s="6">
        <f t="shared" si="41"/>
        <v>0</v>
      </c>
      <c r="O72" s="11"/>
      <c r="P72" s="7"/>
      <c r="Q72" s="2"/>
      <c r="R72" s="6">
        <f t="shared" si="42"/>
        <v>0</v>
      </c>
      <c r="S72" s="2"/>
      <c r="T72" s="7">
        <v>469.44</v>
      </c>
      <c r="U72" s="2"/>
      <c r="V72" s="6">
        <f t="shared" si="43"/>
        <v>3.6141965307131635E-4</v>
      </c>
      <c r="W72" s="2"/>
      <c r="X72" s="7">
        <f t="shared" si="44"/>
        <v>-469.44</v>
      </c>
      <c r="Y72" s="2"/>
      <c r="Z72" s="6">
        <f t="shared" si="45"/>
        <v>-1</v>
      </c>
    </row>
    <row r="73" spans="1:26" s="24" customFormat="1" hidden="1" outlineLevel="2" x14ac:dyDescent="0.25">
      <c r="A73" s="27"/>
      <c r="B73" s="11" t="str">
        <f>CONCATENATE("          ", "6248", " - ", "UNIFORMS")</f>
        <v xml:space="preserve">          6248 - UNIFORMS</v>
      </c>
      <c r="C73" s="11"/>
      <c r="D73" s="7"/>
      <c r="E73" s="2"/>
      <c r="F73" s="6">
        <f t="shared" si="38"/>
        <v>0</v>
      </c>
      <c r="G73" s="2"/>
      <c r="H73" s="7"/>
      <c r="I73" s="2"/>
      <c r="J73" s="6">
        <f t="shared" si="39"/>
        <v>0</v>
      </c>
      <c r="K73" s="2"/>
      <c r="L73" s="7">
        <f t="shared" si="40"/>
        <v>0</v>
      </c>
      <c r="M73" s="2"/>
      <c r="N73" s="6">
        <f t="shared" si="41"/>
        <v>0</v>
      </c>
      <c r="O73" s="11"/>
      <c r="P73" s="7"/>
      <c r="Q73" s="2"/>
      <c r="R73" s="6">
        <f t="shared" si="42"/>
        <v>0</v>
      </c>
      <c r="S73" s="2"/>
      <c r="T73" s="7">
        <v>-8059.62</v>
      </c>
      <c r="U73" s="2"/>
      <c r="V73" s="6">
        <f t="shared" si="43"/>
        <v>-6.2050636168341916E-3</v>
      </c>
      <c r="W73" s="2"/>
      <c r="X73" s="7">
        <f t="shared" si="44"/>
        <v>8059.62</v>
      </c>
      <c r="Y73" s="2"/>
      <c r="Z73" s="6">
        <f t="shared" si="45"/>
        <v>-1</v>
      </c>
    </row>
    <row r="74" spans="1:26" s="25" customFormat="1" outlineLevel="1" collapsed="1" x14ac:dyDescent="0.25">
      <c r="A74" s="26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SUM(OSRRefD22_15x_0)</f>
        <v>50</v>
      </c>
      <c r="E74" s="1"/>
      <c r="F74" s="5">
        <f t="shared" ref="F74:F79" si="46">IF(D$12=0,0,D74/D$12)</f>
        <v>0</v>
      </c>
      <c r="G74" s="1"/>
      <c r="H74" s="1">
        <f>SUM(OSRRefH22_15x_0)</f>
        <v>111.15</v>
      </c>
      <c r="I74" s="1"/>
      <c r="J74" s="5">
        <f t="shared" ref="J74:J79" si="47">IF(H$12=0,0,H74/H$12)</f>
        <v>5.8530275555166117E-4</v>
      </c>
      <c r="K74" s="1"/>
      <c r="L74" s="1">
        <f t="shared" ref="L74:L79" si="48">+D74-H74</f>
        <v>-61.150000000000006</v>
      </c>
      <c r="M74" s="1"/>
      <c r="N74" s="5">
        <f t="shared" ref="N74:N79" si="49">IF(H74=0,0,L74/H74)</f>
        <v>-0.55015744489428697</v>
      </c>
      <c r="O74" s="13"/>
      <c r="P74" s="1">
        <f>SUM(OSRRefP22_15x_0)</f>
        <v>579.63</v>
      </c>
      <c r="Q74" s="1"/>
      <c r="R74" s="5">
        <f t="shared" ref="R74:R79" si="50">IF(P$12=0,0,P74/P$12)</f>
        <v>0</v>
      </c>
      <c r="S74" s="1"/>
      <c r="T74" s="1">
        <f>SUM(OSRRefT22_15x_0)</f>
        <v>787.75</v>
      </c>
      <c r="U74" s="1"/>
      <c r="V74" s="5">
        <f t="shared" ref="V74:V79" si="51">IF(T$12=0,0,T74/T$12)</f>
        <v>6.0648502834639026E-4</v>
      </c>
      <c r="W74" s="1"/>
      <c r="X74" s="1">
        <f t="shared" ref="X74:X79" si="52">+P74-T74</f>
        <v>-208.12</v>
      </c>
      <c r="Y74" s="1"/>
      <c r="Z74" s="5">
        <f t="shared" ref="Z74:Z79" si="53">IF(T74=0,0,X74/T74)</f>
        <v>-0.26419549349412885</v>
      </c>
    </row>
    <row r="75" spans="1:26" s="24" customFormat="1" hidden="1" outlineLevel="2" x14ac:dyDescent="0.25">
      <c r="A75" s="27"/>
      <c r="B75" s="11" t="str">
        <f>CONCATENATE("          ", "6309", " - ", "TELEPHONE")</f>
        <v xml:space="preserve">          6309 - TELEPHONE</v>
      </c>
      <c r="C75" s="11"/>
      <c r="D75" s="7">
        <v>50</v>
      </c>
      <c r="E75" s="2"/>
      <c r="F75" s="6">
        <f t="shared" si="46"/>
        <v>0</v>
      </c>
      <c r="G75" s="2"/>
      <c r="H75" s="7">
        <v>111.15</v>
      </c>
      <c r="I75" s="2"/>
      <c r="J75" s="6">
        <f t="shared" si="47"/>
        <v>5.8530275555166117E-4</v>
      </c>
      <c r="K75" s="2"/>
      <c r="L75" s="7">
        <f t="shared" si="48"/>
        <v>-61.150000000000006</v>
      </c>
      <c r="M75" s="2"/>
      <c r="N75" s="6">
        <f t="shared" si="49"/>
        <v>-0.55015744489428697</v>
      </c>
      <c r="O75" s="11"/>
      <c r="P75" s="7">
        <v>579.63</v>
      </c>
      <c r="Q75" s="2"/>
      <c r="R75" s="6">
        <f t="shared" si="50"/>
        <v>0</v>
      </c>
      <c r="S75" s="2"/>
      <c r="T75" s="7">
        <v>787.75</v>
      </c>
      <c r="U75" s="2"/>
      <c r="V75" s="6">
        <f t="shared" si="51"/>
        <v>6.0648502834639026E-4</v>
      </c>
      <c r="W75" s="2"/>
      <c r="X75" s="7">
        <f t="shared" si="52"/>
        <v>-208.12</v>
      </c>
      <c r="Y75" s="2"/>
      <c r="Z75" s="6">
        <f t="shared" si="53"/>
        <v>-0.26419549349412885</v>
      </c>
    </row>
    <row r="76" spans="1:26" s="25" customFormat="1" outlineLevel="1" collapsed="1" x14ac:dyDescent="0.25">
      <c r="A76" s="26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SUM(OSRRefD22_16x_0)</f>
        <v>0</v>
      </c>
      <c r="E76" s="1"/>
      <c r="F76" s="5">
        <f t="shared" si="46"/>
        <v>0</v>
      </c>
      <c r="G76" s="1"/>
      <c r="H76" s="1">
        <f>SUM(OSRRefH22_16x_0)</f>
        <v>0</v>
      </c>
      <c r="I76" s="1"/>
      <c r="J76" s="5">
        <f t="shared" si="47"/>
        <v>0</v>
      </c>
      <c r="K76" s="1"/>
      <c r="L76" s="1">
        <f t="shared" si="48"/>
        <v>0</v>
      </c>
      <c r="M76" s="1"/>
      <c r="N76" s="5">
        <f t="shared" si="49"/>
        <v>0</v>
      </c>
      <c r="O76" s="13"/>
      <c r="P76" s="1">
        <f>SUM(OSRRefP22_16x_0)</f>
        <v>0</v>
      </c>
      <c r="Q76" s="1"/>
      <c r="R76" s="5">
        <f t="shared" si="50"/>
        <v>0</v>
      </c>
      <c r="S76" s="1"/>
      <c r="T76" s="1">
        <f>SUM(OSRRefT22_16x_0)</f>
        <v>1555.78</v>
      </c>
      <c r="U76" s="1"/>
      <c r="V76" s="5">
        <f t="shared" si="51"/>
        <v>1.1977877212323036E-3</v>
      </c>
      <c r="W76" s="1"/>
      <c r="X76" s="1">
        <f t="shared" si="52"/>
        <v>-1555.78</v>
      </c>
      <c r="Y76" s="1"/>
      <c r="Z76" s="5">
        <f t="shared" si="53"/>
        <v>-1</v>
      </c>
    </row>
    <row r="77" spans="1:26" s="24" customFormat="1" hidden="1" outlineLevel="2" x14ac:dyDescent="0.25">
      <c r="A77" s="27"/>
      <c r="B77" s="11" t="str">
        <f>CONCATENATE("          ", "6376", " - ", "TRAINING")</f>
        <v xml:space="preserve">          6376 - TRAINING</v>
      </c>
      <c r="C77" s="11"/>
      <c r="D77" s="7"/>
      <c r="E77" s="2"/>
      <c r="F77" s="6">
        <f t="shared" si="46"/>
        <v>0</v>
      </c>
      <c r="G77" s="2"/>
      <c r="H77" s="7"/>
      <c r="I77" s="2"/>
      <c r="J77" s="6">
        <f t="shared" si="47"/>
        <v>0</v>
      </c>
      <c r="K77" s="2"/>
      <c r="L77" s="7">
        <f t="shared" si="48"/>
        <v>0</v>
      </c>
      <c r="M77" s="2"/>
      <c r="N77" s="6">
        <f t="shared" si="49"/>
        <v>0</v>
      </c>
      <c r="O77" s="11"/>
      <c r="P77" s="7"/>
      <c r="Q77" s="2"/>
      <c r="R77" s="6">
        <f t="shared" si="50"/>
        <v>0</v>
      </c>
      <c r="S77" s="2"/>
      <c r="T77" s="7">
        <v>1555.78</v>
      </c>
      <c r="U77" s="2"/>
      <c r="V77" s="6">
        <f t="shared" si="51"/>
        <v>1.1977877212323036E-3</v>
      </c>
      <c r="W77" s="2"/>
      <c r="X77" s="7">
        <f t="shared" si="52"/>
        <v>-1555.78</v>
      </c>
      <c r="Y77" s="2"/>
      <c r="Z77" s="6">
        <f t="shared" si="53"/>
        <v>-1</v>
      </c>
    </row>
    <row r="78" spans="1:26" s="25" customFormat="1" outlineLevel="1" collapsed="1" x14ac:dyDescent="0.25">
      <c r="A78" s="26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SUM(OSRRefD22_17x_0)</f>
        <v>0</v>
      </c>
      <c r="E78" s="1"/>
      <c r="F78" s="5">
        <f t="shared" si="46"/>
        <v>0</v>
      </c>
      <c r="G78" s="1"/>
      <c r="H78" s="1">
        <f>SUM(OSRRefH22_17x_0)</f>
        <v>0</v>
      </c>
      <c r="I78" s="1"/>
      <c r="J78" s="5">
        <f t="shared" si="47"/>
        <v>0</v>
      </c>
      <c r="K78" s="1"/>
      <c r="L78" s="1">
        <f t="shared" si="48"/>
        <v>0</v>
      </c>
      <c r="M78" s="1"/>
      <c r="N78" s="5">
        <f t="shared" si="49"/>
        <v>0</v>
      </c>
      <c r="O78" s="13"/>
      <c r="P78" s="1">
        <f>SUM(OSRRefP22_17x_0)</f>
        <v>0</v>
      </c>
      <c r="Q78" s="1"/>
      <c r="R78" s="5">
        <f t="shared" si="50"/>
        <v>0</v>
      </c>
      <c r="S78" s="1"/>
      <c r="T78" s="1">
        <f>SUM(OSRRefT22_17x_0)</f>
        <v>79.510000000000005</v>
      </c>
      <c r="U78" s="1"/>
      <c r="V78" s="5">
        <f t="shared" si="51"/>
        <v>6.121437588552396E-5</v>
      </c>
      <c r="W78" s="1"/>
      <c r="X78" s="1">
        <f t="shared" si="52"/>
        <v>-79.510000000000005</v>
      </c>
      <c r="Y78" s="1"/>
      <c r="Z78" s="5">
        <f t="shared" si="53"/>
        <v>-1</v>
      </c>
    </row>
    <row r="79" spans="1:26" s="24" customFormat="1" hidden="1" outlineLevel="2" x14ac:dyDescent="0.25">
      <c r="A79" s="27"/>
      <c r="B79" s="11" t="str">
        <f>CONCATENATE("          ", "6292", " - ", "TRAVEL/CONFERENCE")</f>
        <v xml:space="preserve">          6292 - TRAVEL/CONFERENCE</v>
      </c>
      <c r="C79" s="11"/>
      <c r="D79" s="7"/>
      <c r="E79" s="2"/>
      <c r="F79" s="6">
        <f t="shared" si="46"/>
        <v>0</v>
      </c>
      <c r="G79" s="2"/>
      <c r="H79" s="7"/>
      <c r="I79" s="2"/>
      <c r="J79" s="6">
        <f t="shared" si="47"/>
        <v>0</v>
      </c>
      <c r="K79" s="2"/>
      <c r="L79" s="7">
        <f t="shared" si="48"/>
        <v>0</v>
      </c>
      <c r="M79" s="2"/>
      <c r="N79" s="6">
        <f t="shared" si="49"/>
        <v>0</v>
      </c>
      <c r="O79" s="11"/>
      <c r="P79" s="7"/>
      <c r="Q79" s="2"/>
      <c r="R79" s="6">
        <f t="shared" si="50"/>
        <v>0</v>
      </c>
      <c r="S79" s="2"/>
      <c r="T79" s="7">
        <v>79.510000000000005</v>
      </c>
      <c r="U79" s="2"/>
      <c r="V79" s="6">
        <f t="shared" si="51"/>
        <v>6.121437588552396E-5</v>
      </c>
      <c r="W79" s="2"/>
      <c r="X79" s="7">
        <f t="shared" si="52"/>
        <v>-79.510000000000005</v>
      </c>
      <c r="Y79" s="2"/>
      <c r="Z79" s="6">
        <f t="shared" si="53"/>
        <v>-1</v>
      </c>
    </row>
    <row r="80" spans="1:26" s="55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9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3</v>
      </c>
      <c r="C83" s="28"/>
      <c r="D83" s="20">
        <f>+D21-D23+D81</f>
        <v>-37830.829999999994</v>
      </c>
      <c r="E83" s="14"/>
      <c r="F83" s="21">
        <f>IF(D$12=0,0,D83/D$12)</f>
        <v>0</v>
      </c>
      <c r="G83" s="14"/>
      <c r="H83" s="20">
        <f>+H21-H23+H81</f>
        <v>29535.710000000006</v>
      </c>
      <c r="I83" s="14"/>
      <c r="J83" s="21">
        <f>IF(H$12=0,0,H83/H$12)</f>
        <v>0.15553155600697038</v>
      </c>
      <c r="K83" s="15"/>
      <c r="L83" s="20">
        <f>+D83-H83</f>
        <v>-67366.540000000008</v>
      </c>
      <c r="M83" s="15"/>
      <c r="N83" s="21">
        <f>IF(H83=0,0,L83/H83)</f>
        <v>-2.2808505365200293</v>
      </c>
      <c r="O83" s="29"/>
      <c r="P83" s="20">
        <f>+P21-P23+P81</f>
        <v>-248870.62999999998</v>
      </c>
      <c r="Q83" s="14"/>
      <c r="R83" s="21">
        <f>IF(P$12=0,0,P83/P$12)</f>
        <v>0</v>
      </c>
      <c r="S83" s="14"/>
      <c r="T83" s="20">
        <f>+T21-T23+T81</f>
        <v>254712.30000000016</v>
      </c>
      <c r="U83" s="14"/>
      <c r="V83" s="21">
        <f>IF(T$12=0,0,T83/T$12)</f>
        <v>0.19610180448832037</v>
      </c>
      <c r="W83" s="15"/>
      <c r="X83" s="20">
        <f>+P83-T83</f>
        <v>-503582.93000000017</v>
      </c>
      <c r="Y83" s="15"/>
      <c r="Z83" s="21">
        <f>IF(T83=0,0,X83/T83)</f>
        <v>-1.9770656148132613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/>
      <c r="E85" s="4"/>
      <c r="F85" s="12">
        <f>IF(D$12=0,0,D85/D$12)</f>
        <v>0</v>
      </c>
      <c r="G85" s="4"/>
      <c r="H85" s="4">
        <v>22855.759999999998</v>
      </c>
      <c r="I85" s="4"/>
      <c r="J85" s="12">
        <f>IF(H$12=0,0,H85/H$12)</f>
        <v>0.12035572926880282</v>
      </c>
      <c r="K85" s="4"/>
      <c r="L85" s="4">
        <f>+D85-H85</f>
        <v>-22855.759999999998</v>
      </c>
      <c r="M85" s="4"/>
      <c r="N85" s="12">
        <f>IF(H85=0,0,L85/H85)</f>
        <v>-1</v>
      </c>
      <c r="O85" s="10"/>
      <c r="P85" s="4">
        <v>0</v>
      </c>
      <c r="Q85" s="4"/>
      <c r="R85" s="12">
        <f>IF(P$12=0,0,P85/P$12)</f>
        <v>0</v>
      </c>
      <c r="S85" s="4"/>
      <c r="T85" s="4">
        <v>140288.83000000002</v>
      </c>
      <c r="U85" s="4"/>
      <c r="V85" s="12">
        <f>IF(T$12=0,0,T85/T$12)</f>
        <v>0.10800771188731442</v>
      </c>
      <c r="W85" s="4"/>
      <c r="X85" s="4">
        <f>+P85-T85</f>
        <v>-140288.83000000002</v>
      </c>
      <c r="Y85" s="4"/>
      <c r="Z85" s="12">
        <f>IF(T85=0,0,X85/T85)</f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4</v>
      </c>
      <c r="C87" s="28"/>
      <c r="D87" s="33">
        <f>+D83-D85</f>
        <v>-37830.829999999994</v>
      </c>
      <c r="E87" s="14"/>
      <c r="F87" s="34">
        <f>IF(D$12=0,0,D87/D$12)</f>
        <v>0</v>
      </c>
      <c r="G87" s="14"/>
      <c r="H87" s="33">
        <f>+H83-H85</f>
        <v>6679.950000000008</v>
      </c>
      <c r="I87" s="14"/>
      <c r="J87" s="34">
        <f>IF(H$12=0,0,H87/H$12)</f>
        <v>3.5175826738167555E-2</v>
      </c>
      <c r="K87" s="15"/>
      <c r="L87" s="33">
        <f>D87-H87</f>
        <v>-44510.78</v>
      </c>
      <c r="M87" s="15"/>
      <c r="N87" s="34">
        <f>IF(H87=0,0,L87/H87)</f>
        <v>-6.663340294463274</v>
      </c>
      <c r="O87" s="29"/>
      <c r="P87" s="33">
        <f>+P83-P85</f>
        <v>-248870.62999999998</v>
      </c>
      <c r="Q87" s="14"/>
      <c r="R87" s="34">
        <f>IF(P$12=0,0,P87/P$12)</f>
        <v>0</v>
      </c>
      <c r="S87" s="14"/>
      <c r="T87" s="33">
        <f>+T83-T85</f>
        <v>114423.47000000015</v>
      </c>
      <c r="U87" s="14"/>
      <c r="V87" s="34">
        <f>IF(T$12=0,0,T87/T$12)</f>
        <v>8.8094092601005938E-2</v>
      </c>
      <c r="W87" s="15"/>
      <c r="X87" s="33">
        <f>P87-T87</f>
        <v>-363294.10000000009</v>
      </c>
      <c r="Y87" s="15"/>
      <c r="Z87" s="34">
        <f>IF(T87=0,0,X87/T87)</f>
        <v>-3.1749963534579018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5</v>
      </c>
      <c r="C90" s="28"/>
      <c r="D90" s="30">
        <f>SUM(D87:D89)</f>
        <v>-37830.829999999994</v>
      </c>
      <c r="E90" s="14"/>
      <c r="F90" s="32">
        <f>IF(D$12=0,0,D90/D$12)</f>
        <v>0</v>
      </c>
      <c r="G90" s="14"/>
      <c r="H90" s="30">
        <f>SUM(H87:H89)</f>
        <v>6679.950000000008</v>
      </c>
      <c r="I90" s="14"/>
      <c r="J90" s="32">
        <f>IF(H$12=0,0,H90/H$12)</f>
        <v>3.5175826738167555E-2</v>
      </c>
      <c r="K90" s="15"/>
      <c r="L90" s="30">
        <f>+D90-H90</f>
        <v>-44510.78</v>
      </c>
      <c r="M90" s="15"/>
      <c r="N90" s="32">
        <f>IF(H90=0,0,L90/H90)</f>
        <v>-6.663340294463274</v>
      </c>
      <c r="O90" s="29"/>
      <c r="P90" s="30">
        <f>SUM(P87:P89)</f>
        <v>-248870.62999999998</v>
      </c>
      <c r="Q90" s="14"/>
      <c r="R90" s="32">
        <f>IF(P$12=0,0,P90/P$12)</f>
        <v>0</v>
      </c>
      <c r="S90" s="14"/>
      <c r="T90" s="30">
        <f>SUM(T87:T89)</f>
        <v>114423.47000000015</v>
      </c>
      <c r="U90" s="14"/>
      <c r="V90" s="32">
        <f>IF(T$12=0,0,T90/T$12)</f>
        <v>8.8094092601005938E-2</v>
      </c>
      <c r="W90" s="15"/>
      <c r="X90" s="30">
        <f>+P90-T90</f>
        <v>-363294.10000000009</v>
      </c>
      <c r="Y90" s="15"/>
      <c r="Z90" s="32">
        <f>IF(T90=0,0,X90/T90)</f>
        <v>-3.1749963534579018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8">
        <v>44209.522252314811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61" t="s">
        <v>313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7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7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">
        <v>296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13225</v>
      </c>
      <c r="E12" s="4"/>
      <c r="F12" s="12"/>
      <c r="G12" s="4"/>
      <c r="H12" s="4">
        <f>SUM(OSRRefH13x_0)</f>
        <v>21350</v>
      </c>
      <c r="I12" s="4"/>
      <c r="J12" s="12"/>
      <c r="K12" s="4"/>
      <c r="L12" s="4">
        <f t="shared" ref="L12:L13" si="0">+D12-H12</f>
        <v>-8125</v>
      </c>
      <c r="M12" s="4"/>
      <c r="N12" s="12">
        <f t="shared" ref="N12:N13" si="1">IF(H12=0,0,L12/H12)</f>
        <v>-0.38056206088992972</v>
      </c>
      <c r="O12" s="10"/>
      <c r="P12" s="4">
        <f>SUM(OSRRefP13x_0)</f>
        <v>335672</v>
      </c>
      <c r="Q12" s="4"/>
      <c r="R12" s="12"/>
      <c r="S12" s="4"/>
      <c r="T12" s="4">
        <f>SUM(OSRRefT13x_0)</f>
        <v>166801</v>
      </c>
      <c r="U12" s="4"/>
      <c r="V12" s="12"/>
      <c r="W12" s="4"/>
      <c r="X12" s="4">
        <f t="shared" ref="X12:X13" si="2">+P12-T12</f>
        <v>168871</v>
      </c>
      <c r="Y12" s="4"/>
      <c r="Z12" s="12">
        <f t="shared" ref="Z12:Z13" si="3">IF(T12=0,0,X12/T12)</f>
        <v>1.0124099975419811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--13225</f>
        <v>13225</v>
      </c>
      <c r="E13" s="2"/>
      <c r="F13" s="19"/>
      <c r="G13" s="2"/>
      <c r="H13" s="2">
        <f>--21350</f>
        <v>21350</v>
      </c>
      <c r="I13" s="2"/>
      <c r="J13" s="19"/>
      <c r="K13" s="2"/>
      <c r="L13" s="2">
        <f t="shared" si="0"/>
        <v>-8125</v>
      </c>
      <c r="M13" s="2"/>
      <c r="N13" s="19">
        <f t="shared" si="1"/>
        <v>-0.38056206088992972</v>
      </c>
      <c r="O13" s="11"/>
      <c r="P13" s="2">
        <f>--335672</f>
        <v>335672</v>
      </c>
      <c r="Q13" s="2"/>
      <c r="R13" s="19"/>
      <c r="S13" s="2"/>
      <c r="T13" s="2">
        <f>--166801</f>
        <v>166801</v>
      </c>
      <c r="U13" s="2"/>
      <c r="V13" s="19"/>
      <c r="W13" s="2"/>
      <c r="X13" s="2">
        <f t="shared" si="2"/>
        <v>168871</v>
      </c>
      <c r="Y13" s="2"/>
      <c r="Z13" s="19">
        <f t="shared" si="3"/>
        <v>1.0124099975419811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D12-D15</f>
        <v>13225</v>
      </c>
      <c r="E17" s="14"/>
      <c r="F17" s="21">
        <f>IF(D$12=0,0,D17/D$12)</f>
        <v>1</v>
      </c>
      <c r="G17" s="14"/>
      <c r="H17" s="20">
        <f>H12-H15</f>
        <v>21350</v>
      </c>
      <c r="I17" s="14"/>
      <c r="J17" s="21">
        <f>IF(H$12=0,0,H17/H$12)</f>
        <v>1</v>
      </c>
      <c r="K17" s="15"/>
      <c r="L17" s="20">
        <f>+D17-H17</f>
        <v>-8125</v>
      </c>
      <c r="M17" s="15"/>
      <c r="N17" s="21">
        <f>IF(H17=0,0,L17/H17)</f>
        <v>-0.38056206088992972</v>
      </c>
      <c r="O17" s="29"/>
      <c r="P17" s="20">
        <f>P12-P15</f>
        <v>335672</v>
      </c>
      <c r="Q17" s="14"/>
      <c r="R17" s="21">
        <f>IF(P$12=0,0,P17/P$12)</f>
        <v>1</v>
      </c>
      <c r="S17" s="14"/>
      <c r="T17" s="20">
        <f>T12-T15</f>
        <v>166801</v>
      </c>
      <c r="U17" s="14"/>
      <c r="V17" s="21">
        <f>IF(T$12=0,0,T17/T$12)</f>
        <v>1</v>
      </c>
      <c r="W17" s="15"/>
      <c r="X17" s="20">
        <f>+P17-T17</f>
        <v>168871</v>
      </c>
      <c r="Y17" s="15"/>
      <c r="Z17" s="21">
        <f>IF(T17=0,0,X17/T17)</f>
        <v>1.0124099975419811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2">
        <f>SUM(OSRRefD22x_0)</f>
        <v>20530.420000000002</v>
      </c>
      <c r="E19" s="22"/>
      <c r="F19" s="36">
        <f t="shared" ref="F19:F29" si="4">IF(D$12=0,0,D19/D$12)</f>
        <v>1.5523947069943291</v>
      </c>
      <c r="G19" s="22"/>
      <c r="H19" s="22">
        <f>SUM(OSRRefH22x_0)</f>
        <v>20034.310000000001</v>
      </c>
      <c r="I19" s="22"/>
      <c r="J19" s="36">
        <f t="shared" ref="J19:J29" si="5">IF(H$12=0,0,H19/H$12)</f>
        <v>0.93837517564402817</v>
      </c>
      <c r="K19" s="4"/>
      <c r="L19" s="22">
        <f t="shared" ref="L19:L29" si="6">+D19-H19</f>
        <v>496.11000000000058</v>
      </c>
      <c r="M19" s="4"/>
      <c r="N19" s="36">
        <f t="shared" ref="N19:N29" si="7">IF(H19=0,0,L19/H19)</f>
        <v>2.4763019040835475E-2</v>
      </c>
      <c r="O19" s="10"/>
      <c r="P19" s="22">
        <f>SUM(OSRRefP22x_0)</f>
        <v>285695.19</v>
      </c>
      <c r="Q19" s="22"/>
      <c r="R19" s="36">
        <f t="shared" ref="R19:R29" si="8">IF(P$12=0,0,P19/P$12)</f>
        <v>0.85111415310183747</v>
      </c>
      <c r="S19" s="22"/>
      <c r="T19" s="22">
        <f>SUM(OSRRefT22x_0)</f>
        <v>165274.94999999995</v>
      </c>
      <c r="U19" s="22"/>
      <c r="V19" s="36">
        <f t="shared" ref="V19:V29" si="9">IF(T$12=0,0,T19/T$12)</f>
        <v>0.99085107403432804</v>
      </c>
      <c r="W19" s="4"/>
      <c r="X19" s="22">
        <f t="shared" ref="X19:X29" si="10">+P19-T19</f>
        <v>120420.24000000005</v>
      </c>
      <c r="Y19" s="4"/>
      <c r="Z19" s="36">
        <f t="shared" ref="Z19:Z29" si="11">IF(T19=0,0,X19/T19)</f>
        <v>0.72860551462880541</v>
      </c>
    </row>
    <row r="20" spans="1:26" s="25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3872.88</v>
      </c>
      <c r="E20" s="1"/>
      <c r="F20" s="5">
        <f t="shared" si="4"/>
        <v>0.29284536862003779</v>
      </c>
      <c r="G20" s="1"/>
      <c r="H20" s="1">
        <f>SUM(OSRRefH22_0x_0)</f>
        <v>3916.68</v>
      </c>
      <c r="I20" s="1"/>
      <c r="J20" s="5">
        <f t="shared" si="5"/>
        <v>0.1834510538641686</v>
      </c>
      <c r="K20" s="1"/>
      <c r="L20" s="1">
        <f t="shared" si="6"/>
        <v>-43.799999999999727</v>
      </c>
      <c r="M20" s="1"/>
      <c r="N20" s="5">
        <f t="shared" si="7"/>
        <v>-1.1182940653818982E-2</v>
      </c>
      <c r="O20" s="13"/>
      <c r="P20" s="1">
        <f>SUM(OSRRefP22_0x_0)</f>
        <v>25245.63</v>
      </c>
      <c r="Q20" s="1"/>
      <c r="R20" s="5">
        <f t="shared" si="8"/>
        <v>7.520922209776211E-2</v>
      </c>
      <c r="S20" s="1"/>
      <c r="T20" s="1">
        <f>SUM(OSRRefT22_0x_0)</f>
        <v>27100.460000000003</v>
      </c>
      <c r="U20" s="1"/>
      <c r="V20" s="5">
        <f t="shared" si="9"/>
        <v>0.16247180772297529</v>
      </c>
      <c r="W20" s="1"/>
      <c r="X20" s="1">
        <f t="shared" si="10"/>
        <v>-1854.8300000000017</v>
      </c>
      <c r="Y20" s="1"/>
      <c r="Z20" s="5">
        <f t="shared" si="11"/>
        <v>-6.8442749680263787E-2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7">
        <v>938.94</v>
      </c>
      <c r="E21" s="2"/>
      <c r="F21" s="6">
        <f t="shared" si="4"/>
        <v>7.0997353497164462E-2</v>
      </c>
      <c r="G21" s="2"/>
      <c r="H21" s="7">
        <v>907.16</v>
      </c>
      <c r="I21" s="2"/>
      <c r="J21" s="6">
        <f t="shared" si="5"/>
        <v>4.2489929742388757E-2</v>
      </c>
      <c r="K21" s="2"/>
      <c r="L21" s="7">
        <f t="shared" si="6"/>
        <v>31.780000000000086</v>
      </c>
      <c r="M21" s="2"/>
      <c r="N21" s="6">
        <f t="shared" si="7"/>
        <v>3.5032408836368545E-2</v>
      </c>
      <c r="O21" s="11"/>
      <c r="P21" s="7">
        <v>6290.87</v>
      </c>
      <c r="Q21" s="2"/>
      <c r="R21" s="6">
        <f t="shared" si="8"/>
        <v>1.8741122286041134E-2</v>
      </c>
      <c r="S21" s="2"/>
      <c r="T21" s="7">
        <v>6796.74</v>
      </c>
      <c r="U21" s="2"/>
      <c r="V21" s="6">
        <f t="shared" si="9"/>
        <v>4.0747597436466207E-2</v>
      </c>
      <c r="W21" s="2"/>
      <c r="X21" s="7">
        <f t="shared" si="10"/>
        <v>-505.86999999999989</v>
      </c>
      <c r="Y21" s="2"/>
      <c r="Z21" s="6">
        <f t="shared" si="11"/>
        <v>-7.442832887531374E-2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171.99</v>
      </c>
      <c r="E22" s="2"/>
      <c r="F22" s="6">
        <f t="shared" si="4"/>
        <v>1.300491493383743E-2</v>
      </c>
      <c r="G22" s="2"/>
      <c r="H22" s="7">
        <v>70.650000000000006</v>
      </c>
      <c r="I22" s="2"/>
      <c r="J22" s="6">
        <f t="shared" si="5"/>
        <v>3.3091334894613587E-3</v>
      </c>
      <c r="K22" s="2"/>
      <c r="L22" s="7">
        <f t="shared" si="6"/>
        <v>101.34</v>
      </c>
      <c r="M22" s="2"/>
      <c r="N22" s="6">
        <f t="shared" si="7"/>
        <v>1.4343949044585986</v>
      </c>
      <c r="O22" s="11"/>
      <c r="P22" s="7">
        <v>667.52</v>
      </c>
      <c r="Q22" s="2"/>
      <c r="R22" s="6">
        <f t="shared" si="8"/>
        <v>1.9886079267856715E-3</v>
      </c>
      <c r="S22" s="2"/>
      <c r="T22" s="7">
        <v>287.29000000000002</v>
      </c>
      <c r="U22" s="2"/>
      <c r="V22" s="6">
        <f t="shared" si="9"/>
        <v>1.7223517844617239E-3</v>
      </c>
      <c r="W22" s="2"/>
      <c r="X22" s="7">
        <f t="shared" si="10"/>
        <v>380.22999999999996</v>
      </c>
      <c r="Y22" s="2"/>
      <c r="Z22" s="6">
        <f t="shared" si="11"/>
        <v>1.3235058651536773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7">
        <v>1230.45</v>
      </c>
      <c r="E23" s="2"/>
      <c r="F23" s="6">
        <f t="shared" si="4"/>
        <v>9.3039697542533079E-2</v>
      </c>
      <c r="G23" s="2"/>
      <c r="H23" s="7">
        <v>1243.31</v>
      </c>
      <c r="I23" s="2"/>
      <c r="J23" s="6">
        <f t="shared" si="5"/>
        <v>5.8234660421545667E-2</v>
      </c>
      <c r="K23" s="2"/>
      <c r="L23" s="7">
        <f t="shared" si="6"/>
        <v>-12.8599999999999</v>
      </c>
      <c r="M23" s="2"/>
      <c r="N23" s="6">
        <f t="shared" si="7"/>
        <v>-1.0343357650143489E-2</v>
      </c>
      <c r="O23" s="11"/>
      <c r="P23" s="7">
        <v>7403</v>
      </c>
      <c r="Q23" s="2"/>
      <c r="R23" s="6">
        <f t="shared" si="8"/>
        <v>2.2054267260897542E-2</v>
      </c>
      <c r="S23" s="2"/>
      <c r="T23" s="7">
        <v>7459.86</v>
      </c>
      <c r="U23" s="2"/>
      <c r="V23" s="6">
        <f t="shared" si="9"/>
        <v>4.4723113170784347E-2</v>
      </c>
      <c r="W23" s="2"/>
      <c r="X23" s="7">
        <f t="shared" si="10"/>
        <v>-56.859999999999673</v>
      </c>
      <c r="Y23" s="2"/>
      <c r="Z23" s="6">
        <f t="shared" si="11"/>
        <v>-7.622126956806116E-3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/>
      <c r="E24" s="2"/>
      <c r="F24" s="6">
        <f t="shared" si="4"/>
        <v>0</v>
      </c>
      <c r="G24" s="2"/>
      <c r="H24" s="7">
        <v>54.02</v>
      </c>
      <c r="I24" s="2"/>
      <c r="J24" s="6">
        <f t="shared" si="5"/>
        <v>2.5302107728337239E-3</v>
      </c>
      <c r="K24" s="2"/>
      <c r="L24" s="7">
        <f t="shared" si="6"/>
        <v>-54.02</v>
      </c>
      <c r="M24" s="2"/>
      <c r="N24" s="6">
        <f t="shared" si="7"/>
        <v>-1</v>
      </c>
      <c r="O24" s="11"/>
      <c r="P24" s="7">
        <v>214.6</v>
      </c>
      <c r="Q24" s="2"/>
      <c r="R24" s="6">
        <f t="shared" si="8"/>
        <v>6.3931456898400822E-4</v>
      </c>
      <c r="S24" s="2"/>
      <c r="T24" s="7">
        <v>288.94</v>
      </c>
      <c r="U24" s="2"/>
      <c r="V24" s="6">
        <f t="shared" si="9"/>
        <v>1.7322438114879407E-3</v>
      </c>
      <c r="W24" s="2"/>
      <c r="X24" s="7">
        <f t="shared" si="10"/>
        <v>-74.34</v>
      </c>
      <c r="Y24" s="2"/>
      <c r="Z24" s="6">
        <f t="shared" si="11"/>
        <v>-0.25728524953277498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4.8419659735349715E-2</v>
      </c>
      <c r="G25" s="2"/>
      <c r="H25" s="7">
        <v>639.47</v>
      </c>
      <c r="I25" s="2"/>
      <c r="J25" s="6">
        <f t="shared" si="5"/>
        <v>2.9951756440281033E-2</v>
      </c>
      <c r="K25" s="2"/>
      <c r="L25" s="7">
        <f t="shared" si="6"/>
        <v>0.87999999999999545</v>
      </c>
      <c r="M25" s="2"/>
      <c r="N25" s="6">
        <f t="shared" si="7"/>
        <v>1.3761396156191776E-3</v>
      </c>
      <c r="O25" s="11"/>
      <c r="P25" s="7">
        <v>4819.7</v>
      </c>
      <c r="Q25" s="2"/>
      <c r="R25" s="6">
        <f t="shared" si="8"/>
        <v>1.4358361734073738E-2</v>
      </c>
      <c r="S25" s="2"/>
      <c r="T25" s="7">
        <v>4607.24</v>
      </c>
      <c r="U25" s="2"/>
      <c r="V25" s="6">
        <f t="shared" si="9"/>
        <v>2.7621177331071157E-2</v>
      </c>
      <c r="W25" s="2"/>
      <c r="X25" s="7">
        <f t="shared" si="10"/>
        <v>212.46000000000004</v>
      </c>
      <c r="Y25" s="2"/>
      <c r="Z25" s="6">
        <f t="shared" si="11"/>
        <v>4.6114376503069092E-2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71.87</v>
      </c>
      <c r="E26" s="2"/>
      <c r="F26" s="6">
        <f t="shared" si="4"/>
        <v>5.434404536862004E-3</v>
      </c>
      <c r="G26" s="2"/>
      <c r="H26" s="7"/>
      <c r="I26" s="2"/>
      <c r="J26" s="6">
        <f t="shared" si="5"/>
        <v>0</v>
      </c>
      <c r="K26" s="2"/>
      <c r="L26" s="7">
        <f t="shared" si="6"/>
        <v>71.87</v>
      </c>
      <c r="M26" s="2"/>
      <c r="N26" s="6">
        <f t="shared" si="7"/>
        <v>0</v>
      </c>
      <c r="O26" s="11"/>
      <c r="P26" s="7">
        <v>524.61</v>
      </c>
      <c r="Q26" s="2"/>
      <c r="R26" s="6">
        <f t="shared" si="8"/>
        <v>1.5628649395838796E-3</v>
      </c>
      <c r="S26" s="2"/>
      <c r="T26" s="7"/>
      <c r="U26" s="2"/>
      <c r="V26" s="6">
        <f t="shared" si="9"/>
        <v>0</v>
      </c>
      <c r="W26" s="2"/>
      <c r="X26" s="7">
        <f t="shared" si="10"/>
        <v>524.61</v>
      </c>
      <c r="Y26" s="2"/>
      <c r="Z26" s="6">
        <f t="shared" si="11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7">
        <v>520.02</v>
      </c>
      <c r="E27" s="2"/>
      <c r="F27" s="6">
        <f t="shared" si="4"/>
        <v>3.9320982986767485E-2</v>
      </c>
      <c r="G27" s="2"/>
      <c r="H27" s="7">
        <v>577.94000000000005</v>
      </c>
      <c r="I27" s="2"/>
      <c r="J27" s="6">
        <f t="shared" si="5"/>
        <v>2.7069789227166279E-2</v>
      </c>
      <c r="K27" s="2"/>
      <c r="L27" s="7">
        <f t="shared" si="6"/>
        <v>-57.920000000000073</v>
      </c>
      <c r="M27" s="2"/>
      <c r="N27" s="6">
        <f t="shared" si="7"/>
        <v>-0.10021801571097358</v>
      </c>
      <c r="O27" s="11"/>
      <c r="P27" s="7">
        <v>3380.13</v>
      </c>
      <c r="Q27" s="2"/>
      <c r="R27" s="6">
        <f t="shared" si="8"/>
        <v>1.0069740699254034E-2</v>
      </c>
      <c r="S27" s="2"/>
      <c r="T27" s="7">
        <v>4492.88</v>
      </c>
      <c r="U27" s="2"/>
      <c r="V27" s="6">
        <f t="shared" si="9"/>
        <v>2.6935569930635908E-2</v>
      </c>
      <c r="W27" s="2"/>
      <c r="X27" s="7">
        <f t="shared" si="10"/>
        <v>-1112.75</v>
      </c>
      <c r="Y27" s="2"/>
      <c r="Z27" s="6">
        <f t="shared" si="11"/>
        <v>-0.24766964619575862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7">
        <v>299.26</v>
      </c>
      <c r="E28" s="2"/>
      <c r="F28" s="6">
        <f t="shared" si="4"/>
        <v>2.2628355387523627E-2</v>
      </c>
      <c r="G28" s="2"/>
      <c r="H28" s="7">
        <v>288.57</v>
      </c>
      <c r="I28" s="2"/>
      <c r="J28" s="6">
        <f t="shared" si="5"/>
        <v>1.3516159250585479E-2</v>
      </c>
      <c r="K28" s="2"/>
      <c r="L28" s="7">
        <f t="shared" si="6"/>
        <v>10.689999999999998</v>
      </c>
      <c r="M28" s="2"/>
      <c r="N28" s="6">
        <f t="shared" si="7"/>
        <v>3.7044737845236854E-2</v>
      </c>
      <c r="O28" s="11"/>
      <c r="P28" s="7">
        <v>1945.2</v>
      </c>
      <c r="Q28" s="2"/>
      <c r="R28" s="6">
        <f t="shared" si="8"/>
        <v>5.7949426821420911E-3</v>
      </c>
      <c r="S28" s="2"/>
      <c r="T28" s="7">
        <v>2265.6999999999998</v>
      </c>
      <c r="U28" s="2"/>
      <c r="V28" s="6">
        <f t="shared" si="9"/>
        <v>1.3583251898969429E-2</v>
      </c>
      <c r="W28" s="2"/>
      <c r="X28" s="7">
        <f t="shared" si="10"/>
        <v>-320.49999999999977</v>
      </c>
      <c r="Y28" s="2"/>
      <c r="Z28" s="6">
        <f t="shared" si="11"/>
        <v>-0.14145738623824858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7"/>
      <c r="E29" s="2"/>
      <c r="F29" s="6">
        <f t="shared" si="4"/>
        <v>0</v>
      </c>
      <c r="G29" s="2"/>
      <c r="H29" s="7">
        <v>135.56</v>
      </c>
      <c r="I29" s="2"/>
      <c r="J29" s="6">
        <f t="shared" si="5"/>
        <v>6.3494145199063231E-3</v>
      </c>
      <c r="K29" s="2"/>
      <c r="L29" s="7">
        <f t="shared" si="6"/>
        <v>-135.56</v>
      </c>
      <c r="M29" s="2"/>
      <c r="N29" s="6">
        <f t="shared" si="7"/>
        <v>-1</v>
      </c>
      <c r="O29" s="11"/>
      <c r="P29" s="7"/>
      <c r="Q29" s="2"/>
      <c r="R29" s="6">
        <f t="shared" si="8"/>
        <v>0</v>
      </c>
      <c r="S29" s="2"/>
      <c r="T29" s="7">
        <v>901.81</v>
      </c>
      <c r="U29" s="2"/>
      <c r="V29" s="6">
        <f t="shared" si="9"/>
        <v>5.4065023590985665E-3</v>
      </c>
      <c r="W29" s="2"/>
      <c r="X29" s="7">
        <f t="shared" si="10"/>
        <v>-901.81</v>
      </c>
      <c r="Y29" s="2"/>
      <c r="Z29" s="6">
        <f t="shared" si="11"/>
        <v>-1</v>
      </c>
    </row>
    <row r="30" spans="1:26" s="25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12559.970000000001</v>
      </c>
      <c r="E30" s="1"/>
      <c r="F30" s="5">
        <f t="shared" ref="F30:F35" si="12">IF(D$12=0,0,D30/D$12)</f>
        <v>0.94971417769376187</v>
      </c>
      <c r="G30" s="1"/>
      <c r="H30" s="1">
        <f>SUM(OSRRefH22_1x_0)</f>
        <v>12932.08</v>
      </c>
      <c r="I30" s="1"/>
      <c r="J30" s="5">
        <f t="shared" ref="J30:J35" si="13">IF(H$12=0,0,H30/H$12)</f>
        <v>0.6057180327868853</v>
      </c>
      <c r="K30" s="1"/>
      <c r="L30" s="1">
        <f t="shared" ref="L30:L35" si="14">+D30-H30</f>
        <v>-372.10999999999876</v>
      </c>
      <c r="M30" s="1"/>
      <c r="N30" s="5">
        <f t="shared" ref="N30:N35" si="15">IF(H30=0,0,L30/H30)</f>
        <v>-2.8774180178285223E-2</v>
      </c>
      <c r="O30" s="13"/>
      <c r="P30" s="1">
        <f>SUM(OSRRefP22_1x_0)</f>
        <v>85215.37</v>
      </c>
      <c r="Q30" s="1"/>
      <c r="R30" s="5">
        <f t="shared" ref="R30:R35" si="16">IF(P$12=0,0,P30/P$12)</f>
        <v>0.2538649932076551</v>
      </c>
      <c r="S30" s="1"/>
      <c r="T30" s="1">
        <f>SUM(OSRRefT22_1x_0)</f>
        <v>100031.45</v>
      </c>
      <c r="U30" s="1"/>
      <c r="V30" s="5">
        <f t="shared" ref="V30:V35" si="17">IF(T$12=0,0,T30/T$12)</f>
        <v>0.59970533749797661</v>
      </c>
      <c r="W30" s="1"/>
      <c r="X30" s="1">
        <f t="shared" ref="X30:X35" si="18">+P30-T30</f>
        <v>-14816.080000000002</v>
      </c>
      <c r="Y30" s="1"/>
      <c r="Z30" s="5">
        <f t="shared" ref="Z30:Z35" si="19">IF(T30=0,0,X30/T30)</f>
        <v>-0.14811421807841435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>
        <v>3785.15</v>
      </c>
      <c r="E31" s="2"/>
      <c r="F31" s="6">
        <f t="shared" si="12"/>
        <v>0.2862117202268431</v>
      </c>
      <c r="G31" s="2"/>
      <c r="H31" s="7"/>
      <c r="I31" s="2"/>
      <c r="J31" s="6">
        <f t="shared" si="13"/>
        <v>0</v>
      </c>
      <c r="K31" s="2"/>
      <c r="L31" s="7">
        <f t="shared" si="14"/>
        <v>3785.15</v>
      </c>
      <c r="M31" s="2"/>
      <c r="N31" s="6">
        <f t="shared" si="15"/>
        <v>0</v>
      </c>
      <c r="O31" s="11"/>
      <c r="P31" s="7">
        <v>25654.89</v>
      </c>
      <c r="Q31" s="2"/>
      <c r="R31" s="6">
        <f t="shared" si="16"/>
        <v>7.6428448008770467E-2</v>
      </c>
      <c r="S31" s="2"/>
      <c r="T31" s="7"/>
      <c r="U31" s="2"/>
      <c r="V31" s="6">
        <f t="shared" si="17"/>
        <v>0</v>
      </c>
      <c r="W31" s="2"/>
      <c r="X31" s="7">
        <f t="shared" si="18"/>
        <v>25654.89</v>
      </c>
      <c r="Y31" s="2"/>
      <c r="Z31" s="6">
        <f t="shared" si="19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7">
        <v>1939.95</v>
      </c>
      <c r="E32" s="2"/>
      <c r="F32" s="6">
        <f t="shared" si="12"/>
        <v>0.14668809073724007</v>
      </c>
      <c r="G32" s="2"/>
      <c r="H32" s="7">
        <v>5318</v>
      </c>
      <c r="I32" s="2"/>
      <c r="J32" s="6">
        <f t="shared" si="13"/>
        <v>0.24908665105386416</v>
      </c>
      <c r="K32" s="2"/>
      <c r="L32" s="7">
        <f t="shared" si="14"/>
        <v>-3378.05</v>
      </c>
      <c r="M32" s="2"/>
      <c r="N32" s="6">
        <f t="shared" si="15"/>
        <v>-0.63521060549078601</v>
      </c>
      <c r="O32" s="11"/>
      <c r="P32" s="7">
        <v>13693.79</v>
      </c>
      <c r="Q32" s="2"/>
      <c r="R32" s="6">
        <f t="shared" si="16"/>
        <v>4.0795151219047171E-2</v>
      </c>
      <c r="S32" s="2"/>
      <c r="T32" s="7">
        <v>34499.879999999997</v>
      </c>
      <c r="U32" s="2"/>
      <c r="V32" s="6">
        <f t="shared" si="17"/>
        <v>0.20683257294620536</v>
      </c>
      <c r="W32" s="2"/>
      <c r="X32" s="7">
        <f t="shared" si="18"/>
        <v>-20806.089999999997</v>
      </c>
      <c r="Y32" s="2"/>
      <c r="Z32" s="6">
        <f t="shared" si="19"/>
        <v>-0.60307717012349027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7">
        <v>5819.39</v>
      </c>
      <c r="E33" s="2"/>
      <c r="F33" s="6">
        <f t="shared" si="12"/>
        <v>0.44002948960302463</v>
      </c>
      <c r="G33" s="2"/>
      <c r="H33" s="7">
        <v>5841.27</v>
      </c>
      <c r="I33" s="2"/>
      <c r="J33" s="6">
        <f t="shared" si="13"/>
        <v>0.27359578454332556</v>
      </c>
      <c r="K33" s="2"/>
      <c r="L33" s="7">
        <f t="shared" si="14"/>
        <v>-21.880000000000109</v>
      </c>
      <c r="M33" s="2"/>
      <c r="N33" s="6">
        <f t="shared" si="15"/>
        <v>-3.7457607677782584E-3</v>
      </c>
      <c r="O33" s="11"/>
      <c r="P33" s="7">
        <v>39166.15</v>
      </c>
      <c r="Q33" s="2"/>
      <c r="R33" s="6">
        <f t="shared" si="16"/>
        <v>0.11667982435234396</v>
      </c>
      <c r="S33" s="2"/>
      <c r="T33" s="7">
        <v>44937.310000000005</v>
      </c>
      <c r="U33" s="2"/>
      <c r="V33" s="6">
        <f t="shared" si="17"/>
        <v>0.26940671818514278</v>
      </c>
      <c r="W33" s="2"/>
      <c r="X33" s="7">
        <f t="shared" si="18"/>
        <v>-5771.1600000000035</v>
      </c>
      <c r="Y33" s="2"/>
      <c r="Z33" s="6">
        <f t="shared" si="19"/>
        <v>-0.12842691295940953</v>
      </c>
    </row>
    <row r="34" spans="1:26" s="24" customFormat="1" hidden="1" outlineLevel="2" x14ac:dyDescent="0.25">
      <c r="A34" s="27"/>
      <c r="B34" s="11" t="str">
        <f>CONCATENATE("          ", "6007", " - ", "STUDENT HOURLY")</f>
        <v xml:space="preserve">          6007 - STUDENT HOURLY</v>
      </c>
      <c r="C34" s="11"/>
      <c r="D34" s="7">
        <v>612</v>
      </c>
      <c r="E34" s="2"/>
      <c r="F34" s="6">
        <f t="shared" si="12"/>
        <v>4.6275992438563326E-2</v>
      </c>
      <c r="G34" s="2"/>
      <c r="H34" s="7">
        <v>1597.5</v>
      </c>
      <c r="I34" s="2"/>
      <c r="J34" s="6">
        <f t="shared" si="13"/>
        <v>7.4824355971896961E-2</v>
      </c>
      <c r="K34" s="2"/>
      <c r="L34" s="7">
        <f t="shared" si="14"/>
        <v>-985.5</v>
      </c>
      <c r="M34" s="2"/>
      <c r="N34" s="6">
        <f t="shared" si="15"/>
        <v>-0.61690140845070418</v>
      </c>
      <c r="O34" s="11"/>
      <c r="P34" s="7">
        <v>3927.98</v>
      </c>
      <c r="Q34" s="2"/>
      <c r="R34" s="6">
        <f t="shared" si="16"/>
        <v>1.1701839891322481E-2</v>
      </c>
      <c r="S34" s="2"/>
      <c r="T34" s="7">
        <v>16644.929999999997</v>
      </c>
      <c r="U34" s="2"/>
      <c r="V34" s="6">
        <f t="shared" si="17"/>
        <v>9.9789149945144193E-2</v>
      </c>
      <c r="W34" s="2"/>
      <c r="X34" s="7">
        <f t="shared" si="18"/>
        <v>-12716.949999999997</v>
      </c>
      <c r="Y34" s="2"/>
      <c r="Z34" s="6">
        <f t="shared" si="19"/>
        <v>-0.76401342631059421</v>
      </c>
    </row>
    <row r="35" spans="1:26" s="24" customFormat="1" hidden="1" outlineLevel="2" x14ac:dyDescent="0.25">
      <c r="A35" s="27"/>
      <c r="B35" s="11" t="str">
        <f>CONCATENATE("          ", "6008", " - ", "STUDENT HOURLY-FICA EXEMPT")</f>
        <v xml:space="preserve">          6008 - STUDENT HOURLY-FICA EXEMPT</v>
      </c>
      <c r="C35" s="11"/>
      <c r="D35" s="7">
        <v>403.48</v>
      </c>
      <c r="E35" s="2"/>
      <c r="F35" s="6">
        <f t="shared" si="12"/>
        <v>3.0508884688090737E-2</v>
      </c>
      <c r="G35" s="2"/>
      <c r="H35" s="7">
        <v>175.31</v>
      </c>
      <c r="I35" s="2"/>
      <c r="J35" s="6">
        <f t="shared" si="13"/>
        <v>8.2112412177985945E-3</v>
      </c>
      <c r="K35" s="2"/>
      <c r="L35" s="7">
        <f t="shared" si="14"/>
        <v>228.17000000000002</v>
      </c>
      <c r="M35" s="2"/>
      <c r="N35" s="6">
        <f t="shared" si="15"/>
        <v>1.3015230163710001</v>
      </c>
      <c r="O35" s="11"/>
      <c r="P35" s="7">
        <v>2772.56</v>
      </c>
      <c r="Q35" s="2"/>
      <c r="R35" s="6">
        <f t="shared" si="16"/>
        <v>8.2597297361710238E-3</v>
      </c>
      <c r="S35" s="2"/>
      <c r="T35" s="7">
        <v>3949.33</v>
      </c>
      <c r="U35" s="2"/>
      <c r="V35" s="6">
        <f t="shared" si="17"/>
        <v>2.3676896421484284E-2</v>
      </c>
      <c r="W35" s="2"/>
      <c r="X35" s="7">
        <f t="shared" si="18"/>
        <v>-1176.77</v>
      </c>
      <c r="Y35" s="2"/>
      <c r="Z35" s="6">
        <f t="shared" si="19"/>
        <v>-0.29796699693365708</v>
      </c>
    </row>
    <row r="36" spans="1:26" s="25" customFormat="1" outlineLevel="1" collapsed="1" x14ac:dyDescent="0.25">
      <c r="A36" s="26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0</v>
      </c>
      <c r="I36" s="1"/>
      <c r="J36" s="5">
        <f t="shared" ref="J36:J44" si="21">IF(H$12=0,0,H36/H$12)</f>
        <v>0</v>
      </c>
      <c r="K36" s="1"/>
      <c r="L36" s="1">
        <f t="shared" ref="L36:L44" si="22">+D36-H36</f>
        <v>0</v>
      </c>
      <c r="M36" s="1"/>
      <c r="N36" s="5">
        <f t="shared" ref="N36:N44" si="23">IF(H36=0,0,L36/H36)</f>
        <v>0</v>
      </c>
      <c r="O36" s="13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106.77</v>
      </c>
      <c r="U36" s="1"/>
      <c r="V36" s="5">
        <f t="shared" ref="V36:V44" si="25">IF(T$12=0,0,T36/T$12)</f>
        <v>6.4010407611465154E-4</v>
      </c>
      <c r="W36" s="1"/>
      <c r="X36" s="1">
        <f t="shared" ref="X36:X44" si="26">+P36-T36</f>
        <v>-106.77</v>
      </c>
      <c r="Y36" s="1"/>
      <c r="Z36" s="5">
        <f t="shared" ref="Z36:Z44" si="27">IF(T36=0,0,X36/T36)</f>
        <v>-1</v>
      </c>
    </row>
    <row r="37" spans="1:26" s="24" customFormat="1" hidden="1" outlineLevel="2" x14ac:dyDescent="0.25">
      <c r="A37" s="27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20"/>
        <v>0</v>
      </c>
      <c r="G37" s="2"/>
      <c r="H37" s="7"/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106.77</v>
      </c>
      <c r="U37" s="2"/>
      <c r="V37" s="6">
        <f t="shared" si="25"/>
        <v>6.4010407611465154E-4</v>
      </c>
      <c r="W37" s="2"/>
      <c r="X37" s="7">
        <f t="shared" si="26"/>
        <v>-106.77</v>
      </c>
      <c r="Y37" s="2"/>
      <c r="Z37" s="6">
        <f t="shared" si="27"/>
        <v>-1</v>
      </c>
    </row>
    <row r="38" spans="1:26" s="25" customFormat="1" outlineLevel="1" collapsed="1" x14ac:dyDescent="0.25">
      <c r="A38" s="26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45.41</v>
      </c>
      <c r="E38" s="1"/>
      <c r="F38" s="5">
        <f t="shared" si="20"/>
        <v>3.4336483931947069E-3</v>
      </c>
      <c r="G38" s="1"/>
      <c r="H38" s="1">
        <f>SUM(OSRRefH22_3x_0)</f>
        <v>1698.21</v>
      </c>
      <c r="I38" s="1"/>
      <c r="J38" s="5">
        <f t="shared" si="21"/>
        <v>7.9541451990632325E-2</v>
      </c>
      <c r="K38" s="1"/>
      <c r="L38" s="1">
        <f t="shared" si="22"/>
        <v>-1652.8</v>
      </c>
      <c r="M38" s="1"/>
      <c r="N38" s="5">
        <f t="shared" si="23"/>
        <v>-0.97326007973101081</v>
      </c>
      <c r="O38" s="13"/>
      <c r="P38" s="1">
        <f>SUM(OSRRefP22_3x_0)</f>
        <v>619.58000000000004</v>
      </c>
      <c r="Q38" s="1"/>
      <c r="R38" s="5">
        <f t="shared" si="24"/>
        <v>1.8457899377964204E-3</v>
      </c>
      <c r="S38" s="1"/>
      <c r="T38" s="1">
        <f>SUM(OSRRefT22_3x_0)</f>
        <v>12556</v>
      </c>
      <c r="U38" s="1"/>
      <c r="V38" s="5">
        <f t="shared" si="25"/>
        <v>7.5275328085563031E-2</v>
      </c>
      <c r="W38" s="1"/>
      <c r="X38" s="1">
        <f t="shared" si="26"/>
        <v>-11936.42</v>
      </c>
      <c r="Y38" s="1"/>
      <c r="Z38" s="5">
        <f t="shared" si="27"/>
        <v>-0.95065466709143043</v>
      </c>
    </row>
    <row r="39" spans="1:26" s="24" customFormat="1" hidden="1" outlineLevel="2" x14ac:dyDescent="0.25">
      <c r="A39" s="27"/>
      <c r="B39" s="11" t="str">
        <f>CONCATENATE("          ", "6381", " - ", "BANK/CREDIT CARD FEES")</f>
        <v xml:space="preserve">          6381 - BANK/CREDIT CARD FEES</v>
      </c>
      <c r="C39" s="11"/>
      <c r="D39" s="7">
        <v>45.41</v>
      </c>
      <c r="E39" s="2"/>
      <c r="F39" s="6">
        <f t="shared" si="20"/>
        <v>3.4336483931947069E-3</v>
      </c>
      <c r="G39" s="2"/>
      <c r="H39" s="7">
        <v>1698.21</v>
      </c>
      <c r="I39" s="2"/>
      <c r="J39" s="6">
        <f t="shared" si="21"/>
        <v>7.9541451990632325E-2</v>
      </c>
      <c r="K39" s="2"/>
      <c r="L39" s="7">
        <f t="shared" si="22"/>
        <v>-1652.8</v>
      </c>
      <c r="M39" s="2"/>
      <c r="N39" s="6">
        <f t="shared" si="23"/>
        <v>-0.97326007973101081</v>
      </c>
      <c r="O39" s="11"/>
      <c r="P39" s="7">
        <v>619.58000000000004</v>
      </c>
      <c r="Q39" s="2"/>
      <c r="R39" s="6">
        <f t="shared" si="24"/>
        <v>1.8457899377964204E-3</v>
      </c>
      <c r="S39" s="2"/>
      <c r="T39" s="7">
        <v>12556</v>
      </c>
      <c r="U39" s="2"/>
      <c r="V39" s="6">
        <f t="shared" si="25"/>
        <v>7.5275328085563031E-2</v>
      </c>
      <c r="W39" s="2"/>
      <c r="X39" s="7">
        <f t="shared" si="26"/>
        <v>-11936.42</v>
      </c>
      <c r="Y39" s="2"/>
      <c r="Z39" s="6">
        <f t="shared" si="27"/>
        <v>-0.95065466709143043</v>
      </c>
    </row>
    <row r="40" spans="1:26" s="25" customFormat="1" outlineLevel="1" collapsed="1" x14ac:dyDescent="0.25">
      <c r="A40" s="26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3.8512958555404341E-4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4" customFormat="1" hidden="1" outlineLevel="2" x14ac:dyDescent="0.25">
      <c r="A41" s="27"/>
      <c r="B41" s="11" t="str">
        <f>CONCATENATE("          ", "6277", " - ", "EMPLOYEE APPRECIATION")</f>
        <v xml:space="preserve">          6277 - EMPLOYEE APPRECIATION</v>
      </c>
      <c r="C41" s="11"/>
      <c r="D41" s="7"/>
      <c r="E41" s="2"/>
      <c r="F41" s="6">
        <f t="shared" si="20"/>
        <v>0</v>
      </c>
      <c r="G41" s="2"/>
      <c r="H41" s="7"/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64.239999999999995</v>
      </c>
      <c r="U41" s="2"/>
      <c r="V41" s="6">
        <f t="shared" si="25"/>
        <v>3.8512958555404341E-4</v>
      </c>
      <c r="W41" s="2"/>
      <c r="X41" s="7">
        <f t="shared" si="26"/>
        <v>-64.239999999999995</v>
      </c>
      <c r="Y41" s="2"/>
      <c r="Z41" s="6">
        <f t="shared" si="27"/>
        <v>-1</v>
      </c>
    </row>
    <row r="42" spans="1:26" s="25" customFormat="1" outlineLevel="1" collapsed="1" x14ac:dyDescent="0.25">
      <c r="A42" s="26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3"/>
      <c r="P42" s="1">
        <f>SUM(OSRRefP22_5x_0)</f>
        <v>2.12</v>
      </c>
      <c r="Q42" s="1"/>
      <c r="R42" s="5">
        <f t="shared" si="24"/>
        <v>6.3156891250983107E-6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4" customFormat="1" hidden="1" outlineLevel="2" x14ac:dyDescent="0.25">
      <c r="A43" s="27"/>
      <c r="B43" s="11" t="str">
        <f>CONCATENATE("          ", "6305", " - ", "FREIGHT OUT")</f>
        <v xml:space="preserve">          6305 - FREIGHT OUT</v>
      </c>
      <c r="C43" s="11"/>
      <c r="D43" s="7"/>
      <c r="E43" s="2"/>
      <c r="F43" s="6">
        <f t="shared" si="20"/>
        <v>0</v>
      </c>
      <c r="G43" s="2"/>
      <c r="H43" s="7"/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>
        <v>1.62</v>
      </c>
      <c r="Q43" s="2"/>
      <c r="R43" s="6">
        <f t="shared" si="24"/>
        <v>4.8261398031411622E-6</v>
      </c>
      <c r="S43" s="2"/>
      <c r="T43" s="7"/>
      <c r="U43" s="2"/>
      <c r="V43" s="6">
        <f t="shared" si="25"/>
        <v>0</v>
      </c>
      <c r="W43" s="2"/>
      <c r="X43" s="7">
        <f t="shared" si="26"/>
        <v>1.62</v>
      </c>
      <c r="Y43" s="2"/>
      <c r="Z43" s="6">
        <f t="shared" si="27"/>
        <v>0</v>
      </c>
    </row>
    <row r="44" spans="1:26" s="24" customFormat="1" hidden="1" outlineLevel="2" x14ac:dyDescent="0.25">
      <c r="A44" s="27"/>
      <c r="B44" s="11" t="str">
        <f>CONCATENATE("          ", "6307", " - ", "POSTAGE")</f>
        <v xml:space="preserve">          6307 - POSTAGE</v>
      </c>
      <c r="C44" s="11"/>
      <c r="D44" s="7"/>
      <c r="E44" s="2"/>
      <c r="F44" s="6">
        <f t="shared" si="20"/>
        <v>0</v>
      </c>
      <c r="G44" s="2"/>
      <c r="H44" s="7"/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>
        <v>0.5</v>
      </c>
      <c r="Q44" s="2"/>
      <c r="R44" s="6">
        <f t="shared" si="24"/>
        <v>1.4895493219571487E-6</v>
      </c>
      <c r="S44" s="2"/>
      <c r="T44" s="7"/>
      <c r="U44" s="2"/>
      <c r="V44" s="6">
        <f t="shared" si="25"/>
        <v>0</v>
      </c>
      <c r="W44" s="2"/>
      <c r="X44" s="7">
        <f t="shared" si="26"/>
        <v>0.5</v>
      </c>
      <c r="Y44" s="2"/>
      <c r="Z44" s="6">
        <f t="shared" si="27"/>
        <v>0</v>
      </c>
    </row>
    <row r="45" spans="1:26" s="25" customFormat="1" outlineLevel="1" collapsed="1" x14ac:dyDescent="0.25">
      <c r="A45" s="26"/>
      <c r="B45" s="13" t="str">
        <f>CONCATENATE("     ","Insurance                                         ")</f>
        <v xml:space="preserve">     Insurance                                         </v>
      </c>
      <c r="C45" s="13"/>
      <c r="D45" s="1">
        <f>SUM(OSRRefD22_6x_0)</f>
        <v>29.01</v>
      </c>
      <c r="E45" s="1"/>
      <c r="F45" s="5">
        <f t="shared" ref="F45:F52" si="28">IF(D$12=0,0,D45/D$12)</f>
        <v>2.1935727788279773E-3</v>
      </c>
      <c r="G45" s="1"/>
      <c r="H45" s="1">
        <f>SUM(OSRRefH22_6x_0)</f>
        <v>29.01</v>
      </c>
      <c r="I45" s="1"/>
      <c r="J45" s="5">
        <f t="shared" ref="J45:J52" si="29">IF(H$12=0,0,H45/H$12)</f>
        <v>1.3587822014051523E-3</v>
      </c>
      <c r="K45" s="1"/>
      <c r="L45" s="1">
        <f t="shared" ref="L45:L52" si="30">+D45-H45</f>
        <v>0</v>
      </c>
      <c r="M45" s="1"/>
      <c r="N45" s="5">
        <f t="shared" ref="N45:N52" si="31">IF(H45=0,0,L45/H45)</f>
        <v>0</v>
      </c>
      <c r="O45" s="13"/>
      <c r="P45" s="1">
        <f>SUM(OSRRefP22_6x_0)</f>
        <v>174.06</v>
      </c>
      <c r="Q45" s="1"/>
      <c r="R45" s="5">
        <f t="shared" ref="R45:R52" si="32">IF(P$12=0,0,P45/P$12)</f>
        <v>5.1854190995972256E-4</v>
      </c>
      <c r="S45" s="1"/>
      <c r="T45" s="1">
        <f>SUM(OSRRefT22_6x_0)</f>
        <v>174.06</v>
      </c>
      <c r="U45" s="1"/>
      <c r="V45" s="5">
        <f t="shared" ref="V45:V52" si="33">IF(T$12=0,0,T45/T$12)</f>
        <v>1.0435189237474596E-3</v>
      </c>
      <c r="W45" s="1"/>
      <c r="X45" s="1">
        <f t="shared" ref="X45:X52" si="34">+P45-T45</f>
        <v>0</v>
      </c>
      <c r="Y45" s="1"/>
      <c r="Z45" s="5">
        <f t="shared" ref="Z45:Z52" si="35">IF(T45=0,0,X45/T45)</f>
        <v>0</v>
      </c>
    </row>
    <row r="46" spans="1:26" s="24" customFormat="1" hidden="1" outlineLevel="2" x14ac:dyDescent="0.25">
      <c r="A46" s="27"/>
      <c r="B46" s="11" t="str">
        <f>CONCATENATE("          ", "6314", " - ", "LIABILITY INSURANCE")</f>
        <v xml:space="preserve">          6314 - LIABILITY INSURANCE</v>
      </c>
      <c r="C46" s="11"/>
      <c r="D46" s="7">
        <v>29.01</v>
      </c>
      <c r="E46" s="2"/>
      <c r="F46" s="6">
        <f t="shared" si="28"/>
        <v>2.1935727788279773E-3</v>
      </c>
      <c r="G46" s="2"/>
      <c r="H46" s="7">
        <v>29.01</v>
      </c>
      <c r="I46" s="2"/>
      <c r="J46" s="6">
        <f t="shared" si="29"/>
        <v>1.3587822014051523E-3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174.06</v>
      </c>
      <c r="Q46" s="2"/>
      <c r="R46" s="6">
        <f t="shared" si="32"/>
        <v>5.1854190995972256E-4</v>
      </c>
      <c r="S46" s="2"/>
      <c r="T46" s="7">
        <v>174.06</v>
      </c>
      <c r="U46" s="2"/>
      <c r="V46" s="6">
        <f t="shared" si="33"/>
        <v>1.0435189237474596E-3</v>
      </c>
      <c r="W46" s="2"/>
      <c r="X46" s="7">
        <f t="shared" si="34"/>
        <v>0</v>
      </c>
      <c r="Y46" s="2"/>
      <c r="Z46" s="6">
        <f t="shared" si="35"/>
        <v>0</v>
      </c>
    </row>
    <row r="47" spans="1:26" s="25" customFormat="1" outlineLevel="1" collapsed="1" x14ac:dyDescent="0.25">
      <c r="A47" s="26"/>
      <c r="B47" s="13" t="str">
        <f>CONCATENATE("     ","Rent                                              ")</f>
        <v xml:space="preserve">     Rent                                              </v>
      </c>
      <c r="C47" s="13"/>
      <c r="D47" s="1">
        <f>SUM(OSRRefD22_7x_0)</f>
        <v>800</v>
      </c>
      <c r="E47" s="1"/>
      <c r="F47" s="5">
        <f t="shared" si="28"/>
        <v>6.0491493383742913E-2</v>
      </c>
      <c r="G47" s="1"/>
      <c r="H47" s="1">
        <f>SUM(OSRRefH22_7x_0)</f>
        <v>800</v>
      </c>
      <c r="I47" s="1"/>
      <c r="J47" s="5">
        <f t="shared" si="29"/>
        <v>3.7470725995316159E-2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SUM(OSRRefP22_7x_0)</f>
        <v>4800</v>
      </c>
      <c r="Q47" s="1"/>
      <c r="R47" s="5">
        <f t="shared" si="32"/>
        <v>1.4299673490788627E-2</v>
      </c>
      <c r="S47" s="1"/>
      <c r="T47" s="1">
        <f>SUM(OSRRefT22_7x_0)</f>
        <v>4800</v>
      </c>
      <c r="U47" s="1"/>
      <c r="V47" s="5">
        <f t="shared" si="33"/>
        <v>2.8776805894449073E-2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7"/>
      <c r="B48" s="11" t="str">
        <f>CONCATENATE("          ", "6273", " - ", "RENT")</f>
        <v xml:space="preserve">          6273 - RENT</v>
      </c>
      <c r="C48" s="11"/>
      <c r="D48" s="7">
        <v>800</v>
      </c>
      <c r="E48" s="2"/>
      <c r="F48" s="6">
        <f t="shared" si="28"/>
        <v>6.0491493383742913E-2</v>
      </c>
      <c r="G48" s="2"/>
      <c r="H48" s="7">
        <v>800</v>
      </c>
      <c r="I48" s="2"/>
      <c r="J48" s="6">
        <f t="shared" si="29"/>
        <v>3.7470725995316159E-2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4800</v>
      </c>
      <c r="Q48" s="2"/>
      <c r="R48" s="6">
        <f t="shared" si="32"/>
        <v>1.4299673490788627E-2</v>
      </c>
      <c r="S48" s="2"/>
      <c r="T48" s="7">
        <v>4800</v>
      </c>
      <c r="U48" s="2"/>
      <c r="V48" s="6">
        <f t="shared" si="33"/>
        <v>2.8776805894449073E-2</v>
      </c>
      <c r="W48" s="2"/>
      <c r="X48" s="7">
        <f t="shared" si="34"/>
        <v>0</v>
      </c>
      <c r="Y48" s="2"/>
      <c r="Z48" s="6">
        <f t="shared" si="35"/>
        <v>0</v>
      </c>
    </row>
    <row r="49" spans="1:26" s="25" customFormat="1" outlineLevel="1" collapsed="1" x14ac:dyDescent="0.25">
      <c r="A49" s="26"/>
      <c r="B49" s="13" t="str">
        <f>CONCATENATE("     ","Repair and Maintenance                            ")</f>
        <v xml:space="preserve">     Repair and Maintenance                            </v>
      </c>
      <c r="C49" s="13"/>
      <c r="D49" s="1">
        <f>SUM(OSRRefD22_8x_0)</f>
        <v>3087</v>
      </c>
      <c r="E49" s="1"/>
      <c r="F49" s="5">
        <f t="shared" si="28"/>
        <v>0.23342155009451795</v>
      </c>
      <c r="G49" s="1"/>
      <c r="H49" s="1">
        <f>SUM(OSRRefH22_8x_0)</f>
        <v>312.64999999999998</v>
      </c>
      <c r="I49" s="1"/>
      <c r="J49" s="5">
        <f t="shared" si="29"/>
        <v>1.4644028103044495E-2</v>
      </c>
      <c r="K49" s="1"/>
      <c r="L49" s="1">
        <f t="shared" si="30"/>
        <v>2774.35</v>
      </c>
      <c r="M49" s="1"/>
      <c r="N49" s="5">
        <f t="shared" si="31"/>
        <v>8.8736606428914122</v>
      </c>
      <c r="O49" s="13"/>
      <c r="P49" s="1">
        <f>SUM(OSRRefP22_8x_0)</f>
        <v>126914.90000000001</v>
      </c>
      <c r="Q49" s="1"/>
      <c r="R49" s="5">
        <f t="shared" si="32"/>
        <v>0.37809200648251867</v>
      </c>
      <c r="S49" s="1"/>
      <c r="T49" s="1">
        <f>SUM(OSRRefT22_8x_0)</f>
        <v>749.96</v>
      </c>
      <c r="U49" s="1"/>
      <c r="V49" s="5">
        <f t="shared" si="33"/>
        <v>4.4961361142918811E-3</v>
      </c>
      <c r="W49" s="1"/>
      <c r="X49" s="1">
        <f t="shared" si="34"/>
        <v>126164.94</v>
      </c>
      <c r="Y49" s="1"/>
      <c r="Z49" s="5">
        <f t="shared" si="35"/>
        <v>168.22889220758441</v>
      </c>
    </row>
    <row r="50" spans="1:26" s="24" customFormat="1" hidden="1" outlineLevel="2" x14ac:dyDescent="0.25">
      <c r="A50" s="27"/>
      <c r="B50" s="11" t="str">
        <f>CONCATENATE("          ", "6371", " - ", "COMPUTER SOFTWARE MAINTENANCE")</f>
        <v xml:space="preserve">          6371 - COMPUTER SOFTWARE MAINTENANCE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/>
      <c r="Q50" s="2"/>
      <c r="R50" s="6">
        <f t="shared" si="32"/>
        <v>0</v>
      </c>
      <c r="S50" s="2"/>
      <c r="T50" s="7">
        <v>437.31</v>
      </c>
      <c r="U50" s="2"/>
      <c r="V50" s="6">
        <f t="shared" si="33"/>
        <v>2.6217468720211509E-3</v>
      </c>
      <c r="W50" s="2"/>
      <c r="X50" s="7">
        <f t="shared" si="34"/>
        <v>-437.31</v>
      </c>
      <c r="Y50" s="2"/>
      <c r="Z50" s="6">
        <f t="shared" si="35"/>
        <v>-1</v>
      </c>
    </row>
    <row r="51" spans="1:26" s="24" customFormat="1" hidden="1" outlineLevel="2" x14ac:dyDescent="0.25">
      <c r="A51" s="27"/>
      <c r="B51" s="11" t="str">
        <f>CONCATENATE("          ", "6373", " - ", "MAINTENANCE CONTRACTS")</f>
        <v xml:space="preserve">          6373 - MAINTENANCE CONTRACTS</v>
      </c>
      <c r="C51" s="11"/>
      <c r="D51" s="7">
        <v>3087</v>
      </c>
      <c r="E51" s="2"/>
      <c r="F51" s="6">
        <f t="shared" si="28"/>
        <v>0.23342155009451795</v>
      </c>
      <c r="G51" s="2"/>
      <c r="H51" s="7"/>
      <c r="I51" s="2"/>
      <c r="J51" s="6">
        <f t="shared" si="29"/>
        <v>0</v>
      </c>
      <c r="K51" s="2"/>
      <c r="L51" s="7">
        <f t="shared" si="30"/>
        <v>3087</v>
      </c>
      <c r="M51" s="2"/>
      <c r="N51" s="6">
        <f t="shared" si="31"/>
        <v>0</v>
      </c>
      <c r="O51" s="11"/>
      <c r="P51" s="7">
        <v>120352.90000000001</v>
      </c>
      <c r="Q51" s="2"/>
      <c r="R51" s="6">
        <f t="shared" si="32"/>
        <v>0.35854316118115304</v>
      </c>
      <c r="S51" s="2"/>
      <c r="T51" s="7"/>
      <c r="U51" s="2"/>
      <c r="V51" s="6">
        <f t="shared" si="33"/>
        <v>0</v>
      </c>
      <c r="W51" s="2"/>
      <c r="X51" s="7">
        <f t="shared" si="34"/>
        <v>120352.90000000001</v>
      </c>
      <c r="Y51" s="2"/>
      <c r="Z51" s="6">
        <f t="shared" si="35"/>
        <v>0</v>
      </c>
    </row>
    <row r="52" spans="1:26" s="24" customFormat="1" hidden="1" outlineLevel="2" x14ac:dyDescent="0.25">
      <c r="A52" s="27"/>
      <c r="B52" s="11" t="str">
        <f>CONCATENATE("          ", "6375", " - ", "OUTSIDE REPAIRS &amp; MAINTENANCE")</f>
        <v xml:space="preserve">          6375 - OUTSIDE REPAIRS &amp; MAINTENANCE</v>
      </c>
      <c r="C52" s="11"/>
      <c r="D52" s="7"/>
      <c r="E52" s="2"/>
      <c r="F52" s="6">
        <f t="shared" si="28"/>
        <v>0</v>
      </c>
      <c r="G52" s="2"/>
      <c r="H52" s="7">
        <v>312.64999999999998</v>
      </c>
      <c r="I52" s="2"/>
      <c r="J52" s="6">
        <f t="shared" si="29"/>
        <v>1.4644028103044495E-2</v>
      </c>
      <c r="K52" s="2"/>
      <c r="L52" s="7">
        <f t="shared" si="30"/>
        <v>-312.64999999999998</v>
      </c>
      <c r="M52" s="2"/>
      <c r="N52" s="6">
        <f t="shared" si="31"/>
        <v>-1</v>
      </c>
      <c r="O52" s="11"/>
      <c r="P52" s="7">
        <v>6562</v>
      </c>
      <c r="Q52" s="2"/>
      <c r="R52" s="6">
        <f t="shared" si="32"/>
        <v>1.9548845301365619E-2</v>
      </c>
      <c r="S52" s="2"/>
      <c r="T52" s="7">
        <v>312.64999999999998</v>
      </c>
      <c r="U52" s="2"/>
      <c r="V52" s="6">
        <f t="shared" si="33"/>
        <v>1.8743892422707297E-3</v>
      </c>
      <c r="W52" s="2"/>
      <c r="X52" s="7">
        <f t="shared" si="34"/>
        <v>6249.35</v>
      </c>
      <c r="Y52" s="2"/>
      <c r="Z52" s="6">
        <f t="shared" si="35"/>
        <v>19.988325603710223</v>
      </c>
    </row>
    <row r="53" spans="1:26" s="25" customFormat="1" outlineLevel="1" collapsed="1" x14ac:dyDescent="0.25">
      <c r="A53" s="26"/>
      <c r="B53" s="13" t="str">
        <f>CONCATENATE("     ","Supplies                                          ")</f>
        <v xml:space="preserve">     Supplies                                          </v>
      </c>
      <c r="C53" s="13"/>
      <c r="D53" s="1">
        <f>SUM(OSRRefD22_9x_0)</f>
        <v>0</v>
      </c>
      <c r="E53" s="1"/>
      <c r="F53" s="5">
        <f t="shared" ref="F53:F56" si="36">IF(D$12=0,0,D53/D$12)</f>
        <v>0</v>
      </c>
      <c r="G53" s="1"/>
      <c r="H53" s="1">
        <f>SUM(OSRRefH22_9x_0)</f>
        <v>162.83000000000001</v>
      </c>
      <c r="I53" s="1"/>
      <c r="J53" s="5">
        <f t="shared" ref="J53:J56" si="37">IF(H$12=0,0,H53/H$12)</f>
        <v>7.6266978922716637E-3</v>
      </c>
      <c r="K53" s="1"/>
      <c r="L53" s="1">
        <f t="shared" ref="L53:L56" si="38">+D53-H53</f>
        <v>-162.83000000000001</v>
      </c>
      <c r="M53" s="1"/>
      <c r="N53" s="5">
        <f t="shared" ref="N53:N56" si="39">IF(H53=0,0,L53/H53)</f>
        <v>-1</v>
      </c>
      <c r="O53" s="13"/>
      <c r="P53" s="1">
        <f>SUM(OSRRefP22_9x_0)</f>
        <v>41271.699999999997</v>
      </c>
      <c r="Q53" s="1"/>
      <c r="R53" s="5">
        <f t="shared" ref="R53:R56" si="40">IF(P$12=0,0,P53/P$12)</f>
        <v>0.1229524655020377</v>
      </c>
      <c r="S53" s="1"/>
      <c r="T53" s="1">
        <f>SUM(OSRRefT22_9x_0)</f>
        <v>18560.660000000003</v>
      </c>
      <c r="U53" s="1"/>
      <c r="V53" s="5">
        <f t="shared" ref="V53:V56" si="41">IF(T$12=0,0,T53/T$12)</f>
        <v>0.11127427293601359</v>
      </c>
      <c r="W53" s="1"/>
      <c r="X53" s="1">
        <f t="shared" ref="X53:X56" si="42">+P53-T53</f>
        <v>22711.039999999994</v>
      </c>
      <c r="Y53" s="1"/>
      <c r="Z53" s="5">
        <f t="shared" ref="Z53:Z56" si="43">IF(T53=0,0,X53/T53)</f>
        <v>1.223611660361215</v>
      </c>
    </row>
    <row r="54" spans="1:26" s="24" customFormat="1" hidden="1" outlineLevel="2" x14ac:dyDescent="0.25">
      <c r="A54" s="27"/>
      <c r="B54" s="11" t="str">
        <f>CONCATENATE("          ", "6234", " - ", "EXPENDABLE SUPPLIES &amp; EQUIPMEN")</f>
        <v xml:space="preserve">          6234 - EXPENDABLE SUPPLIES &amp; EQUIPMEN</v>
      </c>
      <c r="C54" s="11"/>
      <c r="D54" s="7"/>
      <c r="E54" s="2"/>
      <c r="F54" s="6">
        <f t="shared" si="36"/>
        <v>0</v>
      </c>
      <c r="G54" s="2"/>
      <c r="H54" s="7"/>
      <c r="I54" s="2"/>
      <c r="J54" s="6">
        <f t="shared" si="37"/>
        <v>0</v>
      </c>
      <c r="K54" s="2"/>
      <c r="L54" s="7">
        <f t="shared" si="38"/>
        <v>0</v>
      </c>
      <c r="M54" s="2"/>
      <c r="N54" s="6">
        <f t="shared" si="39"/>
        <v>0</v>
      </c>
      <c r="O54" s="11"/>
      <c r="P54" s="7"/>
      <c r="Q54" s="2"/>
      <c r="R54" s="6">
        <f t="shared" si="40"/>
        <v>0</v>
      </c>
      <c r="S54" s="2"/>
      <c r="T54" s="7">
        <v>413.27</v>
      </c>
      <c r="U54" s="2"/>
      <c r="V54" s="6">
        <f t="shared" si="41"/>
        <v>2.4776230358331186E-3</v>
      </c>
      <c r="W54" s="2"/>
      <c r="X54" s="7">
        <f t="shared" si="42"/>
        <v>-413.27</v>
      </c>
      <c r="Y54" s="2"/>
      <c r="Z54" s="6">
        <f t="shared" si="43"/>
        <v>-1</v>
      </c>
    </row>
    <row r="55" spans="1:26" s="24" customFormat="1" hidden="1" outlineLevel="2" x14ac:dyDescent="0.25">
      <c r="A55" s="27"/>
      <c r="B55" s="11" t="str">
        <f>CONCATENATE("          ", "6241", " - ", "OFFICE EXPENSE")</f>
        <v xml:space="preserve">          6241 - OFFICE EXPENSE</v>
      </c>
      <c r="C55" s="11"/>
      <c r="D55" s="7"/>
      <c r="E55" s="2"/>
      <c r="F55" s="6">
        <f t="shared" si="36"/>
        <v>0</v>
      </c>
      <c r="G55" s="2"/>
      <c r="H55" s="7">
        <v>162.83000000000001</v>
      </c>
      <c r="I55" s="2"/>
      <c r="J55" s="6">
        <f t="shared" si="37"/>
        <v>7.6266978922716637E-3</v>
      </c>
      <c r="K55" s="2"/>
      <c r="L55" s="7">
        <f t="shared" si="38"/>
        <v>-162.83000000000001</v>
      </c>
      <c r="M55" s="2"/>
      <c r="N55" s="6">
        <f t="shared" si="39"/>
        <v>-1</v>
      </c>
      <c r="O55" s="11"/>
      <c r="P55" s="7">
        <v>41271.699999999997</v>
      </c>
      <c r="Q55" s="2"/>
      <c r="R55" s="6">
        <f t="shared" si="40"/>
        <v>0.1229524655020377</v>
      </c>
      <c r="S55" s="2"/>
      <c r="T55" s="7">
        <v>18026.560000000001</v>
      </c>
      <c r="U55" s="2"/>
      <c r="V55" s="6">
        <f t="shared" si="41"/>
        <v>0.10807225376346666</v>
      </c>
      <c r="W55" s="2"/>
      <c r="X55" s="7">
        <f t="shared" si="42"/>
        <v>23245.139999999996</v>
      </c>
      <c r="Y55" s="2"/>
      <c r="Z55" s="6">
        <f t="shared" si="43"/>
        <v>1.2894939467097435</v>
      </c>
    </row>
    <row r="56" spans="1:26" s="24" customFormat="1" hidden="1" outlineLevel="2" x14ac:dyDescent="0.25">
      <c r="A56" s="27"/>
      <c r="B56" s="11" t="str">
        <f>CONCATENATE("          ", "6245", " - ", "PRINTING")</f>
        <v xml:space="preserve">          6245 - PRINTING</v>
      </c>
      <c r="C56" s="11"/>
      <c r="D56" s="7"/>
      <c r="E56" s="2"/>
      <c r="F56" s="6">
        <f t="shared" si="36"/>
        <v>0</v>
      </c>
      <c r="G56" s="2"/>
      <c r="H56" s="7"/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/>
      <c r="Q56" s="2"/>
      <c r="R56" s="6">
        <f t="shared" si="40"/>
        <v>0</v>
      </c>
      <c r="S56" s="2"/>
      <c r="T56" s="7">
        <v>120.83</v>
      </c>
      <c r="U56" s="2"/>
      <c r="V56" s="6">
        <f t="shared" si="41"/>
        <v>7.2439613671380866E-4</v>
      </c>
      <c r="W56" s="2"/>
      <c r="X56" s="7">
        <f t="shared" si="42"/>
        <v>-120.83</v>
      </c>
      <c r="Y56" s="2"/>
      <c r="Z56" s="6">
        <f t="shared" si="43"/>
        <v>-1</v>
      </c>
    </row>
    <row r="57" spans="1:26" s="25" customFormat="1" outlineLevel="1" collapsed="1" x14ac:dyDescent="0.25">
      <c r="A57" s="26"/>
      <c r="B57" s="13" t="str">
        <f>CONCATENATE("     ","Telephone/Data Lines                              ")</f>
        <v xml:space="preserve">     Telephone/Data Lines                              </v>
      </c>
      <c r="C57" s="13"/>
      <c r="D57" s="1">
        <f>SUM(OSRRefD22_10x_0)</f>
        <v>136.15</v>
      </c>
      <c r="E57" s="1"/>
      <c r="F57" s="5">
        <f t="shared" ref="F57:F58" si="44">IF(D$12=0,0,D57/D$12)</f>
        <v>1.0294896030245746E-2</v>
      </c>
      <c r="G57" s="1"/>
      <c r="H57" s="1">
        <f>SUM(OSRRefH22_10x_0)</f>
        <v>182.85</v>
      </c>
      <c r="I57" s="1"/>
      <c r="J57" s="5">
        <f t="shared" ref="J57:J58" si="45">IF(H$12=0,0,H57/H$12)</f>
        <v>8.564402810304449E-3</v>
      </c>
      <c r="K57" s="1"/>
      <c r="L57" s="1">
        <f t="shared" ref="L57:L58" si="46">+D57-H57</f>
        <v>-46.699999999999989</v>
      </c>
      <c r="M57" s="1"/>
      <c r="N57" s="5">
        <f t="shared" ref="N57:N58" si="47">IF(H57=0,0,L57/H57)</f>
        <v>-0.25540060158599942</v>
      </c>
      <c r="O57" s="13"/>
      <c r="P57" s="1">
        <f>SUM(OSRRefP22_10x_0)</f>
        <v>1451.83</v>
      </c>
      <c r="Q57" s="1"/>
      <c r="R57" s="5">
        <f t="shared" ref="R57:R58" si="48">IF(P$12=0,0,P57/P$12)</f>
        <v>4.3251447841940937E-3</v>
      </c>
      <c r="S57" s="1"/>
      <c r="T57" s="1">
        <f>SUM(OSRRefT22_10x_0)</f>
        <v>1131.3499999999999</v>
      </c>
      <c r="U57" s="1"/>
      <c r="V57" s="5">
        <f t="shared" ref="V57:V58" si="49">IF(T$12=0,0,T57/T$12)</f>
        <v>6.7826331976426997E-3</v>
      </c>
      <c r="W57" s="1"/>
      <c r="X57" s="1">
        <f t="shared" ref="X57:X58" si="50">+P57-T57</f>
        <v>320.48</v>
      </c>
      <c r="Y57" s="1"/>
      <c r="Z57" s="5">
        <f t="shared" ref="Z57:Z58" si="51">IF(T57=0,0,X57/T57)</f>
        <v>0.28327219693286787</v>
      </c>
    </row>
    <row r="58" spans="1:26" s="24" customFormat="1" hidden="1" outlineLevel="2" x14ac:dyDescent="0.25">
      <c r="A58" s="27"/>
      <c r="B58" s="11" t="str">
        <f>CONCATENATE("          ", "6309", " - ", "TELEPHONE")</f>
        <v xml:space="preserve">          6309 - TELEPHONE</v>
      </c>
      <c r="C58" s="11"/>
      <c r="D58" s="7">
        <v>136.15</v>
      </c>
      <c r="E58" s="2"/>
      <c r="F58" s="6">
        <f t="shared" si="44"/>
        <v>1.0294896030245746E-2</v>
      </c>
      <c r="G58" s="2"/>
      <c r="H58" s="7">
        <v>182.85</v>
      </c>
      <c r="I58" s="2"/>
      <c r="J58" s="6">
        <f t="shared" si="45"/>
        <v>8.564402810304449E-3</v>
      </c>
      <c r="K58" s="2"/>
      <c r="L58" s="7">
        <f t="shared" si="46"/>
        <v>-46.699999999999989</v>
      </c>
      <c r="M58" s="2"/>
      <c r="N58" s="6">
        <f t="shared" si="47"/>
        <v>-0.25540060158599942</v>
      </c>
      <c r="O58" s="11"/>
      <c r="P58" s="7">
        <v>1451.83</v>
      </c>
      <c r="Q58" s="2"/>
      <c r="R58" s="6">
        <f t="shared" si="48"/>
        <v>4.3251447841940937E-3</v>
      </c>
      <c r="S58" s="2"/>
      <c r="T58" s="7">
        <v>1131.3499999999999</v>
      </c>
      <c r="U58" s="2"/>
      <c r="V58" s="6">
        <f t="shared" si="49"/>
        <v>6.7826331976426997E-3</v>
      </c>
      <c r="W58" s="2"/>
      <c r="X58" s="7">
        <f t="shared" si="50"/>
        <v>320.48</v>
      </c>
      <c r="Y58" s="2"/>
      <c r="Z58" s="6">
        <f t="shared" si="51"/>
        <v>0.28327219693286787</v>
      </c>
    </row>
    <row r="59" spans="1:26" s="55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collapsed="1" x14ac:dyDescent="0.25">
      <c r="A60" s="10"/>
      <c r="B60" s="29" t="s">
        <v>0</v>
      </c>
      <c r="C60" s="10"/>
      <c r="D60" s="4">
        <f>SUM(OSRRefD25x_0)</f>
        <v>140</v>
      </c>
      <c r="E60" s="4"/>
      <c r="F60" s="12">
        <f t="shared" ref="F60:F61" si="52">IF(D$12=0,0,D60/D$12)</f>
        <v>1.058601134215501E-2</v>
      </c>
      <c r="G60" s="4"/>
      <c r="H60" s="4">
        <f>SUM(OSRRefH25x_0)</f>
        <v>1564.6</v>
      </c>
      <c r="I60" s="4"/>
      <c r="J60" s="12">
        <f t="shared" ref="J60:J61" si="53">IF(H$12=0,0,H60/H$12)</f>
        <v>7.3283372365339577E-2</v>
      </c>
      <c r="K60" s="4"/>
      <c r="L60" s="4">
        <f t="shared" ref="L60:L61" si="54">+D60-H60</f>
        <v>-1424.6</v>
      </c>
      <c r="M60" s="4"/>
      <c r="N60" s="12">
        <f t="shared" ref="N60:N61" si="55">IF(H60=0,0,L60/H60)</f>
        <v>-0.91052026076952575</v>
      </c>
      <c r="O60" s="10"/>
      <c r="P60" s="4">
        <f>SUM(OSRRefP25x_0)</f>
        <v>1260.2</v>
      </c>
      <c r="Q60" s="4"/>
      <c r="R60" s="12">
        <f t="shared" ref="R60:R61" si="56">IF(P$12=0,0,P60/P$12)</f>
        <v>3.7542601110607974E-3</v>
      </c>
      <c r="S60" s="4"/>
      <c r="T60" s="4">
        <f>SUM(OSRRefT25x_0)</f>
        <v>13751.34</v>
      </c>
      <c r="U60" s="4"/>
      <c r="V60" s="12">
        <f t="shared" ref="V60:V61" si="57">IF(T$12=0,0,T60/T$12)</f>
        <v>8.2441592076786113E-2</v>
      </c>
      <c r="W60" s="4"/>
      <c r="X60" s="4">
        <f t="shared" ref="X60:X61" si="58">+P60-T60</f>
        <v>-12491.14</v>
      </c>
      <c r="Y60" s="4"/>
      <c r="Z60" s="12">
        <f t="shared" ref="Z60:Z61" si="59">IF(T60=0,0,X60/T60)</f>
        <v>-0.90835802183641734</v>
      </c>
    </row>
    <row r="61" spans="1:26" s="24" customFormat="1" hidden="1" outlineLevel="1" x14ac:dyDescent="0.25">
      <c r="A61" s="44"/>
      <c r="B61" s="11" t="str">
        <f>CONCATENATE("          ", "9150", " - ", "MISC. INCOME")</f>
        <v xml:space="preserve">          9150 - MISC. INCOME</v>
      </c>
      <c r="C61" s="11"/>
      <c r="D61" s="2">
        <f>--140</f>
        <v>140</v>
      </c>
      <c r="E61" s="2"/>
      <c r="F61" s="19">
        <f t="shared" si="52"/>
        <v>1.058601134215501E-2</v>
      </c>
      <c r="G61" s="2"/>
      <c r="H61" s="2">
        <f>--1564.6</f>
        <v>1564.6</v>
      </c>
      <c r="I61" s="2"/>
      <c r="J61" s="19">
        <f t="shared" si="53"/>
        <v>7.3283372365339577E-2</v>
      </c>
      <c r="K61" s="2"/>
      <c r="L61" s="2">
        <f t="shared" si="54"/>
        <v>-1424.6</v>
      </c>
      <c r="M61" s="2"/>
      <c r="N61" s="19">
        <f t="shared" si="55"/>
        <v>-0.91052026076952575</v>
      </c>
      <c r="O61" s="11"/>
      <c r="P61" s="2">
        <f>--1260.2</f>
        <v>1260.2</v>
      </c>
      <c r="Q61" s="2"/>
      <c r="R61" s="19">
        <f t="shared" si="56"/>
        <v>3.7542601110607974E-3</v>
      </c>
      <c r="S61" s="2"/>
      <c r="T61" s="2">
        <f>--13751.34</f>
        <v>13751.34</v>
      </c>
      <c r="U61" s="2"/>
      <c r="V61" s="19">
        <f t="shared" si="57"/>
        <v>8.2441592076786113E-2</v>
      </c>
      <c r="W61" s="2"/>
      <c r="X61" s="2">
        <f t="shared" si="58"/>
        <v>-12491.14</v>
      </c>
      <c r="Y61" s="2"/>
      <c r="Z61" s="19">
        <f t="shared" si="59"/>
        <v>-0.90835802183641734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8" t="s">
        <v>3</v>
      </c>
      <c r="C63" s="28"/>
      <c r="D63" s="20">
        <f>+D17-D19+D60</f>
        <v>-7165.4200000000019</v>
      </c>
      <c r="E63" s="14"/>
      <c r="F63" s="21">
        <f>IF(D$12=0,0,D63/D$12)</f>
        <v>-0.54180869565217404</v>
      </c>
      <c r="G63" s="14"/>
      <c r="H63" s="20">
        <f>+H17-H19+H60</f>
        <v>2880.2899999999986</v>
      </c>
      <c r="I63" s="14"/>
      <c r="J63" s="21">
        <f>IF(H$12=0,0,H63/H$12)</f>
        <v>0.13490819672131141</v>
      </c>
      <c r="K63" s="15"/>
      <c r="L63" s="20">
        <f>+D63-H63</f>
        <v>-10045.710000000001</v>
      </c>
      <c r="M63" s="15"/>
      <c r="N63" s="21">
        <f>IF(H63=0,0,L63/H63)</f>
        <v>-3.4877425537011919</v>
      </c>
      <c r="O63" s="29"/>
      <c r="P63" s="20">
        <f>+P17-P19+P60</f>
        <v>51237.009999999995</v>
      </c>
      <c r="Q63" s="14"/>
      <c r="R63" s="21">
        <f>IF(P$12=0,0,P63/P$12)</f>
        <v>0.15264010700922329</v>
      </c>
      <c r="S63" s="14"/>
      <c r="T63" s="20">
        <f>+T17-T19+T60</f>
        <v>15277.390000000047</v>
      </c>
      <c r="U63" s="14"/>
      <c r="V63" s="21">
        <f>IF(T$12=0,0,T63/T$12)</f>
        <v>9.1590518042458061E-2</v>
      </c>
      <c r="W63" s="15"/>
      <c r="X63" s="20">
        <f>+P63-T63</f>
        <v>35959.619999999952</v>
      </c>
      <c r="Y63" s="15"/>
      <c r="Z63" s="21">
        <f>IF(T63=0,0,X63/T63)</f>
        <v>2.3537803250424214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>
        <v>10869.59</v>
      </c>
      <c r="E65" s="4"/>
      <c r="F65" s="12">
        <f>IF(D$12=0,0,D65/D$12)</f>
        <v>0.82189716446124761</v>
      </c>
      <c r="G65" s="4"/>
      <c r="H65" s="4">
        <v>2613.5100000000002</v>
      </c>
      <c r="I65" s="4"/>
      <c r="J65" s="12">
        <f>IF(H$12=0,0,H65/H$12)</f>
        <v>0.12241264637002343</v>
      </c>
      <c r="K65" s="4"/>
      <c r="L65" s="4">
        <f>+D65-H65</f>
        <v>8256.08</v>
      </c>
      <c r="M65" s="4"/>
      <c r="N65" s="12">
        <f>IF(H65=0,0,L65/H65)</f>
        <v>3.159000730817942</v>
      </c>
      <c r="O65" s="10"/>
      <c r="P65" s="4">
        <v>62106.429999999993</v>
      </c>
      <c r="Q65" s="4"/>
      <c r="R65" s="12">
        <f>IF(P$12=0,0,P65/P$12)</f>
        <v>0.1850211813913582</v>
      </c>
      <c r="S65" s="4"/>
      <c r="T65" s="4">
        <v>18015.79</v>
      </c>
      <c r="U65" s="4"/>
      <c r="V65" s="12">
        <f>IF(T$12=0,0,T65/T$12)</f>
        <v>0.10800768580524098</v>
      </c>
      <c r="W65" s="4"/>
      <c r="X65" s="4">
        <f>+P65-T65</f>
        <v>44090.639999999992</v>
      </c>
      <c r="Y65" s="4"/>
      <c r="Z65" s="12">
        <f>IF(T65=0,0,X65/T65)</f>
        <v>2.4473331449800422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4</v>
      </c>
      <c r="C67" s="28"/>
      <c r="D67" s="33">
        <f>+D63-D65</f>
        <v>-18035.010000000002</v>
      </c>
      <c r="E67" s="14"/>
      <c r="F67" s="34">
        <f>IF(D$12=0,0,D67/D$12)</f>
        <v>-1.3637058601134218</v>
      </c>
      <c r="G67" s="14"/>
      <c r="H67" s="33">
        <f>+H63-H65</f>
        <v>266.77999999999838</v>
      </c>
      <c r="I67" s="14"/>
      <c r="J67" s="34">
        <f>IF(H$12=0,0,H67/H$12)</f>
        <v>1.2495550351287981E-2</v>
      </c>
      <c r="K67" s="15"/>
      <c r="L67" s="33">
        <f>D67-H67</f>
        <v>-18301.79</v>
      </c>
      <c r="M67" s="15"/>
      <c r="N67" s="34">
        <f>IF(H67=0,0,L67/H67)</f>
        <v>-68.602556413524667</v>
      </c>
      <c r="O67" s="29"/>
      <c r="P67" s="33">
        <f>+P63-P65</f>
        <v>-10869.419999999998</v>
      </c>
      <c r="Q67" s="14"/>
      <c r="R67" s="34">
        <f>IF(P$12=0,0,P67/P$12)</f>
        <v>-3.2381074382134938E-2</v>
      </c>
      <c r="S67" s="14"/>
      <c r="T67" s="33">
        <f>+T63-T65</f>
        <v>-2738.3999999999542</v>
      </c>
      <c r="U67" s="14"/>
      <c r="V67" s="34">
        <f>IF(T$12=0,0,T67/T$12)</f>
        <v>-1.6417167762782924E-2</v>
      </c>
      <c r="W67" s="15"/>
      <c r="X67" s="33">
        <f>P67-T67</f>
        <v>-8131.0200000000441</v>
      </c>
      <c r="Y67" s="15"/>
      <c r="Z67" s="34">
        <f>IF(T67=0,0,X67/T67)</f>
        <v>2.9692594215601007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5</v>
      </c>
      <c r="C70" s="28"/>
      <c r="D70" s="30">
        <f>SUM(D67:D69)</f>
        <v>-18035.010000000002</v>
      </c>
      <c r="E70" s="14"/>
      <c r="F70" s="32">
        <f>IF(D$12=0,0,D70/D$12)</f>
        <v>-1.3637058601134218</v>
      </c>
      <c r="G70" s="14"/>
      <c r="H70" s="30">
        <f>SUM(H67:H69)</f>
        <v>266.77999999999838</v>
      </c>
      <c r="I70" s="14"/>
      <c r="J70" s="32">
        <f>IF(H$12=0,0,H70/H$12)</f>
        <v>1.2495550351287981E-2</v>
      </c>
      <c r="K70" s="15"/>
      <c r="L70" s="30">
        <f>+D70-H70</f>
        <v>-18301.79</v>
      </c>
      <c r="M70" s="15"/>
      <c r="N70" s="32">
        <f>IF(H70=0,0,L70/H70)</f>
        <v>-68.602556413524667</v>
      </c>
      <c r="O70" s="29"/>
      <c r="P70" s="30">
        <f>SUM(P67:P69)</f>
        <v>-10869.419999999998</v>
      </c>
      <c r="Q70" s="14"/>
      <c r="R70" s="32">
        <f>IF(P$12=0,0,P70/P$12)</f>
        <v>-3.2381074382134938E-2</v>
      </c>
      <c r="S70" s="14"/>
      <c r="T70" s="30">
        <f>SUM(T67:T69)</f>
        <v>-2738.3999999999542</v>
      </c>
      <c r="U70" s="14"/>
      <c r="V70" s="32">
        <f>IF(T$12=0,0,T70/T$12)</f>
        <v>-1.6417167762782924E-2</v>
      </c>
      <c r="W70" s="15"/>
      <c r="X70" s="30">
        <f>+P70-T70</f>
        <v>-8131.0200000000441</v>
      </c>
      <c r="Y70" s="15"/>
      <c r="Z70" s="32">
        <f>IF(T70=0,0,X70/T70)</f>
        <v>2.9692594215601007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8">
        <v>44209.521522951392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61" t="s">
        <v>313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7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str">
        <f>CONCATENATE("Period ",RIGHT(202106,2),", ",2021)</f>
        <v>Period 06, 2021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3">
        <v>44191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str">
        <f>CONCATENATE("Department ","501", " - ", "ID Card Services")</f>
        <v>Department 501 - ID Card Services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13225</v>
      </c>
      <c r="E12" s="4"/>
      <c r="F12" s="12"/>
      <c r="G12" s="4"/>
      <c r="H12" s="4">
        <f>SUM(OSRRefH13x_0)</f>
        <v>21350</v>
      </c>
      <c r="I12" s="4"/>
      <c r="J12" s="12"/>
      <c r="K12" s="4"/>
      <c r="L12" s="4">
        <f t="shared" ref="L12:L13" si="0">+D12-H12</f>
        <v>-8125</v>
      </c>
      <c r="M12" s="4"/>
      <c r="N12" s="12">
        <f t="shared" ref="N12:N13" si="1">IF(H12=0,0,L12/H12)</f>
        <v>-0.38056206088992972</v>
      </c>
      <c r="O12" s="10"/>
      <c r="P12" s="4">
        <f>SUM(OSRRefP13x_0)</f>
        <v>335672</v>
      </c>
      <c r="Q12" s="4"/>
      <c r="R12" s="12"/>
      <c r="S12" s="4"/>
      <c r="T12" s="4">
        <f>SUM(OSRRefT13x_0)</f>
        <v>166801</v>
      </c>
      <c r="U12" s="4"/>
      <c r="V12" s="12"/>
      <c r="W12" s="4"/>
      <c r="X12" s="4">
        <f t="shared" ref="X12:X13" si="2">+P12-T12</f>
        <v>168871</v>
      </c>
      <c r="Y12" s="4"/>
      <c r="Z12" s="12">
        <f t="shared" ref="Z12:Z13" si="3">IF(T12=0,0,X12/T12)</f>
        <v>1.0124099975419811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--13225</f>
        <v>13225</v>
      </c>
      <c r="E13" s="2"/>
      <c r="F13" s="19"/>
      <c r="G13" s="2"/>
      <c r="H13" s="2">
        <f>--21350</f>
        <v>21350</v>
      </c>
      <c r="I13" s="2"/>
      <c r="J13" s="19"/>
      <c r="K13" s="2"/>
      <c r="L13" s="2">
        <f t="shared" si="0"/>
        <v>-8125</v>
      </c>
      <c r="M13" s="2"/>
      <c r="N13" s="19">
        <f t="shared" si="1"/>
        <v>-0.38056206088992972</v>
      </c>
      <c r="O13" s="11"/>
      <c r="P13" s="2">
        <f>--335672</f>
        <v>335672</v>
      </c>
      <c r="Q13" s="2"/>
      <c r="R13" s="19"/>
      <c r="S13" s="2"/>
      <c r="T13" s="2">
        <f>--166801</f>
        <v>166801</v>
      </c>
      <c r="U13" s="2"/>
      <c r="V13" s="19"/>
      <c r="W13" s="2"/>
      <c r="X13" s="2">
        <f t="shared" si="2"/>
        <v>168871</v>
      </c>
      <c r="Y13" s="2"/>
      <c r="Z13" s="19">
        <f t="shared" si="3"/>
        <v>1.0124099975419811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D12-D15</f>
        <v>13225</v>
      </c>
      <c r="E17" s="14"/>
      <c r="F17" s="21">
        <f>IF(D$12=0,0,D17/D$12)</f>
        <v>1</v>
      </c>
      <c r="G17" s="14"/>
      <c r="H17" s="20">
        <f>H12-H15</f>
        <v>21350</v>
      </c>
      <c r="I17" s="14"/>
      <c r="J17" s="21">
        <f>IF(H$12=0,0,H17/H$12)</f>
        <v>1</v>
      </c>
      <c r="K17" s="15"/>
      <c r="L17" s="20">
        <f>+D17-H17</f>
        <v>-8125</v>
      </c>
      <c r="M17" s="15"/>
      <c r="N17" s="21">
        <f>IF(H17=0,0,L17/H17)</f>
        <v>-0.38056206088992972</v>
      </c>
      <c r="O17" s="29"/>
      <c r="P17" s="20">
        <f>P12-P15</f>
        <v>335672</v>
      </c>
      <c r="Q17" s="14"/>
      <c r="R17" s="21">
        <f>IF(P$12=0,0,P17/P$12)</f>
        <v>1</v>
      </c>
      <c r="S17" s="14"/>
      <c r="T17" s="20">
        <f>T12-T15</f>
        <v>166801</v>
      </c>
      <c r="U17" s="14"/>
      <c r="V17" s="21">
        <f>IF(T$12=0,0,T17/T$12)</f>
        <v>1</v>
      </c>
      <c r="W17" s="15"/>
      <c r="X17" s="20">
        <f>+P17-T17</f>
        <v>168871</v>
      </c>
      <c r="Y17" s="15"/>
      <c r="Z17" s="21">
        <f>IF(T17=0,0,X17/T17)</f>
        <v>1.0124099975419811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2">
        <f>SUM(OSRRefD22x_0)</f>
        <v>20530.420000000002</v>
      </c>
      <c r="E19" s="22"/>
      <c r="F19" s="36">
        <f t="shared" ref="F19:F29" si="4">IF(D$12=0,0,D19/D$12)</f>
        <v>1.5523947069943291</v>
      </c>
      <c r="G19" s="22"/>
      <c r="H19" s="22">
        <f>SUM(OSRRefH22x_0)</f>
        <v>20034.310000000001</v>
      </c>
      <c r="I19" s="22"/>
      <c r="J19" s="36">
        <f t="shared" ref="J19:J29" si="5">IF(H$12=0,0,H19/H$12)</f>
        <v>0.93837517564402817</v>
      </c>
      <c r="K19" s="4"/>
      <c r="L19" s="22">
        <f t="shared" ref="L19:L29" si="6">+D19-H19</f>
        <v>496.11000000000058</v>
      </c>
      <c r="M19" s="4"/>
      <c r="N19" s="36">
        <f t="shared" ref="N19:N29" si="7">IF(H19=0,0,L19/H19)</f>
        <v>2.4763019040835475E-2</v>
      </c>
      <c r="O19" s="10"/>
      <c r="P19" s="22">
        <f>SUM(OSRRefP22x_0)</f>
        <v>285695.19</v>
      </c>
      <c r="Q19" s="22"/>
      <c r="R19" s="36">
        <f t="shared" ref="R19:R29" si="8">IF(P$12=0,0,P19/P$12)</f>
        <v>0.85111415310183747</v>
      </c>
      <c r="S19" s="22"/>
      <c r="T19" s="22">
        <f>SUM(OSRRefT22x_0)</f>
        <v>165274.94999999995</v>
      </c>
      <c r="U19" s="22"/>
      <c r="V19" s="36">
        <f t="shared" ref="V19:V29" si="9">IF(T$12=0,0,T19/T$12)</f>
        <v>0.99085107403432804</v>
      </c>
      <c r="W19" s="4"/>
      <c r="X19" s="22">
        <f t="shared" ref="X19:X29" si="10">+P19-T19</f>
        <v>120420.24000000005</v>
      </c>
      <c r="Y19" s="4"/>
      <c r="Z19" s="36">
        <f t="shared" ref="Z19:Z29" si="11">IF(T19=0,0,X19/T19)</f>
        <v>0.72860551462880541</v>
      </c>
    </row>
    <row r="20" spans="1:26" s="25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3872.88</v>
      </c>
      <c r="E20" s="1"/>
      <c r="F20" s="5">
        <f t="shared" si="4"/>
        <v>0.29284536862003779</v>
      </c>
      <c r="G20" s="1"/>
      <c r="H20" s="1">
        <f>SUM(OSRRefH22_0x_0)</f>
        <v>3916.68</v>
      </c>
      <c r="I20" s="1"/>
      <c r="J20" s="5">
        <f t="shared" si="5"/>
        <v>0.1834510538641686</v>
      </c>
      <c r="K20" s="1"/>
      <c r="L20" s="1">
        <f t="shared" si="6"/>
        <v>-43.799999999999727</v>
      </c>
      <c r="M20" s="1"/>
      <c r="N20" s="5">
        <f t="shared" si="7"/>
        <v>-1.1182940653818982E-2</v>
      </c>
      <c r="O20" s="13"/>
      <c r="P20" s="1">
        <f>SUM(OSRRefP22_0x_0)</f>
        <v>25245.63</v>
      </c>
      <c r="Q20" s="1"/>
      <c r="R20" s="5">
        <f t="shared" si="8"/>
        <v>7.520922209776211E-2</v>
      </c>
      <c r="S20" s="1"/>
      <c r="T20" s="1">
        <f>SUM(OSRRefT22_0x_0)</f>
        <v>27100.460000000003</v>
      </c>
      <c r="U20" s="1"/>
      <c r="V20" s="5">
        <f t="shared" si="9"/>
        <v>0.16247180772297529</v>
      </c>
      <c r="W20" s="1"/>
      <c r="X20" s="1">
        <f t="shared" si="10"/>
        <v>-1854.8300000000017</v>
      </c>
      <c r="Y20" s="1"/>
      <c r="Z20" s="5">
        <f t="shared" si="11"/>
        <v>-6.8442749680263787E-2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7">
        <v>938.94</v>
      </c>
      <c r="E21" s="2"/>
      <c r="F21" s="6">
        <f t="shared" si="4"/>
        <v>7.0997353497164462E-2</v>
      </c>
      <c r="G21" s="2"/>
      <c r="H21" s="7">
        <v>907.16</v>
      </c>
      <c r="I21" s="2"/>
      <c r="J21" s="6">
        <f t="shared" si="5"/>
        <v>4.2489929742388757E-2</v>
      </c>
      <c r="K21" s="2"/>
      <c r="L21" s="7">
        <f t="shared" si="6"/>
        <v>31.780000000000086</v>
      </c>
      <c r="M21" s="2"/>
      <c r="N21" s="6">
        <f t="shared" si="7"/>
        <v>3.5032408836368545E-2</v>
      </c>
      <c r="O21" s="11"/>
      <c r="P21" s="7">
        <v>6290.87</v>
      </c>
      <c r="Q21" s="2"/>
      <c r="R21" s="6">
        <f t="shared" si="8"/>
        <v>1.8741122286041134E-2</v>
      </c>
      <c r="S21" s="2"/>
      <c r="T21" s="7">
        <v>6796.74</v>
      </c>
      <c r="U21" s="2"/>
      <c r="V21" s="6">
        <f t="shared" si="9"/>
        <v>4.0747597436466207E-2</v>
      </c>
      <c r="W21" s="2"/>
      <c r="X21" s="7">
        <f t="shared" si="10"/>
        <v>-505.86999999999989</v>
      </c>
      <c r="Y21" s="2"/>
      <c r="Z21" s="6">
        <f t="shared" si="11"/>
        <v>-7.442832887531374E-2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171.99</v>
      </c>
      <c r="E22" s="2"/>
      <c r="F22" s="6">
        <f t="shared" si="4"/>
        <v>1.300491493383743E-2</v>
      </c>
      <c r="G22" s="2"/>
      <c r="H22" s="7">
        <v>70.650000000000006</v>
      </c>
      <c r="I22" s="2"/>
      <c r="J22" s="6">
        <f t="shared" si="5"/>
        <v>3.3091334894613587E-3</v>
      </c>
      <c r="K22" s="2"/>
      <c r="L22" s="7">
        <f t="shared" si="6"/>
        <v>101.34</v>
      </c>
      <c r="M22" s="2"/>
      <c r="N22" s="6">
        <f t="shared" si="7"/>
        <v>1.4343949044585986</v>
      </c>
      <c r="O22" s="11"/>
      <c r="P22" s="7">
        <v>667.52</v>
      </c>
      <c r="Q22" s="2"/>
      <c r="R22" s="6">
        <f t="shared" si="8"/>
        <v>1.9886079267856715E-3</v>
      </c>
      <c r="S22" s="2"/>
      <c r="T22" s="7">
        <v>287.29000000000002</v>
      </c>
      <c r="U22" s="2"/>
      <c r="V22" s="6">
        <f t="shared" si="9"/>
        <v>1.7223517844617239E-3</v>
      </c>
      <c r="W22" s="2"/>
      <c r="X22" s="7">
        <f t="shared" si="10"/>
        <v>380.22999999999996</v>
      </c>
      <c r="Y22" s="2"/>
      <c r="Z22" s="6">
        <f t="shared" si="11"/>
        <v>1.3235058651536773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7">
        <v>1230.45</v>
      </c>
      <c r="E23" s="2"/>
      <c r="F23" s="6">
        <f t="shared" si="4"/>
        <v>9.3039697542533079E-2</v>
      </c>
      <c r="G23" s="2"/>
      <c r="H23" s="7">
        <v>1243.31</v>
      </c>
      <c r="I23" s="2"/>
      <c r="J23" s="6">
        <f t="shared" si="5"/>
        <v>5.8234660421545667E-2</v>
      </c>
      <c r="K23" s="2"/>
      <c r="L23" s="7">
        <f t="shared" si="6"/>
        <v>-12.8599999999999</v>
      </c>
      <c r="M23" s="2"/>
      <c r="N23" s="6">
        <f t="shared" si="7"/>
        <v>-1.0343357650143489E-2</v>
      </c>
      <c r="O23" s="11"/>
      <c r="P23" s="7">
        <v>7403</v>
      </c>
      <c r="Q23" s="2"/>
      <c r="R23" s="6">
        <f t="shared" si="8"/>
        <v>2.2054267260897542E-2</v>
      </c>
      <c r="S23" s="2"/>
      <c r="T23" s="7">
        <v>7459.86</v>
      </c>
      <c r="U23" s="2"/>
      <c r="V23" s="6">
        <f t="shared" si="9"/>
        <v>4.4723113170784347E-2</v>
      </c>
      <c r="W23" s="2"/>
      <c r="X23" s="7">
        <f t="shared" si="10"/>
        <v>-56.859999999999673</v>
      </c>
      <c r="Y23" s="2"/>
      <c r="Z23" s="6">
        <f t="shared" si="11"/>
        <v>-7.622126956806116E-3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/>
      <c r="E24" s="2"/>
      <c r="F24" s="6">
        <f t="shared" si="4"/>
        <v>0</v>
      </c>
      <c r="G24" s="2"/>
      <c r="H24" s="7">
        <v>54.02</v>
      </c>
      <c r="I24" s="2"/>
      <c r="J24" s="6">
        <f t="shared" si="5"/>
        <v>2.5302107728337239E-3</v>
      </c>
      <c r="K24" s="2"/>
      <c r="L24" s="7">
        <f t="shared" si="6"/>
        <v>-54.02</v>
      </c>
      <c r="M24" s="2"/>
      <c r="N24" s="6">
        <f t="shared" si="7"/>
        <v>-1</v>
      </c>
      <c r="O24" s="11"/>
      <c r="P24" s="7">
        <v>214.6</v>
      </c>
      <c r="Q24" s="2"/>
      <c r="R24" s="6">
        <f t="shared" si="8"/>
        <v>6.3931456898400822E-4</v>
      </c>
      <c r="S24" s="2"/>
      <c r="T24" s="7">
        <v>288.94</v>
      </c>
      <c r="U24" s="2"/>
      <c r="V24" s="6">
        <f t="shared" si="9"/>
        <v>1.7322438114879407E-3</v>
      </c>
      <c r="W24" s="2"/>
      <c r="X24" s="7">
        <f t="shared" si="10"/>
        <v>-74.34</v>
      </c>
      <c r="Y24" s="2"/>
      <c r="Z24" s="6">
        <f t="shared" si="11"/>
        <v>-0.25728524953277498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4.8419659735349715E-2</v>
      </c>
      <c r="G25" s="2"/>
      <c r="H25" s="7">
        <v>639.47</v>
      </c>
      <c r="I25" s="2"/>
      <c r="J25" s="6">
        <f t="shared" si="5"/>
        <v>2.9951756440281033E-2</v>
      </c>
      <c r="K25" s="2"/>
      <c r="L25" s="7">
        <f t="shared" si="6"/>
        <v>0.87999999999999545</v>
      </c>
      <c r="M25" s="2"/>
      <c r="N25" s="6">
        <f t="shared" si="7"/>
        <v>1.3761396156191776E-3</v>
      </c>
      <c r="O25" s="11"/>
      <c r="P25" s="7">
        <v>4819.7</v>
      </c>
      <c r="Q25" s="2"/>
      <c r="R25" s="6">
        <f t="shared" si="8"/>
        <v>1.4358361734073738E-2</v>
      </c>
      <c r="S25" s="2"/>
      <c r="T25" s="7">
        <v>4607.24</v>
      </c>
      <c r="U25" s="2"/>
      <c r="V25" s="6">
        <f t="shared" si="9"/>
        <v>2.7621177331071157E-2</v>
      </c>
      <c r="W25" s="2"/>
      <c r="X25" s="7">
        <f t="shared" si="10"/>
        <v>212.46000000000004</v>
      </c>
      <c r="Y25" s="2"/>
      <c r="Z25" s="6">
        <f t="shared" si="11"/>
        <v>4.6114376503069092E-2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71.87</v>
      </c>
      <c r="E26" s="2"/>
      <c r="F26" s="6">
        <f t="shared" si="4"/>
        <v>5.434404536862004E-3</v>
      </c>
      <c r="G26" s="2"/>
      <c r="H26" s="7"/>
      <c r="I26" s="2"/>
      <c r="J26" s="6">
        <f t="shared" si="5"/>
        <v>0</v>
      </c>
      <c r="K26" s="2"/>
      <c r="L26" s="7">
        <f t="shared" si="6"/>
        <v>71.87</v>
      </c>
      <c r="M26" s="2"/>
      <c r="N26" s="6">
        <f t="shared" si="7"/>
        <v>0</v>
      </c>
      <c r="O26" s="11"/>
      <c r="P26" s="7">
        <v>524.61</v>
      </c>
      <c r="Q26" s="2"/>
      <c r="R26" s="6">
        <f t="shared" si="8"/>
        <v>1.5628649395838796E-3</v>
      </c>
      <c r="S26" s="2"/>
      <c r="T26" s="7"/>
      <c r="U26" s="2"/>
      <c r="V26" s="6">
        <f t="shared" si="9"/>
        <v>0</v>
      </c>
      <c r="W26" s="2"/>
      <c r="X26" s="7">
        <f t="shared" si="10"/>
        <v>524.61</v>
      </c>
      <c r="Y26" s="2"/>
      <c r="Z26" s="6">
        <f t="shared" si="11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7">
        <v>520.02</v>
      </c>
      <c r="E27" s="2"/>
      <c r="F27" s="6">
        <f t="shared" si="4"/>
        <v>3.9320982986767485E-2</v>
      </c>
      <c r="G27" s="2"/>
      <c r="H27" s="7">
        <v>577.94000000000005</v>
      </c>
      <c r="I27" s="2"/>
      <c r="J27" s="6">
        <f t="shared" si="5"/>
        <v>2.7069789227166279E-2</v>
      </c>
      <c r="K27" s="2"/>
      <c r="L27" s="7">
        <f t="shared" si="6"/>
        <v>-57.920000000000073</v>
      </c>
      <c r="M27" s="2"/>
      <c r="N27" s="6">
        <f t="shared" si="7"/>
        <v>-0.10021801571097358</v>
      </c>
      <c r="O27" s="11"/>
      <c r="P27" s="7">
        <v>3380.13</v>
      </c>
      <c r="Q27" s="2"/>
      <c r="R27" s="6">
        <f t="shared" si="8"/>
        <v>1.0069740699254034E-2</v>
      </c>
      <c r="S27" s="2"/>
      <c r="T27" s="7">
        <v>4492.88</v>
      </c>
      <c r="U27" s="2"/>
      <c r="V27" s="6">
        <f t="shared" si="9"/>
        <v>2.6935569930635908E-2</v>
      </c>
      <c r="W27" s="2"/>
      <c r="X27" s="7">
        <f t="shared" si="10"/>
        <v>-1112.75</v>
      </c>
      <c r="Y27" s="2"/>
      <c r="Z27" s="6">
        <f t="shared" si="11"/>
        <v>-0.24766964619575862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7">
        <v>299.26</v>
      </c>
      <c r="E28" s="2"/>
      <c r="F28" s="6">
        <f t="shared" si="4"/>
        <v>2.2628355387523627E-2</v>
      </c>
      <c r="G28" s="2"/>
      <c r="H28" s="7">
        <v>288.57</v>
      </c>
      <c r="I28" s="2"/>
      <c r="J28" s="6">
        <f t="shared" si="5"/>
        <v>1.3516159250585479E-2</v>
      </c>
      <c r="K28" s="2"/>
      <c r="L28" s="7">
        <f t="shared" si="6"/>
        <v>10.689999999999998</v>
      </c>
      <c r="M28" s="2"/>
      <c r="N28" s="6">
        <f t="shared" si="7"/>
        <v>3.7044737845236854E-2</v>
      </c>
      <c r="O28" s="11"/>
      <c r="P28" s="7">
        <v>1945.2</v>
      </c>
      <c r="Q28" s="2"/>
      <c r="R28" s="6">
        <f t="shared" si="8"/>
        <v>5.7949426821420911E-3</v>
      </c>
      <c r="S28" s="2"/>
      <c r="T28" s="7">
        <v>2265.6999999999998</v>
      </c>
      <c r="U28" s="2"/>
      <c r="V28" s="6">
        <f t="shared" si="9"/>
        <v>1.3583251898969429E-2</v>
      </c>
      <c r="W28" s="2"/>
      <c r="X28" s="7">
        <f t="shared" si="10"/>
        <v>-320.49999999999977</v>
      </c>
      <c r="Y28" s="2"/>
      <c r="Z28" s="6">
        <f t="shared" si="11"/>
        <v>-0.14145738623824858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7"/>
      <c r="E29" s="2"/>
      <c r="F29" s="6">
        <f t="shared" si="4"/>
        <v>0</v>
      </c>
      <c r="G29" s="2"/>
      <c r="H29" s="7">
        <v>135.56</v>
      </c>
      <c r="I29" s="2"/>
      <c r="J29" s="6">
        <f t="shared" si="5"/>
        <v>6.3494145199063231E-3</v>
      </c>
      <c r="K29" s="2"/>
      <c r="L29" s="7">
        <f t="shared" si="6"/>
        <v>-135.56</v>
      </c>
      <c r="M29" s="2"/>
      <c r="N29" s="6">
        <f t="shared" si="7"/>
        <v>-1</v>
      </c>
      <c r="O29" s="11"/>
      <c r="P29" s="7"/>
      <c r="Q29" s="2"/>
      <c r="R29" s="6">
        <f t="shared" si="8"/>
        <v>0</v>
      </c>
      <c r="S29" s="2"/>
      <c r="T29" s="7">
        <v>901.81</v>
      </c>
      <c r="U29" s="2"/>
      <c r="V29" s="6">
        <f t="shared" si="9"/>
        <v>5.4065023590985665E-3</v>
      </c>
      <c r="W29" s="2"/>
      <c r="X29" s="7">
        <f t="shared" si="10"/>
        <v>-901.81</v>
      </c>
      <c r="Y29" s="2"/>
      <c r="Z29" s="6">
        <f t="shared" si="11"/>
        <v>-1</v>
      </c>
    </row>
    <row r="30" spans="1:26" s="25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12559.970000000001</v>
      </c>
      <c r="E30" s="1"/>
      <c r="F30" s="5">
        <f t="shared" ref="F30:F35" si="12">IF(D$12=0,0,D30/D$12)</f>
        <v>0.94971417769376187</v>
      </c>
      <c r="G30" s="1"/>
      <c r="H30" s="1">
        <f>SUM(OSRRefH22_1x_0)</f>
        <v>12932.08</v>
      </c>
      <c r="I30" s="1"/>
      <c r="J30" s="5">
        <f t="shared" ref="J30:J35" si="13">IF(H$12=0,0,H30/H$12)</f>
        <v>0.6057180327868853</v>
      </c>
      <c r="K30" s="1"/>
      <c r="L30" s="1">
        <f t="shared" ref="L30:L35" si="14">+D30-H30</f>
        <v>-372.10999999999876</v>
      </c>
      <c r="M30" s="1"/>
      <c r="N30" s="5">
        <f t="shared" ref="N30:N35" si="15">IF(H30=0,0,L30/H30)</f>
        <v>-2.8774180178285223E-2</v>
      </c>
      <c r="O30" s="13"/>
      <c r="P30" s="1">
        <f>SUM(OSRRefP22_1x_0)</f>
        <v>85215.37</v>
      </c>
      <c r="Q30" s="1"/>
      <c r="R30" s="5">
        <f t="shared" ref="R30:R35" si="16">IF(P$12=0,0,P30/P$12)</f>
        <v>0.2538649932076551</v>
      </c>
      <c r="S30" s="1"/>
      <c r="T30" s="1">
        <f>SUM(OSRRefT22_1x_0)</f>
        <v>100031.45</v>
      </c>
      <c r="U30" s="1"/>
      <c r="V30" s="5">
        <f t="shared" ref="V30:V35" si="17">IF(T$12=0,0,T30/T$12)</f>
        <v>0.59970533749797661</v>
      </c>
      <c r="W30" s="1"/>
      <c r="X30" s="1">
        <f t="shared" ref="X30:X35" si="18">+P30-T30</f>
        <v>-14816.080000000002</v>
      </c>
      <c r="Y30" s="1"/>
      <c r="Z30" s="5">
        <f t="shared" ref="Z30:Z35" si="19">IF(T30=0,0,X30/T30)</f>
        <v>-0.14811421807841435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>
        <v>3785.15</v>
      </c>
      <c r="E31" s="2"/>
      <c r="F31" s="6">
        <f t="shared" si="12"/>
        <v>0.2862117202268431</v>
      </c>
      <c r="G31" s="2"/>
      <c r="H31" s="7"/>
      <c r="I31" s="2"/>
      <c r="J31" s="6">
        <f t="shared" si="13"/>
        <v>0</v>
      </c>
      <c r="K31" s="2"/>
      <c r="L31" s="7">
        <f t="shared" si="14"/>
        <v>3785.15</v>
      </c>
      <c r="M31" s="2"/>
      <c r="N31" s="6">
        <f t="shared" si="15"/>
        <v>0</v>
      </c>
      <c r="O31" s="11"/>
      <c r="P31" s="7">
        <v>25654.89</v>
      </c>
      <c r="Q31" s="2"/>
      <c r="R31" s="6">
        <f t="shared" si="16"/>
        <v>7.6428448008770467E-2</v>
      </c>
      <c r="S31" s="2"/>
      <c r="T31" s="7"/>
      <c r="U31" s="2"/>
      <c r="V31" s="6">
        <f t="shared" si="17"/>
        <v>0</v>
      </c>
      <c r="W31" s="2"/>
      <c r="X31" s="7">
        <f t="shared" si="18"/>
        <v>25654.89</v>
      </c>
      <c r="Y31" s="2"/>
      <c r="Z31" s="6">
        <f t="shared" si="19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7">
        <v>1939.95</v>
      </c>
      <c r="E32" s="2"/>
      <c r="F32" s="6">
        <f t="shared" si="12"/>
        <v>0.14668809073724007</v>
      </c>
      <c r="G32" s="2"/>
      <c r="H32" s="7">
        <v>5318</v>
      </c>
      <c r="I32" s="2"/>
      <c r="J32" s="6">
        <f t="shared" si="13"/>
        <v>0.24908665105386416</v>
      </c>
      <c r="K32" s="2"/>
      <c r="L32" s="7">
        <f t="shared" si="14"/>
        <v>-3378.05</v>
      </c>
      <c r="M32" s="2"/>
      <c r="N32" s="6">
        <f t="shared" si="15"/>
        <v>-0.63521060549078601</v>
      </c>
      <c r="O32" s="11"/>
      <c r="P32" s="7">
        <v>13693.79</v>
      </c>
      <c r="Q32" s="2"/>
      <c r="R32" s="6">
        <f t="shared" si="16"/>
        <v>4.0795151219047171E-2</v>
      </c>
      <c r="S32" s="2"/>
      <c r="T32" s="7">
        <v>34499.879999999997</v>
      </c>
      <c r="U32" s="2"/>
      <c r="V32" s="6">
        <f t="shared" si="17"/>
        <v>0.20683257294620536</v>
      </c>
      <c r="W32" s="2"/>
      <c r="X32" s="7">
        <f t="shared" si="18"/>
        <v>-20806.089999999997</v>
      </c>
      <c r="Y32" s="2"/>
      <c r="Z32" s="6">
        <f t="shared" si="19"/>
        <v>-0.60307717012349027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7">
        <v>5819.39</v>
      </c>
      <c r="E33" s="2"/>
      <c r="F33" s="6">
        <f t="shared" si="12"/>
        <v>0.44002948960302463</v>
      </c>
      <c r="G33" s="2"/>
      <c r="H33" s="7">
        <v>5841.27</v>
      </c>
      <c r="I33" s="2"/>
      <c r="J33" s="6">
        <f t="shared" si="13"/>
        <v>0.27359578454332556</v>
      </c>
      <c r="K33" s="2"/>
      <c r="L33" s="7">
        <f t="shared" si="14"/>
        <v>-21.880000000000109</v>
      </c>
      <c r="M33" s="2"/>
      <c r="N33" s="6">
        <f t="shared" si="15"/>
        <v>-3.7457607677782584E-3</v>
      </c>
      <c r="O33" s="11"/>
      <c r="P33" s="7">
        <v>39166.15</v>
      </c>
      <c r="Q33" s="2"/>
      <c r="R33" s="6">
        <f t="shared" si="16"/>
        <v>0.11667982435234396</v>
      </c>
      <c r="S33" s="2"/>
      <c r="T33" s="7">
        <v>44937.310000000005</v>
      </c>
      <c r="U33" s="2"/>
      <c r="V33" s="6">
        <f t="shared" si="17"/>
        <v>0.26940671818514278</v>
      </c>
      <c r="W33" s="2"/>
      <c r="X33" s="7">
        <f t="shared" si="18"/>
        <v>-5771.1600000000035</v>
      </c>
      <c r="Y33" s="2"/>
      <c r="Z33" s="6">
        <f t="shared" si="19"/>
        <v>-0.12842691295940953</v>
      </c>
    </row>
    <row r="34" spans="1:26" s="24" customFormat="1" hidden="1" outlineLevel="2" x14ac:dyDescent="0.25">
      <c r="A34" s="27"/>
      <c r="B34" s="11" t="str">
        <f>CONCATENATE("          ", "6007", " - ", "STUDENT HOURLY")</f>
        <v xml:space="preserve">          6007 - STUDENT HOURLY</v>
      </c>
      <c r="C34" s="11"/>
      <c r="D34" s="7">
        <v>612</v>
      </c>
      <c r="E34" s="2"/>
      <c r="F34" s="6">
        <f t="shared" si="12"/>
        <v>4.6275992438563326E-2</v>
      </c>
      <c r="G34" s="2"/>
      <c r="H34" s="7">
        <v>1597.5</v>
      </c>
      <c r="I34" s="2"/>
      <c r="J34" s="6">
        <f t="shared" si="13"/>
        <v>7.4824355971896961E-2</v>
      </c>
      <c r="K34" s="2"/>
      <c r="L34" s="7">
        <f t="shared" si="14"/>
        <v>-985.5</v>
      </c>
      <c r="M34" s="2"/>
      <c r="N34" s="6">
        <f t="shared" si="15"/>
        <v>-0.61690140845070418</v>
      </c>
      <c r="O34" s="11"/>
      <c r="P34" s="7">
        <v>3927.98</v>
      </c>
      <c r="Q34" s="2"/>
      <c r="R34" s="6">
        <f t="shared" si="16"/>
        <v>1.1701839891322481E-2</v>
      </c>
      <c r="S34" s="2"/>
      <c r="T34" s="7">
        <v>16644.929999999997</v>
      </c>
      <c r="U34" s="2"/>
      <c r="V34" s="6">
        <f t="shared" si="17"/>
        <v>9.9789149945144193E-2</v>
      </c>
      <c r="W34" s="2"/>
      <c r="X34" s="7">
        <f t="shared" si="18"/>
        <v>-12716.949999999997</v>
      </c>
      <c r="Y34" s="2"/>
      <c r="Z34" s="6">
        <f t="shared" si="19"/>
        <v>-0.76401342631059421</v>
      </c>
    </row>
    <row r="35" spans="1:26" s="24" customFormat="1" hidden="1" outlineLevel="2" x14ac:dyDescent="0.25">
      <c r="A35" s="27"/>
      <c r="B35" s="11" t="str">
        <f>CONCATENATE("          ", "6008", " - ", "STUDENT HOURLY-FICA EXEMPT")</f>
        <v xml:space="preserve">          6008 - STUDENT HOURLY-FICA EXEMPT</v>
      </c>
      <c r="C35" s="11"/>
      <c r="D35" s="7">
        <v>403.48</v>
      </c>
      <c r="E35" s="2"/>
      <c r="F35" s="6">
        <f t="shared" si="12"/>
        <v>3.0508884688090737E-2</v>
      </c>
      <c r="G35" s="2"/>
      <c r="H35" s="7">
        <v>175.31</v>
      </c>
      <c r="I35" s="2"/>
      <c r="J35" s="6">
        <f t="shared" si="13"/>
        <v>8.2112412177985945E-3</v>
      </c>
      <c r="K35" s="2"/>
      <c r="L35" s="7">
        <f t="shared" si="14"/>
        <v>228.17000000000002</v>
      </c>
      <c r="M35" s="2"/>
      <c r="N35" s="6">
        <f t="shared" si="15"/>
        <v>1.3015230163710001</v>
      </c>
      <c r="O35" s="11"/>
      <c r="P35" s="7">
        <v>2772.56</v>
      </c>
      <c r="Q35" s="2"/>
      <c r="R35" s="6">
        <f t="shared" si="16"/>
        <v>8.2597297361710238E-3</v>
      </c>
      <c r="S35" s="2"/>
      <c r="T35" s="7">
        <v>3949.33</v>
      </c>
      <c r="U35" s="2"/>
      <c r="V35" s="6">
        <f t="shared" si="17"/>
        <v>2.3676896421484284E-2</v>
      </c>
      <c r="W35" s="2"/>
      <c r="X35" s="7">
        <f t="shared" si="18"/>
        <v>-1176.77</v>
      </c>
      <c r="Y35" s="2"/>
      <c r="Z35" s="6">
        <f t="shared" si="19"/>
        <v>-0.29796699693365708</v>
      </c>
    </row>
    <row r="36" spans="1:26" s="25" customFormat="1" outlineLevel="1" collapsed="1" x14ac:dyDescent="0.25">
      <c r="A36" s="26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0</v>
      </c>
      <c r="I36" s="1"/>
      <c r="J36" s="5">
        <f t="shared" ref="J36:J44" si="21">IF(H$12=0,0,H36/H$12)</f>
        <v>0</v>
      </c>
      <c r="K36" s="1"/>
      <c r="L36" s="1">
        <f t="shared" ref="L36:L44" si="22">+D36-H36</f>
        <v>0</v>
      </c>
      <c r="M36" s="1"/>
      <c r="N36" s="5">
        <f t="shared" ref="N36:N44" si="23">IF(H36=0,0,L36/H36)</f>
        <v>0</v>
      </c>
      <c r="O36" s="13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106.77</v>
      </c>
      <c r="U36" s="1"/>
      <c r="V36" s="5">
        <f t="shared" ref="V36:V44" si="25">IF(T$12=0,0,T36/T$12)</f>
        <v>6.4010407611465154E-4</v>
      </c>
      <c r="W36" s="1"/>
      <c r="X36" s="1">
        <f t="shared" ref="X36:X44" si="26">+P36-T36</f>
        <v>-106.77</v>
      </c>
      <c r="Y36" s="1"/>
      <c r="Z36" s="5">
        <f t="shared" ref="Z36:Z44" si="27">IF(T36=0,0,X36/T36)</f>
        <v>-1</v>
      </c>
    </row>
    <row r="37" spans="1:26" s="24" customFormat="1" hidden="1" outlineLevel="2" x14ac:dyDescent="0.25">
      <c r="A37" s="27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20"/>
        <v>0</v>
      </c>
      <c r="G37" s="2"/>
      <c r="H37" s="7"/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106.77</v>
      </c>
      <c r="U37" s="2"/>
      <c r="V37" s="6">
        <f t="shared" si="25"/>
        <v>6.4010407611465154E-4</v>
      </c>
      <c r="W37" s="2"/>
      <c r="X37" s="7">
        <f t="shared" si="26"/>
        <v>-106.77</v>
      </c>
      <c r="Y37" s="2"/>
      <c r="Z37" s="6">
        <f t="shared" si="27"/>
        <v>-1</v>
      </c>
    </row>
    <row r="38" spans="1:26" s="25" customFormat="1" outlineLevel="1" collapsed="1" x14ac:dyDescent="0.25">
      <c r="A38" s="26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45.41</v>
      </c>
      <c r="E38" s="1"/>
      <c r="F38" s="5">
        <f t="shared" si="20"/>
        <v>3.4336483931947069E-3</v>
      </c>
      <c r="G38" s="1"/>
      <c r="H38" s="1">
        <f>SUM(OSRRefH22_3x_0)</f>
        <v>1698.21</v>
      </c>
      <c r="I38" s="1"/>
      <c r="J38" s="5">
        <f t="shared" si="21"/>
        <v>7.9541451990632325E-2</v>
      </c>
      <c r="K38" s="1"/>
      <c r="L38" s="1">
        <f t="shared" si="22"/>
        <v>-1652.8</v>
      </c>
      <c r="M38" s="1"/>
      <c r="N38" s="5">
        <f t="shared" si="23"/>
        <v>-0.97326007973101081</v>
      </c>
      <c r="O38" s="13"/>
      <c r="P38" s="1">
        <f>SUM(OSRRefP22_3x_0)</f>
        <v>619.58000000000004</v>
      </c>
      <c r="Q38" s="1"/>
      <c r="R38" s="5">
        <f t="shared" si="24"/>
        <v>1.8457899377964204E-3</v>
      </c>
      <c r="S38" s="1"/>
      <c r="T38" s="1">
        <f>SUM(OSRRefT22_3x_0)</f>
        <v>12556</v>
      </c>
      <c r="U38" s="1"/>
      <c r="V38" s="5">
        <f t="shared" si="25"/>
        <v>7.5275328085563031E-2</v>
      </c>
      <c r="W38" s="1"/>
      <c r="X38" s="1">
        <f t="shared" si="26"/>
        <v>-11936.42</v>
      </c>
      <c r="Y38" s="1"/>
      <c r="Z38" s="5">
        <f t="shared" si="27"/>
        <v>-0.95065466709143043</v>
      </c>
    </row>
    <row r="39" spans="1:26" s="24" customFormat="1" hidden="1" outlineLevel="2" x14ac:dyDescent="0.25">
      <c r="A39" s="27"/>
      <c r="B39" s="11" t="str">
        <f>CONCATENATE("          ", "6381", " - ", "BANK/CREDIT CARD FEES")</f>
        <v xml:space="preserve">          6381 - BANK/CREDIT CARD FEES</v>
      </c>
      <c r="C39" s="11"/>
      <c r="D39" s="7">
        <v>45.41</v>
      </c>
      <c r="E39" s="2"/>
      <c r="F39" s="6">
        <f t="shared" si="20"/>
        <v>3.4336483931947069E-3</v>
      </c>
      <c r="G39" s="2"/>
      <c r="H39" s="7">
        <v>1698.21</v>
      </c>
      <c r="I39" s="2"/>
      <c r="J39" s="6">
        <f t="shared" si="21"/>
        <v>7.9541451990632325E-2</v>
      </c>
      <c r="K39" s="2"/>
      <c r="L39" s="7">
        <f t="shared" si="22"/>
        <v>-1652.8</v>
      </c>
      <c r="M39" s="2"/>
      <c r="N39" s="6">
        <f t="shared" si="23"/>
        <v>-0.97326007973101081</v>
      </c>
      <c r="O39" s="11"/>
      <c r="P39" s="7">
        <v>619.58000000000004</v>
      </c>
      <c r="Q39" s="2"/>
      <c r="R39" s="6">
        <f t="shared" si="24"/>
        <v>1.8457899377964204E-3</v>
      </c>
      <c r="S39" s="2"/>
      <c r="T39" s="7">
        <v>12556</v>
      </c>
      <c r="U39" s="2"/>
      <c r="V39" s="6">
        <f t="shared" si="25"/>
        <v>7.5275328085563031E-2</v>
      </c>
      <c r="W39" s="2"/>
      <c r="X39" s="7">
        <f t="shared" si="26"/>
        <v>-11936.42</v>
      </c>
      <c r="Y39" s="2"/>
      <c r="Z39" s="6">
        <f t="shared" si="27"/>
        <v>-0.95065466709143043</v>
      </c>
    </row>
    <row r="40" spans="1:26" s="25" customFormat="1" outlineLevel="1" collapsed="1" x14ac:dyDescent="0.25">
      <c r="A40" s="26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3.8512958555404341E-4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4" customFormat="1" hidden="1" outlineLevel="2" x14ac:dyDescent="0.25">
      <c r="A41" s="27"/>
      <c r="B41" s="11" t="str">
        <f>CONCATENATE("          ", "6277", " - ", "EMPLOYEE APPRECIATION")</f>
        <v xml:space="preserve">          6277 - EMPLOYEE APPRECIATION</v>
      </c>
      <c r="C41" s="11"/>
      <c r="D41" s="7"/>
      <c r="E41" s="2"/>
      <c r="F41" s="6">
        <f t="shared" si="20"/>
        <v>0</v>
      </c>
      <c r="G41" s="2"/>
      <c r="H41" s="7"/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64.239999999999995</v>
      </c>
      <c r="U41" s="2"/>
      <c r="V41" s="6">
        <f t="shared" si="25"/>
        <v>3.8512958555404341E-4</v>
      </c>
      <c r="W41" s="2"/>
      <c r="X41" s="7">
        <f t="shared" si="26"/>
        <v>-64.239999999999995</v>
      </c>
      <c r="Y41" s="2"/>
      <c r="Z41" s="6">
        <f t="shared" si="27"/>
        <v>-1</v>
      </c>
    </row>
    <row r="42" spans="1:26" s="25" customFormat="1" outlineLevel="1" collapsed="1" x14ac:dyDescent="0.25">
      <c r="A42" s="26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3"/>
      <c r="P42" s="1">
        <f>SUM(OSRRefP22_5x_0)</f>
        <v>2.12</v>
      </c>
      <c r="Q42" s="1"/>
      <c r="R42" s="5">
        <f t="shared" si="24"/>
        <v>6.3156891250983107E-6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2.12</v>
      </c>
      <c r="Y42" s="1"/>
      <c r="Z42" s="5">
        <f t="shared" si="27"/>
        <v>0</v>
      </c>
    </row>
    <row r="43" spans="1:26" s="24" customFormat="1" hidden="1" outlineLevel="2" x14ac:dyDescent="0.25">
      <c r="A43" s="27"/>
      <c r="B43" s="11" t="str">
        <f>CONCATENATE("          ", "6305", " - ", "FREIGHT OUT")</f>
        <v xml:space="preserve">          6305 - FREIGHT OUT</v>
      </c>
      <c r="C43" s="11"/>
      <c r="D43" s="7"/>
      <c r="E43" s="2"/>
      <c r="F43" s="6">
        <f t="shared" si="20"/>
        <v>0</v>
      </c>
      <c r="G43" s="2"/>
      <c r="H43" s="7"/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>
        <v>1.62</v>
      </c>
      <c r="Q43" s="2"/>
      <c r="R43" s="6">
        <f t="shared" si="24"/>
        <v>4.8261398031411622E-6</v>
      </c>
      <c r="S43" s="2"/>
      <c r="T43" s="7"/>
      <c r="U43" s="2"/>
      <c r="V43" s="6">
        <f t="shared" si="25"/>
        <v>0</v>
      </c>
      <c r="W43" s="2"/>
      <c r="X43" s="7">
        <f t="shared" si="26"/>
        <v>1.62</v>
      </c>
      <c r="Y43" s="2"/>
      <c r="Z43" s="6">
        <f t="shared" si="27"/>
        <v>0</v>
      </c>
    </row>
    <row r="44" spans="1:26" s="24" customFormat="1" hidden="1" outlineLevel="2" x14ac:dyDescent="0.25">
      <c r="A44" s="27"/>
      <c r="B44" s="11" t="str">
        <f>CONCATENATE("          ", "6307", " - ", "POSTAGE")</f>
        <v xml:space="preserve">          6307 - POSTAGE</v>
      </c>
      <c r="C44" s="11"/>
      <c r="D44" s="7"/>
      <c r="E44" s="2"/>
      <c r="F44" s="6">
        <f t="shared" si="20"/>
        <v>0</v>
      </c>
      <c r="G44" s="2"/>
      <c r="H44" s="7"/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>
        <v>0.5</v>
      </c>
      <c r="Q44" s="2"/>
      <c r="R44" s="6">
        <f t="shared" si="24"/>
        <v>1.4895493219571487E-6</v>
      </c>
      <c r="S44" s="2"/>
      <c r="T44" s="7"/>
      <c r="U44" s="2"/>
      <c r="V44" s="6">
        <f t="shared" si="25"/>
        <v>0</v>
      </c>
      <c r="W44" s="2"/>
      <c r="X44" s="7">
        <f t="shared" si="26"/>
        <v>0.5</v>
      </c>
      <c r="Y44" s="2"/>
      <c r="Z44" s="6">
        <f t="shared" si="27"/>
        <v>0</v>
      </c>
    </row>
    <row r="45" spans="1:26" s="25" customFormat="1" outlineLevel="1" collapsed="1" x14ac:dyDescent="0.25">
      <c r="A45" s="26"/>
      <c r="B45" s="13" t="str">
        <f>CONCATENATE("     ","Insurance                                         ")</f>
        <v xml:space="preserve">     Insurance                                         </v>
      </c>
      <c r="C45" s="13"/>
      <c r="D45" s="1">
        <f>SUM(OSRRefD22_6x_0)</f>
        <v>29.01</v>
      </c>
      <c r="E45" s="1"/>
      <c r="F45" s="5">
        <f t="shared" ref="F45:F52" si="28">IF(D$12=0,0,D45/D$12)</f>
        <v>2.1935727788279773E-3</v>
      </c>
      <c r="G45" s="1"/>
      <c r="H45" s="1">
        <f>SUM(OSRRefH22_6x_0)</f>
        <v>29.01</v>
      </c>
      <c r="I45" s="1"/>
      <c r="J45" s="5">
        <f t="shared" ref="J45:J52" si="29">IF(H$12=0,0,H45/H$12)</f>
        <v>1.3587822014051523E-3</v>
      </c>
      <c r="K45" s="1"/>
      <c r="L45" s="1">
        <f t="shared" ref="L45:L52" si="30">+D45-H45</f>
        <v>0</v>
      </c>
      <c r="M45" s="1"/>
      <c r="N45" s="5">
        <f t="shared" ref="N45:N52" si="31">IF(H45=0,0,L45/H45)</f>
        <v>0</v>
      </c>
      <c r="O45" s="13"/>
      <c r="P45" s="1">
        <f>SUM(OSRRefP22_6x_0)</f>
        <v>174.06</v>
      </c>
      <c r="Q45" s="1"/>
      <c r="R45" s="5">
        <f t="shared" ref="R45:R52" si="32">IF(P$12=0,0,P45/P$12)</f>
        <v>5.1854190995972256E-4</v>
      </c>
      <c r="S45" s="1"/>
      <c r="T45" s="1">
        <f>SUM(OSRRefT22_6x_0)</f>
        <v>174.06</v>
      </c>
      <c r="U45" s="1"/>
      <c r="V45" s="5">
        <f t="shared" ref="V45:V52" si="33">IF(T$12=0,0,T45/T$12)</f>
        <v>1.0435189237474596E-3</v>
      </c>
      <c r="W45" s="1"/>
      <c r="X45" s="1">
        <f t="shared" ref="X45:X52" si="34">+P45-T45</f>
        <v>0</v>
      </c>
      <c r="Y45" s="1"/>
      <c r="Z45" s="5">
        <f t="shared" ref="Z45:Z52" si="35">IF(T45=0,0,X45/T45)</f>
        <v>0</v>
      </c>
    </row>
    <row r="46" spans="1:26" s="24" customFormat="1" hidden="1" outlineLevel="2" x14ac:dyDescent="0.25">
      <c r="A46" s="27"/>
      <c r="B46" s="11" t="str">
        <f>CONCATENATE("          ", "6314", " - ", "LIABILITY INSURANCE")</f>
        <v xml:space="preserve">          6314 - LIABILITY INSURANCE</v>
      </c>
      <c r="C46" s="11"/>
      <c r="D46" s="7">
        <v>29.01</v>
      </c>
      <c r="E46" s="2"/>
      <c r="F46" s="6">
        <f t="shared" si="28"/>
        <v>2.1935727788279773E-3</v>
      </c>
      <c r="G46" s="2"/>
      <c r="H46" s="7">
        <v>29.01</v>
      </c>
      <c r="I46" s="2"/>
      <c r="J46" s="6">
        <f t="shared" si="29"/>
        <v>1.3587822014051523E-3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174.06</v>
      </c>
      <c r="Q46" s="2"/>
      <c r="R46" s="6">
        <f t="shared" si="32"/>
        <v>5.1854190995972256E-4</v>
      </c>
      <c r="S46" s="2"/>
      <c r="T46" s="7">
        <v>174.06</v>
      </c>
      <c r="U46" s="2"/>
      <c r="V46" s="6">
        <f t="shared" si="33"/>
        <v>1.0435189237474596E-3</v>
      </c>
      <c r="W46" s="2"/>
      <c r="X46" s="7">
        <f t="shared" si="34"/>
        <v>0</v>
      </c>
      <c r="Y46" s="2"/>
      <c r="Z46" s="6">
        <f t="shared" si="35"/>
        <v>0</v>
      </c>
    </row>
    <row r="47" spans="1:26" s="25" customFormat="1" outlineLevel="1" collapsed="1" x14ac:dyDescent="0.25">
      <c r="A47" s="26"/>
      <c r="B47" s="13" t="str">
        <f>CONCATENATE("     ","Rent                                              ")</f>
        <v xml:space="preserve">     Rent                                              </v>
      </c>
      <c r="C47" s="13"/>
      <c r="D47" s="1">
        <f>SUM(OSRRefD22_7x_0)</f>
        <v>800</v>
      </c>
      <c r="E47" s="1"/>
      <c r="F47" s="5">
        <f t="shared" si="28"/>
        <v>6.0491493383742913E-2</v>
      </c>
      <c r="G47" s="1"/>
      <c r="H47" s="1">
        <f>SUM(OSRRefH22_7x_0)</f>
        <v>800</v>
      </c>
      <c r="I47" s="1"/>
      <c r="J47" s="5">
        <f t="shared" si="29"/>
        <v>3.7470725995316159E-2</v>
      </c>
      <c r="K47" s="1"/>
      <c r="L47" s="1">
        <f t="shared" si="30"/>
        <v>0</v>
      </c>
      <c r="M47" s="1"/>
      <c r="N47" s="5">
        <f t="shared" si="31"/>
        <v>0</v>
      </c>
      <c r="O47" s="13"/>
      <c r="P47" s="1">
        <f>SUM(OSRRefP22_7x_0)</f>
        <v>4800</v>
      </c>
      <c r="Q47" s="1"/>
      <c r="R47" s="5">
        <f t="shared" si="32"/>
        <v>1.4299673490788627E-2</v>
      </c>
      <c r="S47" s="1"/>
      <c r="T47" s="1">
        <f>SUM(OSRRefT22_7x_0)</f>
        <v>4800</v>
      </c>
      <c r="U47" s="1"/>
      <c r="V47" s="5">
        <f t="shared" si="33"/>
        <v>2.8776805894449073E-2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7"/>
      <c r="B48" s="11" t="str">
        <f>CONCATENATE("          ", "6273", " - ", "RENT")</f>
        <v xml:space="preserve">          6273 - RENT</v>
      </c>
      <c r="C48" s="11"/>
      <c r="D48" s="7">
        <v>800</v>
      </c>
      <c r="E48" s="2"/>
      <c r="F48" s="6">
        <f t="shared" si="28"/>
        <v>6.0491493383742913E-2</v>
      </c>
      <c r="G48" s="2"/>
      <c r="H48" s="7">
        <v>800</v>
      </c>
      <c r="I48" s="2"/>
      <c r="J48" s="6">
        <f t="shared" si="29"/>
        <v>3.7470725995316159E-2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4800</v>
      </c>
      <c r="Q48" s="2"/>
      <c r="R48" s="6">
        <f t="shared" si="32"/>
        <v>1.4299673490788627E-2</v>
      </c>
      <c r="S48" s="2"/>
      <c r="T48" s="7">
        <v>4800</v>
      </c>
      <c r="U48" s="2"/>
      <c r="V48" s="6">
        <f t="shared" si="33"/>
        <v>2.8776805894449073E-2</v>
      </c>
      <c r="W48" s="2"/>
      <c r="X48" s="7">
        <f t="shared" si="34"/>
        <v>0</v>
      </c>
      <c r="Y48" s="2"/>
      <c r="Z48" s="6">
        <f t="shared" si="35"/>
        <v>0</v>
      </c>
    </row>
    <row r="49" spans="1:26" s="25" customFormat="1" outlineLevel="1" collapsed="1" x14ac:dyDescent="0.25">
      <c r="A49" s="26"/>
      <c r="B49" s="13" t="str">
        <f>CONCATENATE("     ","Repair and Maintenance                            ")</f>
        <v xml:space="preserve">     Repair and Maintenance                            </v>
      </c>
      <c r="C49" s="13"/>
      <c r="D49" s="1">
        <f>SUM(OSRRefD22_8x_0)</f>
        <v>3087</v>
      </c>
      <c r="E49" s="1"/>
      <c r="F49" s="5">
        <f t="shared" si="28"/>
        <v>0.23342155009451795</v>
      </c>
      <c r="G49" s="1"/>
      <c r="H49" s="1">
        <f>SUM(OSRRefH22_8x_0)</f>
        <v>312.64999999999998</v>
      </c>
      <c r="I49" s="1"/>
      <c r="J49" s="5">
        <f t="shared" si="29"/>
        <v>1.4644028103044495E-2</v>
      </c>
      <c r="K49" s="1"/>
      <c r="L49" s="1">
        <f t="shared" si="30"/>
        <v>2774.35</v>
      </c>
      <c r="M49" s="1"/>
      <c r="N49" s="5">
        <f t="shared" si="31"/>
        <v>8.8736606428914122</v>
      </c>
      <c r="O49" s="13"/>
      <c r="P49" s="1">
        <f>SUM(OSRRefP22_8x_0)</f>
        <v>126914.90000000001</v>
      </c>
      <c r="Q49" s="1"/>
      <c r="R49" s="5">
        <f t="shared" si="32"/>
        <v>0.37809200648251867</v>
      </c>
      <c r="S49" s="1"/>
      <c r="T49" s="1">
        <f>SUM(OSRRefT22_8x_0)</f>
        <v>749.96</v>
      </c>
      <c r="U49" s="1"/>
      <c r="V49" s="5">
        <f t="shared" si="33"/>
        <v>4.4961361142918811E-3</v>
      </c>
      <c r="W49" s="1"/>
      <c r="X49" s="1">
        <f t="shared" si="34"/>
        <v>126164.94</v>
      </c>
      <c r="Y49" s="1"/>
      <c r="Z49" s="5">
        <f t="shared" si="35"/>
        <v>168.22889220758441</v>
      </c>
    </row>
    <row r="50" spans="1:26" s="24" customFormat="1" hidden="1" outlineLevel="2" x14ac:dyDescent="0.25">
      <c r="A50" s="27"/>
      <c r="B50" s="11" t="str">
        <f>CONCATENATE("          ", "6371", " - ", "COMPUTER SOFTWARE MAINTENANCE")</f>
        <v xml:space="preserve">          6371 - COMPUTER SOFTWARE MAINTENANCE</v>
      </c>
      <c r="C50" s="11"/>
      <c r="D50" s="7"/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0</v>
      </c>
      <c r="M50" s="2"/>
      <c r="N50" s="6">
        <f t="shared" si="31"/>
        <v>0</v>
      </c>
      <c r="O50" s="11"/>
      <c r="P50" s="7"/>
      <c r="Q50" s="2"/>
      <c r="R50" s="6">
        <f t="shared" si="32"/>
        <v>0</v>
      </c>
      <c r="S50" s="2"/>
      <c r="T50" s="7">
        <v>437.31</v>
      </c>
      <c r="U50" s="2"/>
      <c r="V50" s="6">
        <f t="shared" si="33"/>
        <v>2.6217468720211509E-3</v>
      </c>
      <c r="W50" s="2"/>
      <c r="X50" s="7">
        <f t="shared" si="34"/>
        <v>-437.31</v>
      </c>
      <c r="Y50" s="2"/>
      <c r="Z50" s="6">
        <f t="shared" si="35"/>
        <v>-1</v>
      </c>
    </row>
    <row r="51" spans="1:26" s="24" customFormat="1" hidden="1" outlineLevel="2" x14ac:dyDescent="0.25">
      <c r="A51" s="27"/>
      <c r="B51" s="11" t="str">
        <f>CONCATENATE("          ", "6373", " - ", "MAINTENANCE CONTRACTS")</f>
        <v xml:space="preserve">          6373 - MAINTENANCE CONTRACTS</v>
      </c>
      <c r="C51" s="11"/>
      <c r="D51" s="7">
        <v>3087</v>
      </c>
      <c r="E51" s="2"/>
      <c r="F51" s="6">
        <f t="shared" si="28"/>
        <v>0.23342155009451795</v>
      </c>
      <c r="G51" s="2"/>
      <c r="H51" s="7"/>
      <c r="I51" s="2"/>
      <c r="J51" s="6">
        <f t="shared" si="29"/>
        <v>0</v>
      </c>
      <c r="K51" s="2"/>
      <c r="L51" s="7">
        <f t="shared" si="30"/>
        <v>3087</v>
      </c>
      <c r="M51" s="2"/>
      <c r="N51" s="6">
        <f t="shared" si="31"/>
        <v>0</v>
      </c>
      <c r="O51" s="11"/>
      <c r="P51" s="7">
        <v>120352.90000000001</v>
      </c>
      <c r="Q51" s="2"/>
      <c r="R51" s="6">
        <f t="shared" si="32"/>
        <v>0.35854316118115304</v>
      </c>
      <c r="S51" s="2"/>
      <c r="T51" s="7"/>
      <c r="U51" s="2"/>
      <c r="V51" s="6">
        <f t="shared" si="33"/>
        <v>0</v>
      </c>
      <c r="W51" s="2"/>
      <c r="X51" s="7">
        <f t="shared" si="34"/>
        <v>120352.90000000001</v>
      </c>
      <c r="Y51" s="2"/>
      <c r="Z51" s="6">
        <f t="shared" si="35"/>
        <v>0</v>
      </c>
    </row>
    <row r="52" spans="1:26" s="24" customFormat="1" hidden="1" outlineLevel="2" x14ac:dyDescent="0.25">
      <c r="A52" s="27"/>
      <c r="B52" s="11" t="str">
        <f>CONCATENATE("          ", "6375", " - ", "OUTSIDE REPAIRS &amp; MAINTENANCE")</f>
        <v xml:space="preserve">          6375 - OUTSIDE REPAIRS &amp; MAINTENANCE</v>
      </c>
      <c r="C52" s="11"/>
      <c r="D52" s="7"/>
      <c r="E52" s="2"/>
      <c r="F52" s="6">
        <f t="shared" si="28"/>
        <v>0</v>
      </c>
      <c r="G52" s="2"/>
      <c r="H52" s="7">
        <v>312.64999999999998</v>
      </c>
      <c r="I52" s="2"/>
      <c r="J52" s="6">
        <f t="shared" si="29"/>
        <v>1.4644028103044495E-2</v>
      </c>
      <c r="K52" s="2"/>
      <c r="L52" s="7">
        <f t="shared" si="30"/>
        <v>-312.64999999999998</v>
      </c>
      <c r="M52" s="2"/>
      <c r="N52" s="6">
        <f t="shared" si="31"/>
        <v>-1</v>
      </c>
      <c r="O52" s="11"/>
      <c r="P52" s="7">
        <v>6562</v>
      </c>
      <c r="Q52" s="2"/>
      <c r="R52" s="6">
        <f t="shared" si="32"/>
        <v>1.9548845301365619E-2</v>
      </c>
      <c r="S52" s="2"/>
      <c r="T52" s="7">
        <v>312.64999999999998</v>
      </c>
      <c r="U52" s="2"/>
      <c r="V52" s="6">
        <f t="shared" si="33"/>
        <v>1.8743892422707297E-3</v>
      </c>
      <c r="W52" s="2"/>
      <c r="X52" s="7">
        <f t="shared" si="34"/>
        <v>6249.35</v>
      </c>
      <c r="Y52" s="2"/>
      <c r="Z52" s="6">
        <f t="shared" si="35"/>
        <v>19.988325603710223</v>
      </c>
    </row>
    <row r="53" spans="1:26" s="25" customFormat="1" outlineLevel="1" collapsed="1" x14ac:dyDescent="0.25">
      <c r="A53" s="26"/>
      <c r="B53" s="13" t="str">
        <f>CONCATENATE("     ","Supplies                                          ")</f>
        <v xml:space="preserve">     Supplies                                          </v>
      </c>
      <c r="C53" s="13"/>
      <c r="D53" s="1">
        <f>SUM(OSRRefD22_9x_0)</f>
        <v>0</v>
      </c>
      <c r="E53" s="1"/>
      <c r="F53" s="5">
        <f t="shared" ref="F53:F56" si="36">IF(D$12=0,0,D53/D$12)</f>
        <v>0</v>
      </c>
      <c r="G53" s="1"/>
      <c r="H53" s="1">
        <f>SUM(OSRRefH22_9x_0)</f>
        <v>162.83000000000001</v>
      </c>
      <c r="I53" s="1"/>
      <c r="J53" s="5">
        <f t="shared" ref="J53:J56" si="37">IF(H$12=0,0,H53/H$12)</f>
        <v>7.6266978922716637E-3</v>
      </c>
      <c r="K53" s="1"/>
      <c r="L53" s="1">
        <f t="shared" ref="L53:L56" si="38">+D53-H53</f>
        <v>-162.83000000000001</v>
      </c>
      <c r="M53" s="1"/>
      <c r="N53" s="5">
        <f t="shared" ref="N53:N56" si="39">IF(H53=0,0,L53/H53)</f>
        <v>-1</v>
      </c>
      <c r="O53" s="13"/>
      <c r="P53" s="1">
        <f>SUM(OSRRefP22_9x_0)</f>
        <v>41271.699999999997</v>
      </c>
      <c r="Q53" s="1"/>
      <c r="R53" s="5">
        <f t="shared" ref="R53:R56" si="40">IF(P$12=0,0,P53/P$12)</f>
        <v>0.1229524655020377</v>
      </c>
      <c r="S53" s="1"/>
      <c r="T53" s="1">
        <f>SUM(OSRRefT22_9x_0)</f>
        <v>18560.660000000003</v>
      </c>
      <c r="U53" s="1"/>
      <c r="V53" s="5">
        <f t="shared" ref="V53:V56" si="41">IF(T$12=0,0,T53/T$12)</f>
        <v>0.11127427293601359</v>
      </c>
      <c r="W53" s="1"/>
      <c r="X53" s="1">
        <f t="shared" ref="X53:X56" si="42">+P53-T53</f>
        <v>22711.039999999994</v>
      </c>
      <c r="Y53" s="1"/>
      <c r="Z53" s="5">
        <f t="shared" ref="Z53:Z56" si="43">IF(T53=0,0,X53/T53)</f>
        <v>1.223611660361215</v>
      </c>
    </row>
    <row r="54" spans="1:26" s="24" customFormat="1" hidden="1" outlineLevel="2" x14ac:dyDescent="0.25">
      <c r="A54" s="27"/>
      <c r="B54" s="11" t="str">
        <f>CONCATENATE("          ", "6234", " - ", "EXPENDABLE SUPPLIES &amp; EQUIPMEN")</f>
        <v xml:space="preserve">          6234 - EXPENDABLE SUPPLIES &amp; EQUIPMEN</v>
      </c>
      <c r="C54" s="11"/>
      <c r="D54" s="7"/>
      <c r="E54" s="2"/>
      <c r="F54" s="6">
        <f t="shared" si="36"/>
        <v>0</v>
      </c>
      <c r="G54" s="2"/>
      <c r="H54" s="7"/>
      <c r="I54" s="2"/>
      <c r="J54" s="6">
        <f t="shared" si="37"/>
        <v>0</v>
      </c>
      <c r="K54" s="2"/>
      <c r="L54" s="7">
        <f t="shared" si="38"/>
        <v>0</v>
      </c>
      <c r="M54" s="2"/>
      <c r="N54" s="6">
        <f t="shared" si="39"/>
        <v>0</v>
      </c>
      <c r="O54" s="11"/>
      <c r="P54" s="7"/>
      <c r="Q54" s="2"/>
      <c r="R54" s="6">
        <f t="shared" si="40"/>
        <v>0</v>
      </c>
      <c r="S54" s="2"/>
      <c r="T54" s="7">
        <v>413.27</v>
      </c>
      <c r="U54" s="2"/>
      <c r="V54" s="6">
        <f t="shared" si="41"/>
        <v>2.4776230358331186E-3</v>
      </c>
      <c r="W54" s="2"/>
      <c r="X54" s="7">
        <f t="shared" si="42"/>
        <v>-413.27</v>
      </c>
      <c r="Y54" s="2"/>
      <c r="Z54" s="6">
        <f t="shared" si="43"/>
        <v>-1</v>
      </c>
    </row>
    <row r="55" spans="1:26" s="24" customFormat="1" hidden="1" outlineLevel="2" x14ac:dyDescent="0.25">
      <c r="A55" s="27"/>
      <c r="B55" s="11" t="str">
        <f>CONCATENATE("          ", "6241", " - ", "OFFICE EXPENSE")</f>
        <v xml:space="preserve">          6241 - OFFICE EXPENSE</v>
      </c>
      <c r="C55" s="11"/>
      <c r="D55" s="7"/>
      <c r="E55" s="2"/>
      <c r="F55" s="6">
        <f t="shared" si="36"/>
        <v>0</v>
      </c>
      <c r="G55" s="2"/>
      <c r="H55" s="7">
        <v>162.83000000000001</v>
      </c>
      <c r="I55" s="2"/>
      <c r="J55" s="6">
        <f t="shared" si="37"/>
        <v>7.6266978922716637E-3</v>
      </c>
      <c r="K55" s="2"/>
      <c r="L55" s="7">
        <f t="shared" si="38"/>
        <v>-162.83000000000001</v>
      </c>
      <c r="M55" s="2"/>
      <c r="N55" s="6">
        <f t="shared" si="39"/>
        <v>-1</v>
      </c>
      <c r="O55" s="11"/>
      <c r="P55" s="7">
        <v>41271.699999999997</v>
      </c>
      <c r="Q55" s="2"/>
      <c r="R55" s="6">
        <f t="shared" si="40"/>
        <v>0.1229524655020377</v>
      </c>
      <c r="S55" s="2"/>
      <c r="T55" s="7">
        <v>18026.560000000001</v>
      </c>
      <c r="U55" s="2"/>
      <c r="V55" s="6">
        <f t="shared" si="41"/>
        <v>0.10807225376346666</v>
      </c>
      <c r="W55" s="2"/>
      <c r="X55" s="7">
        <f t="shared" si="42"/>
        <v>23245.139999999996</v>
      </c>
      <c r="Y55" s="2"/>
      <c r="Z55" s="6">
        <f t="shared" si="43"/>
        <v>1.2894939467097435</v>
      </c>
    </row>
    <row r="56" spans="1:26" s="24" customFormat="1" hidden="1" outlineLevel="2" x14ac:dyDescent="0.25">
      <c r="A56" s="27"/>
      <c r="B56" s="11" t="str">
        <f>CONCATENATE("          ", "6245", " - ", "PRINTING")</f>
        <v xml:space="preserve">          6245 - PRINTING</v>
      </c>
      <c r="C56" s="11"/>
      <c r="D56" s="7"/>
      <c r="E56" s="2"/>
      <c r="F56" s="6">
        <f t="shared" si="36"/>
        <v>0</v>
      </c>
      <c r="G56" s="2"/>
      <c r="H56" s="7"/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/>
      <c r="Q56" s="2"/>
      <c r="R56" s="6">
        <f t="shared" si="40"/>
        <v>0</v>
      </c>
      <c r="S56" s="2"/>
      <c r="T56" s="7">
        <v>120.83</v>
      </c>
      <c r="U56" s="2"/>
      <c r="V56" s="6">
        <f t="shared" si="41"/>
        <v>7.2439613671380866E-4</v>
      </c>
      <c r="W56" s="2"/>
      <c r="X56" s="7">
        <f t="shared" si="42"/>
        <v>-120.83</v>
      </c>
      <c r="Y56" s="2"/>
      <c r="Z56" s="6">
        <f t="shared" si="43"/>
        <v>-1</v>
      </c>
    </row>
    <row r="57" spans="1:26" s="25" customFormat="1" outlineLevel="1" collapsed="1" x14ac:dyDescent="0.25">
      <c r="A57" s="26"/>
      <c r="B57" s="13" t="str">
        <f>CONCATENATE("     ","Telephone/Data Lines                              ")</f>
        <v xml:space="preserve">     Telephone/Data Lines                              </v>
      </c>
      <c r="C57" s="13"/>
      <c r="D57" s="1">
        <f>SUM(OSRRefD22_10x_0)</f>
        <v>136.15</v>
      </c>
      <c r="E57" s="1"/>
      <c r="F57" s="5">
        <f t="shared" ref="F57:F58" si="44">IF(D$12=0,0,D57/D$12)</f>
        <v>1.0294896030245746E-2</v>
      </c>
      <c r="G57" s="1"/>
      <c r="H57" s="1">
        <f>SUM(OSRRefH22_10x_0)</f>
        <v>182.85</v>
      </c>
      <c r="I57" s="1"/>
      <c r="J57" s="5">
        <f t="shared" ref="J57:J58" si="45">IF(H$12=0,0,H57/H$12)</f>
        <v>8.564402810304449E-3</v>
      </c>
      <c r="K57" s="1"/>
      <c r="L57" s="1">
        <f t="shared" ref="L57:L58" si="46">+D57-H57</f>
        <v>-46.699999999999989</v>
      </c>
      <c r="M57" s="1"/>
      <c r="N57" s="5">
        <f t="shared" ref="N57:N58" si="47">IF(H57=0,0,L57/H57)</f>
        <v>-0.25540060158599942</v>
      </c>
      <c r="O57" s="13"/>
      <c r="P57" s="1">
        <f>SUM(OSRRefP22_10x_0)</f>
        <v>1451.83</v>
      </c>
      <c r="Q57" s="1"/>
      <c r="R57" s="5">
        <f t="shared" ref="R57:R58" si="48">IF(P$12=0,0,P57/P$12)</f>
        <v>4.3251447841940937E-3</v>
      </c>
      <c r="S57" s="1"/>
      <c r="T57" s="1">
        <f>SUM(OSRRefT22_10x_0)</f>
        <v>1131.3499999999999</v>
      </c>
      <c r="U57" s="1"/>
      <c r="V57" s="5">
        <f t="shared" ref="V57:V58" si="49">IF(T$12=0,0,T57/T$12)</f>
        <v>6.7826331976426997E-3</v>
      </c>
      <c r="W57" s="1"/>
      <c r="X57" s="1">
        <f t="shared" ref="X57:X58" si="50">+P57-T57</f>
        <v>320.48</v>
      </c>
      <c r="Y57" s="1"/>
      <c r="Z57" s="5">
        <f t="shared" ref="Z57:Z58" si="51">IF(T57=0,0,X57/T57)</f>
        <v>0.28327219693286787</v>
      </c>
    </row>
    <row r="58" spans="1:26" s="24" customFormat="1" hidden="1" outlineLevel="2" x14ac:dyDescent="0.25">
      <c r="A58" s="27"/>
      <c r="B58" s="11" t="str">
        <f>CONCATENATE("          ", "6309", " - ", "TELEPHONE")</f>
        <v xml:space="preserve">          6309 - TELEPHONE</v>
      </c>
      <c r="C58" s="11"/>
      <c r="D58" s="7">
        <v>136.15</v>
      </c>
      <c r="E58" s="2"/>
      <c r="F58" s="6">
        <f t="shared" si="44"/>
        <v>1.0294896030245746E-2</v>
      </c>
      <c r="G58" s="2"/>
      <c r="H58" s="7">
        <v>182.85</v>
      </c>
      <c r="I58" s="2"/>
      <c r="J58" s="6">
        <f t="shared" si="45"/>
        <v>8.564402810304449E-3</v>
      </c>
      <c r="K58" s="2"/>
      <c r="L58" s="7">
        <f t="shared" si="46"/>
        <v>-46.699999999999989</v>
      </c>
      <c r="M58" s="2"/>
      <c r="N58" s="6">
        <f t="shared" si="47"/>
        <v>-0.25540060158599942</v>
      </c>
      <c r="O58" s="11"/>
      <c r="P58" s="7">
        <v>1451.83</v>
      </c>
      <c r="Q58" s="2"/>
      <c r="R58" s="6">
        <f t="shared" si="48"/>
        <v>4.3251447841940937E-3</v>
      </c>
      <c r="S58" s="2"/>
      <c r="T58" s="7">
        <v>1131.3499999999999</v>
      </c>
      <c r="U58" s="2"/>
      <c r="V58" s="6">
        <f t="shared" si="49"/>
        <v>6.7826331976426997E-3</v>
      </c>
      <c r="W58" s="2"/>
      <c r="X58" s="7">
        <f t="shared" si="50"/>
        <v>320.48</v>
      </c>
      <c r="Y58" s="2"/>
      <c r="Z58" s="6">
        <f t="shared" si="51"/>
        <v>0.28327219693286787</v>
      </c>
    </row>
    <row r="59" spans="1:26" s="55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collapsed="1" x14ac:dyDescent="0.25">
      <c r="A60" s="10"/>
      <c r="B60" s="29" t="s">
        <v>0</v>
      </c>
      <c r="C60" s="10"/>
      <c r="D60" s="4">
        <f>SUM(OSRRefD25x_0)</f>
        <v>140</v>
      </c>
      <c r="E60" s="4"/>
      <c r="F60" s="12">
        <f t="shared" ref="F60:F61" si="52">IF(D$12=0,0,D60/D$12)</f>
        <v>1.058601134215501E-2</v>
      </c>
      <c r="G60" s="4"/>
      <c r="H60" s="4">
        <f>SUM(OSRRefH25x_0)</f>
        <v>1564.6</v>
      </c>
      <c r="I60" s="4"/>
      <c r="J60" s="12">
        <f t="shared" ref="J60:J61" si="53">IF(H$12=0,0,H60/H$12)</f>
        <v>7.3283372365339577E-2</v>
      </c>
      <c r="K60" s="4"/>
      <c r="L60" s="4">
        <f t="shared" ref="L60:L61" si="54">+D60-H60</f>
        <v>-1424.6</v>
      </c>
      <c r="M60" s="4"/>
      <c r="N60" s="12">
        <f t="shared" ref="N60:N61" si="55">IF(H60=0,0,L60/H60)</f>
        <v>-0.91052026076952575</v>
      </c>
      <c r="O60" s="10"/>
      <c r="P60" s="4">
        <f>SUM(OSRRefP25x_0)</f>
        <v>1260.2</v>
      </c>
      <c r="Q60" s="4"/>
      <c r="R60" s="12">
        <f t="shared" ref="R60:R61" si="56">IF(P$12=0,0,P60/P$12)</f>
        <v>3.7542601110607974E-3</v>
      </c>
      <c r="S60" s="4"/>
      <c r="T60" s="4">
        <f>SUM(OSRRefT25x_0)</f>
        <v>13751.34</v>
      </c>
      <c r="U60" s="4"/>
      <c r="V60" s="12">
        <f t="shared" ref="V60:V61" si="57">IF(T$12=0,0,T60/T$12)</f>
        <v>8.2441592076786113E-2</v>
      </c>
      <c r="W60" s="4"/>
      <c r="X60" s="4">
        <f t="shared" ref="X60:X61" si="58">+P60-T60</f>
        <v>-12491.14</v>
      </c>
      <c r="Y60" s="4"/>
      <c r="Z60" s="12">
        <f t="shared" ref="Z60:Z61" si="59">IF(T60=0,0,X60/T60)</f>
        <v>-0.90835802183641734</v>
      </c>
    </row>
    <row r="61" spans="1:26" s="24" customFormat="1" hidden="1" outlineLevel="1" x14ac:dyDescent="0.25">
      <c r="A61" s="44"/>
      <c r="B61" s="11" t="str">
        <f>CONCATENATE("          ", "9150", " - ", "MISC. INCOME")</f>
        <v xml:space="preserve">          9150 - MISC. INCOME</v>
      </c>
      <c r="C61" s="11"/>
      <c r="D61" s="2">
        <f>--140</f>
        <v>140</v>
      </c>
      <c r="E61" s="2"/>
      <c r="F61" s="19">
        <f t="shared" si="52"/>
        <v>1.058601134215501E-2</v>
      </c>
      <c r="G61" s="2"/>
      <c r="H61" s="2">
        <f>--1564.6</f>
        <v>1564.6</v>
      </c>
      <c r="I61" s="2"/>
      <c r="J61" s="19">
        <f t="shared" si="53"/>
        <v>7.3283372365339577E-2</v>
      </c>
      <c r="K61" s="2"/>
      <c r="L61" s="2">
        <f t="shared" si="54"/>
        <v>-1424.6</v>
      </c>
      <c r="M61" s="2"/>
      <c r="N61" s="19">
        <f t="shared" si="55"/>
        <v>-0.91052026076952575</v>
      </c>
      <c r="O61" s="11"/>
      <c r="P61" s="2">
        <f>--1260.2</f>
        <v>1260.2</v>
      </c>
      <c r="Q61" s="2"/>
      <c r="R61" s="19">
        <f t="shared" si="56"/>
        <v>3.7542601110607974E-3</v>
      </c>
      <c r="S61" s="2"/>
      <c r="T61" s="2">
        <f>--13751.34</f>
        <v>13751.34</v>
      </c>
      <c r="U61" s="2"/>
      <c r="V61" s="19">
        <f t="shared" si="57"/>
        <v>8.2441592076786113E-2</v>
      </c>
      <c r="W61" s="2"/>
      <c r="X61" s="2">
        <f t="shared" si="58"/>
        <v>-12491.14</v>
      </c>
      <c r="Y61" s="2"/>
      <c r="Z61" s="19">
        <f t="shared" si="59"/>
        <v>-0.90835802183641734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8" t="s">
        <v>3</v>
      </c>
      <c r="C63" s="28"/>
      <c r="D63" s="20">
        <f>+D17-D19+D60</f>
        <v>-7165.4200000000019</v>
      </c>
      <c r="E63" s="14"/>
      <c r="F63" s="21">
        <f>IF(D$12=0,0,D63/D$12)</f>
        <v>-0.54180869565217404</v>
      </c>
      <c r="G63" s="14"/>
      <c r="H63" s="20">
        <f>+H17-H19+H60</f>
        <v>2880.2899999999986</v>
      </c>
      <c r="I63" s="14"/>
      <c r="J63" s="21">
        <f>IF(H$12=0,0,H63/H$12)</f>
        <v>0.13490819672131141</v>
      </c>
      <c r="K63" s="15"/>
      <c r="L63" s="20">
        <f>+D63-H63</f>
        <v>-10045.710000000001</v>
      </c>
      <c r="M63" s="15"/>
      <c r="N63" s="21">
        <f>IF(H63=0,0,L63/H63)</f>
        <v>-3.4877425537011919</v>
      </c>
      <c r="O63" s="29"/>
      <c r="P63" s="20">
        <f>+P17-P19+P60</f>
        <v>51237.009999999995</v>
      </c>
      <c r="Q63" s="14"/>
      <c r="R63" s="21">
        <f>IF(P$12=0,0,P63/P$12)</f>
        <v>0.15264010700922329</v>
      </c>
      <c r="S63" s="14"/>
      <c r="T63" s="20">
        <f>+T17-T19+T60</f>
        <v>15277.390000000047</v>
      </c>
      <c r="U63" s="14"/>
      <c r="V63" s="21">
        <f>IF(T$12=0,0,T63/T$12)</f>
        <v>9.1590518042458061E-2</v>
      </c>
      <c r="W63" s="15"/>
      <c r="X63" s="20">
        <f>+P63-T63</f>
        <v>35959.619999999952</v>
      </c>
      <c r="Y63" s="15"/>
      <c r="Z63" s="21">
        <f>IF(T63=0,0,X63/T63)</f>
        <v>2.3537803250424214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>
        <v>10869.59</v>
      </c>
      <c r="E65" s="4"/>
      <c r="F65" s="12">
        <f>IF(D$12=0,0,D65/D$12)</f>
        <v>0.82189716446124761</v>
      </c>
      <c r="G65" s="4"/>
      <c r="H65" s="4">
        <v>2613.5100000000002</v>
      </c>
      <c r="I65" s="4"/>
      <c r="J65" s="12">
        <f>IF(H$12=0,0,H65/H$12)</f>
        <v>0.12241264637002343</v>
      </c>
      <c r="K65" s="4"/>
      <c r="L65" s="4">
        <f>+D65-H65</f>
        <v>8256.08</v>
      </c>
      <c r="M65" s="4"/>
      <c r="N65" s="12">
        <f>IF(H65=0,0,L65/H65)</f>
        <v>3.159000730817942</v>
      </c>
      <c r="O65" s="10"/>
      <c r="P65" s="4">
        <v>62106.429999999993</v>
      </c>
      <c r="Q65" s="4"/>
      <c r="R65" s="12">
        <f>IF(P$12=0,0,P65/P$12)</f>
        <v>0.1850211813913582</v>
      </c>
      <c r="S65" s="4"/>
      <c r="T65" s="4">
        <v>18015.79</v>
      </c>
      <c r="U65" s="4"/>
      <c r="V65" s="12">
        <f>IF(T$12=0,0,T65/T$12)</f>
        <v>0.10800768580524098</v>
      </c>
      <c r="W65" s="4"/>
      <c r="X65" s="4">
        <f>+P65-T65</f>
        <v>44090.639999999992</v>
      </c>
      <c r="Y65" s="4"/>
      <c r="Z65" s="12">
        <f>IF(T65=0,0,X65/T65)</f>
        <v>2.4473331449800422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4</v>
      </c>
      <c r="C67" s="28"/>
      <c r="D67" s="33">
        <f>+D63-D65</f>
        <v>-18035.010000000002</v>
      </c>
      <c r="E67" s="14"/>
      <c r="F67" s="34">
        <f>IF(D$12=0,0,D67/D$12)</f>
        <v>-1.3637058601134218</v>
      </c>
      <c r="G67" s="14"/>
      <c r="H67" s="33">
        <f>+H63-H65</f>
        <v>266.77999999999838</v>
      </c>
      <c r="I67" s="14"/>
      <c r="J67" s="34">
        <f>IF(H$12=0,0,H67/H$12)</f>
        <v>1.2495550351287981E-2</v>
      </c>
      <c r="K67" s="15"/>
      <c r="L67" s="33">
        <f>D67-H67</f>
        <v>-18301.79</v>
      </c>
      <c r="M67" s="15"/>
      <c r="N67" s="34">
        <f>IF(H67=0,0,L67/H67)</f>
        <v>-68.602556413524667</v>
      </c>
      <c r="O67" s="29"/>
      <c r="P67" s="33">
        <f>+P63-P65</f>
        <v>-10869.419999999998</v>
      </c>
      <c r="Q67" s="14"/>
      <c r="R67" s="34">
        <f>IF(P$12=0,0,P67/P$12)</f>
        <v>-3.2381074382134938E-2</v>
      </c>
      <c r="S67" s="14"/>
      <c r="T67" s="33">
        <f>+T63-T65</f>
        <v>-2738.3999999999542</v>
      </c>
      <c r="U67" s="14"/>
      <c r="V67" s="34">
        <f>IF(T$12=0,0,T67/T$12)</f>
        <v>-1.6417167762782924E-2</v>
      </c>
      <c r="W67" s="15"/>
      <c r="X67" s="33">
        <f>P67-T67</f>
        <v>-8131.0200000000441</v>
      </c>
      <c r="Y67" s="15"/>
      <c r="Z67" s="34">
        <f>IF(T67=0,0,X67/T67)</f>
        <v>2.9692594215601007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5</v>
      </c>
      <c r="C70" s="28"/>
      <c r="D70" s="30">
        <f>SUM(D67:D69)</f>
        <v>-18035.010000000002</v>
      </c>
      <c r="E70" s="14"/>
      <c r="F70" s="32">
        <f>IF(D$12=0,0,D70/D$12)</f>
        <v>-1.3637058601134218</v>
      </c>
      <c r="G70" s="14"/>
      <c r="H70" s="30">
        <f>SUM(H67:H69)</f>
        <v>266.77999999999838</v>
      </c>
      <c r="I70" s="14"/>
      <c r="J70" s="32">
        <f>IF(H$12=0,0,H70/H$12)</f>
        <v>1.2495550351287981E-2</v>
      </c>
      <c r="K70" s="15"/>
      <c r="L70" s="30">
        <f>+D70-H70</f>
        <v>-18301.79</v>
      </c>
      <c r="M70" s="15"/>
      <c r="N70" s="32">
        <f>IF(H70=0,0,L70/H70)</f>
        <v>-68.602556413524667</v>
      </c>
      <c r="O70" s="29"/>
      <c r="P70" s="30">
        <f>SUM(P67:P69)</f>
        <v>-10869.419999999998</v>
      </c>
      <c r="Q70" s="14"/>
      <c r="R70" s="32">
        <f>IF(P$12=0,0,P70/P$12)</f>
        <v>-3.2381074382134938E-2</v>
      </c>
      <c r="S70" s="14"/>
      <c r="T70" s="30">
        <f>SUM(T67:T69)</f>
        <v>-2738.3999999999542</v>
      </c>
      <c r="U70" s="14"/>
      <c r="V70" s="32">
        <f>IF(T$12=0,0,T70/T$12)</f>
        <v>-1.6417167762782924E-2</v>
      </c>
      <c r="W70" s="15"/>
      <c r="X70" s="30">
        <f>+P70-T70</f>
        <v>-8131.0200000000441</v>
      </c>
      <c r="Y70" s="15"/>
      <c r="Z70" s="32">
        <f>IF(T70=0,0,X70/T70)</f>
        <v>2.9692594215601007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8">
        <v>44209.522277430558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61" t="s">
        <v>313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7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8"/>
      <c r="F3" s="46"/>
      <c r="G3" s="18"/>
      <c r="H3" s="18"/>
      <c r="I3" s="18"/>
      <c r="J3" s="39"/>
      <c r="K3" s="18"/>
      <c r="L3" s="18"/>
      <c r="M3" s="18"/>
      <c r="N3" s="46"/>
      <c r="O3" s="59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8"/>
      <c r="F4" s="46"/>
      <c r="G4" s="18"/>
      <c r="H4" s="18"/>
      <c r="I4" s="18"/>
      <c r="J4" s="39"/>
      <c r="K4" s="18"/>
      <c r="L4" s="18"/>
      <c r="M4" s="18"/>
      <c r="N4" s="46"/>
      <c r="O4" s="59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8"/>
      <c r="F5" s="46"/>
      <c r="G5" s="18"/>
      <c r="H5" s="18"/>
      <c r="I5" s="18"/>
      <c r="J5" s="39"/>
      <c r="K5" s="18"/>
      <c r="L5" s="18"/>
      <c r="M5" s="18"/>
      <c r="N5" s="46"/>
      <c r="O5" s="59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25">
      <c r="A6" s="23"/>
      <c r="B6" s="49"/>
      <c r="C6" s="49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6"/>
      <c r="G6" s="18"/>
      <c r="H6" s="18"/>
      <c r="I6" s="18"/>
      <c r="J6" s="39"/>
      <c r="K6" s="18"/>
      <c r="L6" s="18"/>
      <c r="M6" s="18"/>
      <c r="N6" s="46"/>
      <c r="O6" s="62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6" t="s">
        <v>292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293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25">
      <c r="A10" s="10"/>
      <c r="B10" s="56"/>
      <c r="C10" s="10"/>
      <c r="D10" s="42" t="s">
        <v>10</v>
      </c>
      <c r="E10" s="31"/>
      <c r="F10" s="35" t="s">
        <v>14</v>
      </c>
      <c r="G10" s="31"/>
      <c r="H10" s="48" t="s">
        <v>306</v>
      </c>
      <c r="I10" s="31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2" t="s">
        <v>10</v>
      </c>
      <c r="Q10" s="31"/>
      <c r="R10" s="35" t="s">
        <v>14</v>
      </c>
      <c r="S10" s="31"/>
      <c r="T10" s="48" t="s">
        <v>306</v>
      </c>
      <c r="U10" s="31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47"/>
      <c r="K11" s="9"/>
      <c r="L11" s="9"/>
      <c r="M11" s="9"/>
      <c r="N11" s="8"/>
      <c r="P11" s="9"/>
      <c r="Q11" s="9"/>
      <c r="R11" s="8"/>
      <c r="S11" s="9"/>
      <c r="T11" s="9"/>
      <c r="U11" s="9"/>
      <c r="V11" s="47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1" t="e">
        <f ca="1">IF(D$12=0,0,D18/D$12)</f>
        <v>#NAME?</v>
      </c>
      <c r="G18" s="14"/>
      <c r="H18" s="20" t="e">
        <f ca="1">H12-H15</f>
        <v>#NAME?</v>
      </c>
      <c r="I18" s="14"/>
      <c r="J18" s="21" t="e">
        <f ca="1">IF(H$12=0,0,H18/H$12)</f>
        <v>#NAME?</v>
      </c>
      <c r="K18" s="15"/>
      <c r="L18" s="20" t="e">
        <f ca="1">+D18-H18</f>
        <v>#NAME?</v>
      </c>
      <c r="M18" s="15"/>
      <c r="N18" s="21" t="e">
        <f ca="1">IF(H18=0,0,L18/H18)</f>
        <v>#NAME?</v>
      </c>
      <c r="O18" s="29"/>
      <c r="P18" s="20" t="e">
        <f ca="1">P12-P15</f>
        <v>#NAME?</v>
      </c>
      <c r="Q18" s="14"/>
      <c r="R18" s="21" t="e">
        <f ca="1">IF(P$12=0,0,P18/P$12)</f>
        <v>#NAME?</v>
      </c>
      <c r="S18" s="14"/>
      <c r="T18" s="20" t="e">
        <f ca="1">T12-T15</f>
        <v>#NAME?</v>
      </c>
      <c r="U18" s="14"/>
      <c r="V18" s="21" t="e">
        <f ca="1">IF(T$12=0,0,T18/T$12)</f>
        <v>#NAME?</v>
      </c>
      <c r="W18" s="15"/>
      <c r="X18" s="20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2" t="e">
        <f ca="1">SUM(_xll.OneStop.ReportPlayer.OSRFunctions.OSRRef(D22))</f>
        <v>#NAME?</v>
      </c>
      <c r="E20" s="22"/>
      <c r="F20" s="36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6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6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6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1" t="e">
        <f ca="1">IF(D$12=0,0,D27/D$12)</f>
        <v>#NAME?</v>
      </c>
      <c r="G27" s="14"/>
      <c r="H27" s="20" t="e">
        <f ca="1">+H18-H20+H24</f>
        <v>#NAME?</v>
      </c>
      <c r="I27" s="14"/>
      <c r="J27" s="21" t="e">
        <f ca="1">IF(H$12=0,0,H27/H$12)</f>
        <v>#NAME?</v>
      </c>
      <c r="K27" s="15"/>
      <c r="L27" s="20" t="e">
        <f ca="1">+D27-H27</f>
        <v>#NAME?</v>
      </c>
      <c r="M27" s="15"/>
      <c r="N27" s="21" t="e">
        <f ca="1">IF(H27=0,0,L27/H27)</f>
        <v>#NAME?</v>
      </c>
      <c r="O27" s="29"/>
      <c r="P27" s="20" t="e">
        <f ca="1">+P18-P20+P24</f>
        <v>#NAME?</v>
      </c>
      <c r="Q27" s="14"/>
      <c r="R27" s="21" t="e">
        <f ca="1">IF(P$12=0,0,P27/P$12)</f>
        <v>#NAME?</v>
      </c>
      <c r="S27" s="14"/>
      <c r="T27" s="20" t="e">
        <f ca="1">+T18-T20+T24</f>
        <v>#NAME?</v>
      </c>
      <c r="U27" s="14"/>
      <c r="V27" s="21" t="e">
        <f ca="1">IF(T$12=0,0,T27/T$12)</f>
        <v>#NAME?</v>
      </c>
      <c r="W27" s="15"/>
      <c r="X27" s="20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3" t="e">
        <f ca="1">+D27-D29</f>
        <v>#NAME?</v>
      </c>
      <c r="E31" s="14"/>
      <c r="F31" s="34" t="e">
        <f ca="1">IF(D$12=0,0,D31/D$12)</f>
        <v>#NAME?</v>
      </c>
      <c r="G31" s="14"/>
      <c r="H31" s="33" t="e">
        <f ca="1">+H27-H29</f>
        <v>#NAME?</v>
      </c>
      <c r="I31" s="14"/>
      <c r="J31" s="34" t="e">
        <f ca="1">IF(H$12=0,0,H31/H$12)</f>
        <v>#NAME?</v>
      </c>
      <c r="K31" s="15"/>
      <c r="L31" s="33" t="e">
        <f ca="1">D31-H31</f>
        <v>#NAME?</v>
      </c>
      <c r="M31" s="15"/>
      <c r="N31" s="34" t="e">
        <f ca="1">IF(H31=0,0,L31/H31)</f>
        <v>#NAME?</v>
      </c>
      <c r="O31" s="29"/>
      <c r="P31" s="33" t="e">
        <f ca="1">+P27-P29</f>
        <v>#NAME?</v>
      </c>
      <c r="Q31" s="14"/>
      <c r="R31" s="34" t="e">
        <f ca="1">IF(P$12=0,0,P31/P$12)</f>
        <v>#NAME?</v>
      </c>
      <c r="S31" s="14"/>
      <c r="T31" s="33" t="e">
        <f ca="1">+T27-T29</f>
        <v>#NAME?</v>
      </c>
      <c r="U31" s="14"/>
      <c r="V31" s="34" t="e">
        <f ca="1">IF(T$12=0,0,T31/T$12)</f>
        <v>#NAME?</v>
      </c>
      <c r="W31" s="15"/>
      <c r="X31" s="33" t="e">
        <f ca="1">P31-T31</f>
        <v>#NAME?</v>
      </c>
      <c r="Y31" s="15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0" t="e">
        <f ca="1">SUM(D31:D35)</f>
        <v>#NAME?</v>
      </c>
      <c r="E36" s="14"/>
      <c r="F36" s="32" t="e">
        <f ca="1">IF(D$12=0,0,D36/D$12)</f>
        <v>#NAME?</v>
      </c>
      <c r="G36" s="14"/>
      <c r="H36" s="30" t="e">
        <f ca="1">SUM(H31:H35)</f>
        <v>#NAME?</v>
      </c>
      <c r="I36" s="14"/>
      <c r="J36" s="32" t="e">
        <f ca="1">IF(H$12=0,0,H36/H$12)</f>
        <v>#NAME?</v>
      </c>
      <c r="K36" s="15"/>
      <c r="L36" s="30" t="e">
        <f ca="1">+D36-H36</f>
        <v>#NAME?</v>
      </c>
      <c r="M36" s="15"/>
      <c r="N36" s="32" t="e">
        <f ca="1">IF(H36=0,0,L36/H36)</f>
        <v>#NAME?</v>
      </c>
      <c r="O36" s="29"/>
      <c r="P36" s="30" t="e">
        <f ca="1">SUM(P31:P35)</f>
        <v>#NAME?</v>
      </c>
      <c r="Q36" s="14"/>
      <c r="R36" s="32" t="e">
        <f ca="1">IF(P$12=0,0,P36/P$12)</f>
        <v>#NAME?</v>
      </c>
      <c r="S36" s="14"/>
      <c r="T36" s="30" t="e">
        <f ca="1">SUM(T31:T35)</f>
        <v>#NAME?</v>
      </c>
      <c r="U36" s="14"/>
      <c r="V36" s="32" t="e">
        <f ca="1">IF(T$12=0,0,T36/T$12)</f>
        <v>#NAME?</v>
      </c>
      <c r="W36" s="15"/>
      <c r="X36" s="30" t="e">
        <f ca="1">+P36-T36</f>
        <v>#NAME?</v>
      </c>
      <c r="Y36" s="15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8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1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4362</vt:i4>
      </vt:variant>
    </vt:vector>
  </HeadingPairs>
  <TitlesOfParts>
    <vt:vector size="4463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323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'316'!OSRRefD22_13x_0</vt:lpstr>
      <vt:lpstr>'317'!OSRRefD22_13x_0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'Div 6'!OSRRefD22_13x_0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'325'!OSRRefD22_14x_0</vt:lpstr>
      <vt:lpstr>'326'!OSRRefD22_14x_0</vt:lpstr>
      <vt:lpstr>'330'!OSRRefD22_14x_0</vt:lpstr>
      <vt:lpstr>'331'!OSRRefD22_14x_0</vt:lpstr>
      <vt:lpstr>'332'!OSRRefD22_14x_0</vt:lpstr>
      <vt:lpstr>'405'!OSRRefD22_14x_0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'433'!OSRRefD22_16x_0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'405'!OSRRefD22_17x_0</vt:lpstr>
      <vt:lpstr>'411'!OSRRefD22_17x_0</vt:lpstr>
      <vt:lpstr>'415'!OSRRefD22_17x_0</vt:lpstr>
      <vt:lpstr>'444'!OSRRefD22_17x_0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'411'!OSRRefD22_18x_0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'331'!OSRRefD22_19x_0</vt:lpstr>
      <vt:lpstr>'411'!OSRRefD22_19x_0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 &amp; 491'!OSRRefD22_22x_0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'Div 3'!OSRRefD22_24x_0</vt:lpstr>
      <vt:lpstr>'Div 4'!OSRRefD22_24x_0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'316'!OSRRefH22_13x_0</vt:lpstr>
      <vt:lpstr>'317'!OSRRefH22_13x_0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'Div 6'!OSRRefH22_13x_0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'325'!OSRRefH22_14x_0</vt:lpstr>
      <vt:lpstr>'326'!OSRRefH22_14x_0</vt:lpstr>
      <vt:lpstr>'330'!OSRRefH22_14x_0</vt:lpstr>
      <vt:lpstr>'331'!OSRRefH22_14x_0</vt:lpstr>
      <vt:lpstr>'332'!OSRRefH22_14x_0</vt:lpstr>
      <vt:lpstr>'405'!OSRRefH22_14x_0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'433'!OSRRefH22_16x_0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'405'!OSRRefH22_17x_0</vt:lpstr>
      <vt:lpstr>'411'!OSRRefH22_17x_0</vt:lpstr>
      <vt:lpstr>'415'!OSRRefH22_17x_0</vt:lpstr>
      <vt:lpstr>'444'!OSRRefH22_17x_0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'411'!OSRRefH22_18x_0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'331'!OSRRefH22_19x_0</vt:lpstr>
      <vt:lpstr>'411'!OSRRefH22_19x_0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 &amp; 491'!OSRRefH22_22x_0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'Div 3'!OSRRefH22_24x_0</vt:lpstr>
      <vt:lpstr>'Div 4'!OSRRefH22_24x_0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'316'!OSRRefP22_13x_0</vt:lpstr>
      <vt:lpstr>'317'!OSRRefP22_13x_0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'Div 6'!OSRRefP22_13x_0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'325'!OSRRefP22_14x_0</vt:lpstr>
      <vt:lpstr>'326'!OSRRefP22_14x_0</vt:lpstr>
      <vt:lpstr>'330'!OSRRefP22_14x_0</vt:lpstr>
      <vt:lpstr>'331'!OSRRefP22_14x_0</vt:lpstr>
      <vt:lpstr>'332'!OSRRefP22_14x_0</vt:lpstr>
      <vt:lpstr>'405'!OSRRefP22_14x_0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'433'!OSRRefP22_16x_0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'405'!OSRRefP22_17x_0</vt:lpstr>
      <vt:lpstr>'411'!OSRRefP22_17x_0</vt:lpstr>
      <vt:lpstr>'415'!OSRRefP22_17x_0</vt:lpstr>
      <vt:lpstr>'444'!OSRRefP22_17x_0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'411'!OSRRefP22_18x_0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'331'!OSRRefP22_19x_0</vt:lpstr>
      <vt:lpstr>'411'!OSRRefP22_19x_0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 &amp; 491'!OSRRefP22_22x_0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'Div 3'!OSRRefP22_24x_0</vt:lpstr>
      <vt:lpstr>'Div 4'!OSRRefP22_24x_0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'316'!OSRRefT22_13x_0</vt:lpstr>
      <vt:lpstr>'317'!OSRRefT22_13x_0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'Div 6'!OSRRefT22_13x_0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'325'!OSRRefT22_14x_0</vt:lpstr>
      <vt:lpstr>'326'!OSRRefT22_14x_0</vt:lpstr>
      <vt:lpstr>'330'!OSRRefT22_14x_0</vt:lpstr>
      <vt:lpstr>'331'!OSRRefT22_14x_0</vt:lpstr>
      <vt:lpstr>'332'!OSRRefT22_14x_0</vt:lpstr>
      <vt:lpstr>'405'!OSRRefT22_14x_0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'433'!OSRRefT22_16x_0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'405'!OSRRefT22_17x_0</vt:lpstr>
      <vt:lpstr>'411'!OSRRefT22_17x_0</vt:lpstr>
      <vt:lpstr>'415'!OSRRefT22_17x_0</vt:lpstr>
      <vt:lpstr>'444'!OSRRefT22_17x_0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'411'!OSRRefT22_18x_0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'331'!OSRRefT22_19x_0</vt:lpstr>
      <vt:lpstr>'411'!OSRRefT22_19x_0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 &amp; 491'!OSRRefT22_22x_0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'Div 3'!OSRRefT22_24x_0</vt:lpstr>
      <vt:lpstr>'Div 4'!OSRRefT22_24x_0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'323'!Print_Area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'323'!Print_Titles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2021-01-13T20:56:35Z</dcterms:modified>
</cp:coreProperties>
</file>